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2\62 - Colembert\"/>
    </mc:Choice>
  </mc:AlternateContent>
  <bookViews>
    <workbookView xWindow="0" yWindow="0" windowWidth="20490" windowHeight="7755" tabRatio="866" firstSheet="1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9" i="1" l="1"/>
  <c r="B289" i="1"/>
  <c r="B288" i="1"/>
  <c r="B287" i="1"/>
  <c r="D130" i="1"/>
  <c r="B130" i="1"/>
  <c r="B129" i="1"/>
  <c r="B128" i="1"/>
  <c r="D127" i="1"/>
  <c r="B127" i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B115" i="1"/>
  <c r="B114" i="1"/>
  <c r="D100" i="1"/>
  <c r="D75" i="1"/>
  <c r="B75" i="1"/>
  <c r="B74" i="1"/>
  <c r="D73" i="1"/>
  <c r="B73" i="1"/>
  <c r="B72" i="1"/>
  <c r="D71" i="1"/>
  <c r="B71" i="1"/>
  <c r="B70" i="1"/>
  <c r="D69" i="1"/>
  <c r="B69" i="1"/>
  <c r="B68" i="1"/>
  <c r="D67" i="1"/>
  <c r="B67" i="1"/>
  <c r="B66" i="1"/>
  <c r="D65" i="1"/>
  <c r="B65" i="1"/>
  <c r="B64" i="1"/>
  <c r="D63" i="1"/>
  <c r="B63" i="1"/>
  <c r="B62" i="1"/>
  <c r="D172" i="1"/>
  <c r="B172" i="1"/>
  <c r="B171" i="1"/>
  <c r="D170" i="1"/>
  <c r="B170" i="1"/>
  <c r="B169" i="1"/>
  <c r="D168" i="1"/>
  <c r="B168" i="1"/>
  <c r="B167" i="1"/>
  <c r="B166" i="1"/>
  <c r="B205" i="1"/>
  <c r="D204" i="1"/>
  <c r="B204" i="1"/>
  <c r="B203" i="1"/>
  <c r="D202" i="1"/>
  <c r="B202" i="1"/>
  <c r="B201" i="1"/>
  <c r="D200" i="1"/>
  <c r="B200" i="1"/>
  <c r="B199" i="1"/>
  <c r="D198" i="1"/>
  <c r="B198" i="1"/>
  <c r="B197" i="1"/>
  <c r="D196" i="1"/>
  <c r="B196" i="1"/>
  <c r="B195" i="1"/>
  <c r="D194" i="1"/>
  <c r="B194" i="1"/>
  <c r="B193" i="1"/>
  <c r="B192" i="1"/>
  <c r="D220" i="1"/>
  <c r="B220" i="1"/>
  <c r="B219" i="1"/>
  <c r="B257" i="1"/>
  <c r="D256" i="1"/>
  <c r="B256" i="1"/>
  <c r="B255" i="1"/>
  <c r="D254" i="1"/>
  <c r="B254" i="1"/>
  <c r="B253" i="1"/>
  <c r="D252" i="1"/>
  <c r="B252" i="1"/>
  <c r="B251" i="1"/>
  <c r="D250" i="1"/>
  <c r="B250" i="1"/>
  <c r="B249" i="1"/>
  <c r="D248" i="1"/>
  <c r="B248" i="1"/>
  <c r="B247" i="1"/>
  <c r="D246" i="1"/>
  <c r="B246" i="1"/>
  <c r="B245" i="1"/>
  <c r="B244" i="1"/>
  <c r="D283" i="1"/>
  <c r="B283" i="1"/>
  <c r="B276" i="1"/>
  <c r="D275" i="1"/>
  <c r="B275" i="1"/>
  <c r="B274" i="1"/>
  <c r="D273" i="1"/>
  <c r="B273" i="1"/>
  <c r="B272" i="1"/>
  <c r="D271" i="1"/>
  <c r="B271" i="1"/>
  <c r="B270" i="1"/>
  <c r="D49" i="1" l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C5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A10" i="2"/>
  <c r="EB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G14" i="2"/>
  <c r="EX14" i="2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V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EV20" i="2"/>
  <c r="EW20" i="2"/>
  <c r="HG20" i="2"/>
  <c r="HH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C22" i="2"/>
  <c r="EB22" i="2"/>
  <c r="EA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FR24" i="2"/>
  <c r="EW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HI28" i="2"/>
  <c r="FS28" i="2"/>
  <c r="EV28" i="2"/>
  <c r="EB28" i="2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W33" i="2"/>
  <c r="EV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HH38" i="2"/>
  <c r="FS38" i="2"/>
  <c r="EW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FS44" i="2"/>
  <c r="EW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EC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EC48" i="2"/>
  <c r="HI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FS57" i="2"/>
  <c r="EV57" i="2"/>
  <c r="EB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EV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FS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W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HI85" i="2"/>
  <c r="EC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FS113" i="2"/>
  <c r="EX113" i="2"/>
  <c r="EW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EW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EC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R120" i="2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HI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HH124" i="2"/>
  <c r="FS124" i="2"/>
  <c r="EX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HI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A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S140" i="2"/>
  <c r="HH140" i="2"/>
  <c r="FR140" i="2"/>
  <c r="EX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HH141" i="2"/>
  <c r="EB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FR145" i="2"/>
  <c r="HH145" i="2"/>
  <c r="HG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H146" i="2"/>
  <c r="HI146" i="2"/>
  <c r="EA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HI150" i="2"/>
  <c r="FS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EY154" i="2"/>
  <c r="HH155" i="2"/>
  <c r="HG155" i="2"/>
  <c r="DI154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H156" i="2" l="1"/>
  <c r="ED155" i="2"/>
  <c r="EY155" i="2"/>
  <c r="HG156" i="2"/>
  <c r="HI156" i="2"/>
  <c r="FS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CN156" i="2"/>
  <c r="HG157" i="2"/>
  <c r="EB157" i="2"/>
  <c r="EX157" i="2"/>
  <c r="EC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C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D159" i="2"/>
  <c r="HI160" i="2"/>
  <c r="DG160" i="2"/>
  <c r="HH160" i="2"/>
  <c r="FS160" i="2"/>
  <c r="EY159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G161" i="2" l="1"/>
  <c r="HH161" i="2"/>
  <c r="ED160" i="2"/>
  <c r="FS161" i="2"/>
  <c r="EX161" i="2"/>
  <c r="E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Y161" i="2"/>
  <c r="EB162" i="2"/>
  <c r="EW162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H163" i="2"/>
  <c r="HG163" i="2"/>
  <c r="EV163" i="2"/>
  <c r="EA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Y163" i="2"/>
  <c r="HH164" i="2"/>
  <c r="HG164" i="2"/>
  <c r="FR164" i="2"/>
  <c r="FS164" i="2"/>
  <c r="EV164" i="2"/>
  <c r="EX164" i="2"/>
  <c r="DH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HG166" i="2"/>
  <c r="FS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C167" i="2"/>
  <c r="HI167" i="2"/>
  <c r="HJ166" i="2"/>
  <c r="FR167" i="2"/>
  <c r="EX167" i="2"/>
  <c r="EY166" i="2"/>
  <c r="EA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HI168" i="2"/>
  <c r="HH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A172" i="2"/>
  <c r="EW172" i="2"/>
  <c r="EV172" i="2"/>
  <c r="HG172" i="2"/>
  <c r="HI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X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FS175" i="2"/>
  <c r="EW175" i="2"/>
  <c r="EB175" i="2"/>
  <c r="EA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D177" i="2"/>
  <c r="HG178" i="2"/>
  <c r="FQ178" i="2"/>
  <c r="FS178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B179" i="2"/>
  <c r="EA179" i="2"/>
  <c r="ED178" i="2"/>
  <c r="HI179" i="2"/>
  <c r="EV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D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D184" i="2"/>
  <c r="HH185" i="2"/>
  <c r="HG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HH186" i="2"/>
  <c r="HG186" i="2"/>
  <c r="EB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H190" i="2"/>
  <c r="EY189" i="2"/>
  <c r="EB190" i="2"/>
  <c r="HJ189" i="2"/>
  <c r="EW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H191" i="2"/>
  <c r="HG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G192" i="2" l="1"/>
  <c r="HI192" i="2"/>
  <c r="HH192" i="2"/>
  <c r="EY191" i="2"/>
  <c r="EV192" i="2"/>
  <c r="EW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HI193" i="2"/>
  <c r="EB193" i="2"/>
  <c r="EY192" i="2"/>
  <c r="EA193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D193" i="2"/>
  <c r="HI194" i="2"/>
  <c r="EB194" i="2"/>
  <c r="EA194" i="2"/>
  <c r="FQ194" i="2"/>
  <c r="HG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B195" i="2" l="1"/>
  <c r="FQ195" i="2"/>
  <c r="HG195" i="2"/>
  <c r="HI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A197" i="2"/>
  <c r="HG197" i="2"/>
  <c r="HH197" i="2"/>
  <c r="FS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B199" i="2"/>
  <c r="HH199" i="2"/>
  <c r="FS199" i="2"/>
  <c r="EW199" i="2"/>
  <c r="EV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HH201" i="2"/>
  <c r="DI200" i="2"/>
  <c r="ED200" i="2"/>
  <c r="FS201" i="2"/>
  <c r="EB201" i="2"/>
  <c r="EA201" i="2"/>
  <c r="ED201" i="2" s="1"/>
  <c r="HG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HH202" i="2"/>
  <c r="HG202" i="2"/>
  <c r="HI202" i="2"/>
  <c r="EW202" i="2"/>
  <c r="EY201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21" i="2" a="1"/>
  <c r="FD21" i="2" s="1"/>
  <c r="FD144" i="2" a="1"/>
  <c r="FD144" i="2" s="1"/>
  <c r="FD59" i="2" a="1"/>
  <c r="FD59" i="2" s="1"/>
  <c r="DN56" i="2" a="1"/>
  <c r="DN56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99" i="2" a="1"/>
  <c r="AH199" i="2" s="1"/>
  <c r="AH163" i="2" a="1"/>
  <c r="AH163" i="2" s="1"/>
  <c r="CS105" i="2" a="1"/>
  <c r="CS105" i="2" s="1"/>
  <c r="CS38" i="2" a="1"/>
  <c r="CS38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GT198" i="2" a="1"/>
  <c r="GT198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EY202" i="2"/>
  <c r="AX200" i="2"/>
  <c r="GT102" i="2" l="1" a="1"/>
  <c r="GT102" i="2" s="1"/>
  <c r="GT190" i="2" a="1"/>
  <c r="GT190" i="2" s="1"/>
  <c r="GT189" i="2" a="1"/>
  <c r="GT189" i="2" s="1"/>
  <c r="GT152" i="2" a="1"/>
  <c r="GT152" i="2" s="1"/>
  <c r="GT138" i="2" a="1"/>
  <c r="GT138" i="2" s="1"/>
  <c r="GT68" i="2" a="1"/>
  <c r="GT68" i="2" s="1"/>
  <c r="GT15" i="2" a="1"/>
  <c r="GT15" i="2" s="1"/>
  <c r="GT107" i="2" a="1"/>
  <c r="GT107" i="2" s="1"/>
  <c r="GT12" i="2" a="1"/>
  <c r="GT12" i="2" s="1"/>
  <c r="GT174" i="2" a="1"/>
  <c r="GT174" i="2" s="1"/>
  <c r="GT191" i="2" a="1"/>
  <c r="GT191" i="2" s="1"/>
  <c r="HJ202" i="2"/>
  <c r="BX107" i="2" a="1"/>
  <c r="BX107" i="2" s="1"/>
  <c r="BC143" i="2" a="1"/>
  <c r="BC143" i="2" s="1"/>
  <c r="BC82" i="2" a="1"/>
  <c r="BC82" i="2" s="1"/>
  <c r="BC192" i="2" a="1"/>
  <c r="BC192" i="2" s="1"/>
  <c r="BC58" i="2" a="1"/>
  <c r="BC58" i="2" s="1"/>
  <c r="BC18" i="2" a="1"/>
  <c r="BC18" i="2" s="1"/>
  <c r="BC151" i="2" a="1"/>
  <c r="BC151" i="2" s="1"/>
  <c r="BC7" i="2" a="1"/>
  <c r="BC7" i="2" s="1"/>
  <c r="BC55" i="2" a="1"/>
  <c r="BC55" i="2" s="1"/>
  <c r="BC47" i="2" a="1"/>
  <c r="BC47" i="2" s="1"/>
  <c r="BC185" i="2" a="1"/>
  <c r="BC185" i="2" s="1"/>
  <c r="BC130" i="2" a="1"/>
  <c r="BC130" i="2" s="1"/>
  <c r="BC68" i="2" a="1"/>
  <c r="BC68" i="2" s="1"/>
  <c r="BC31" i="2" a="1"/>
  <c r="BC31" i="2" s="1"/>
  <c r="BC117" i="2" a="1"/>
  <c r="BC117" i="2" s="1"/>
  <c r="BC34" i="2" a="1"/>
  <c r="BC34" i="2" s="1"/>
  <c r="BC181" i="2" a="1"/>
  <c r="BC181" i="2" s="1"/>
  <c r="BC38" i="2" a="1"/>
  <c r="BC38" i="2" s="1"/>
  <c r="BC32" i="2" a="1"/>
  <c r="BC32" i="2" s="1"/>
  <c r="BC65" i="2" a="1"/>
  <c r="BC65" i="2" s="1"/>
  <c r="BC84" i="2" a="1"/>
  <c r="BC84" i="2" s="1"/>
  <c r="BC83" i="2" a="1"/>
  <c r="BC83" i="2" s="1"/>
  <c r="BC164" i="2" a="1"/>
  <c r="BC164" i="2" s="1"/>
  <c r="BC126" i="2" a="1"/>
  <c r="BC126" i="2" s="1"/>
  <c r="BC114" i="2" a="1"/>
  <c r="BC114" i="2" s="1"/>
  <c r="AH62" i="2" a="1"/>
  <c r="AH62" i="2" s="1"/>
  <c r="AH166" i="2" a="1"/>
  <c r="AH166" i="2" s="1"/>
  <c r="AH92" i="2" a="1"/>
  <c r="AH92" i="2" s="1"/>
  <c r="CS120" i="2" a="1"/>
  <c r="CS120" i="2" s="1"/>
  <c r="CS116" i="2" a="1"/>
  <c r="CS116" i="2" s="1"/>
  <c r="CS66" i="2" a="1"/>
  <c r="CS66" i="2" s="1"/>
  <c r="CS77" i="2" a="1"/>
  <c r="CS77" i="2" s="1"/>
  <c r="CS161" i="2" a="1"/>
  <c r="CS161" i="2" s="1"/>
  <c r="CS185" i="2" a="1"/>
  <c r="CS185" i="2" s="1"/>
  <c r="CS24" i="2" a="1"/>
  <c r="CS24" i="2" s="1"/>
  <c r="CS137" i="2" a="1"/>
  <c r="CS137" i="2" s="1"/>
  <c r="CS129" i="2" a="1"/>
  <c r="CS129" i="2" s="1"/>
  <c r="GT184" i="2" a="1"/>
  <c r="GT184" i="2" s="1"/>
  <c r="GT126" i="2" a="1"/>
  <c r="GT126" i="2" s="1"/>
  <c r="GT74" i="2" a="1"/>
  <c r="GT74" i="2" s="1"/>
  <c r="GT178" i="2" a="1"/>
  <c r="GT178" i="2" s="1"/>
  <c r="HH203" i="2"/>
  <c r="HG203" i="2"/>
  <c r="FY182" i="2" a="1"/>
  <c r="FY182" i="2" s="1"/>
  <c r="FY149" i="2" a="1"/>
  <c r="FY149" i="2" s="1"/>
  <c r="FY167" i="2" a="1"/>
  <c r="FY167" i="2" s="1"/>
  <c r="FY58" i="2" a="1"/>
  <c r="FY58" i="2" s="1"/>
  <c r="FY47" i="2" a="1"/>
  <c r="FY47" i="2" s="1"/>
  <c r="FY142" i="2" a="1"/>
  <c r="FY142" i="2" s="1"/>
  <c r="FY80" i="2" a="1"/>
  <c r="FY80" i="2" s="1"/>
  <c r="FY121" i="2" a="1"/>
  <c r="FY121" i="2" s="1"/>
  <c r="FY30" i="2" a="1"/>
  <c r="FY30" i="2" s="1"/>
  <c r="FY42" i="2" a="1"/>
  <c r="FY42" i="2" s="1"/>
  <c r="FY86" i="2" a="1"/>
  <c r="FY86" i="2" s="1"/>
  <c r="FY196" i="2" a="1"/>
  <c r="FY196" i="2" s="1"/>
  <c r="FY24" i="2" a="1"/>
  <c r="FY24" i="2" s="1"/>
  <c r="FY82" i="2" a="1"/>
  <c r="FY82" i="2" s="1"/>
  <c r="FY115" i="2" a="1"/>
  <c r="FY115" i="2" s="1"/>
  <c r="FY104" i="2" a="1"/>
  <c r="FY104" i="2" s="1"/>
  <c r="FY34" i="2" a="1"/>
  <c r="FY34" i="2" s="1"/>
  <c r="FY164" i="2" a="1"/>
  <c r="FY164" i="2" s="1"/>
  <c r="FY55" i="2" a="1"/>
  <c r="FY55" i="2" s="1"/>
  <c r="FY99" i="2" a="1"/>
  <c r="FY99" i="2" s="1"/>
  <c r="FY124" i="2" a="1"/>
  <c r="FY124" i="2" s="1"/>
  <c r="FY169" i="2" a="1"/>
  <c r="FY169" i="2" s="1"/>
  <c r="FY172" i="2" a="1"/>
  <c r="FY172" i="2" s="1"/>
  <c r="FY62" i="2" a="1"/>
  <c r="FY62" i="2" s="1"/>
  <c r="FY72" i="2" a="1"/>
  <c r="FY72" i="2" s="1"/>
  <c r="FY116" i="2" a="1"/>
  <c r="FY116" i="2" s="1"/>
  <c r="FY178" i="2" a="1"/>
  <c r="FY178" i="2" s="1"/>
  <c r="FY143" i="2" a="1"/>
  <c r="FY143" i="2" s="1"/>
  <c r="FY126" i="2" a="1"/>
  <c r="FY126" i="2" s="1"/>
  <c r="FY28" i="2" a="1"/>
  <c r="FY28" i="2" s="1"/>
  <c r="FY78" i="2" a="1"/>
  <c r="FY78" i="2" s="1"/>
  <c r="FY190" i="2" a="1"/>
  <c r="FY190" i="2" s="1"/>
  <c r="FY174" i="2" a="1"/>
  <c r="FY174" i="2" s="1"/>
  <c r="FY110" i="2" a="1"/>
  <c r="FY110" i="2" s="1"/>
  <c r="FY18" i="2" a="1"/>
  <c r="FY18" i="2" s="1"/>
  <c r="FY92" i="2" a="1"/>
  <c r="FY92" i="2" s="1"/>
  <c r="FY111" i="2" a="1"/>
  <c r="FY111" i="2" s="1"/>
  <c r="FY188" i="2" a="1"/>
  <c r="FY188" i="2" s="1"/>
  <c r="FY73" i="2" a="1"/>
  <c r="FY73" i="2" s="1"/>
  <c r="FY159" i="2" a="1"/>
  <c r="FY159" i="2" s="1"/>
  <c r="FY133" i="2" a="1"/>
  <c r="FY133" i="2" s="1"/>
  <c r="FY191" i="2" a="1"/>
  <c r="FY191" i="2" s="1"/>
  <c r="FY146" i="2" a="1"/>
  <c r="FY146" i="2" s="1"/>
  <c r="FY102" i="2" a="1"/>
  <c r="FY102" i="2" s="1"/>
  <c r="FY152" i="2" a="1"/>
  <c r="FY152" i="2" s="1"/>
  <c r="FY69" i="2" a="1"/>
  <c r="FY69" i="2" s="1"/>
  <c r="FY186" i="2" a="1"/>
  <c r="FY186" i="2" s="1"/>
  <c r="FY120" i="2" a="1"/>
  <c r="FY120" i="2" s="1"/>
  <c r="FY173" i="2" a="1"/>
  <c r="FY173" i="2" s="1"/>
  <c r="FY71" i="2" a="1"/>
  <c r="FY71" i="2" s="1"/>
  <c r="FY32" i="2" a="1"/>
  <c r="FY32" i="2" s="1"/>
  <c r="FY50" i="2" a="1"/>
  <c r="FY50" i="2" s="1"/>
  <c r="FY153" i="2" a="1"/>
  <c r="FY153" i="2" s="1"/>
  <c r="FY140" i="2" a="1"/>
  <c r="FY140" i="2" s="1"/>
  <c r="FY29" i="2" a="1"/>
  <c r="FY29" i="2" s="1"/>
  <c r="FY35" i="2" a="1"/>
  <c r="FY35" i="2" s="1"/>
  <c r="FY66" i="2" a="1"/>
  <c r="FY66" i="2" s="1"/>
  <c r="FY165" i="2" a="1"/>
  <c r="FY165" i="2" s="1"/>
  <c r="FY109" i="2" a="1"/>
  <c r="FY109" i="2" s="1"/>
  <c r="FY79" i="2" a="1"/>
  <c r="FY79" i="2" s="1"/>
  <c r="FY22" i="2" a="1"/>
  <c r="FY22" i="2" s="1"/>
  <c r="FY90" i="2" a="1"/>
  <c r="FY90" i="2" s="1"/>
  <c r="FY57" i="2" a="1"/>
  <c r="FY57" i="2" s="1"/>
  <c r="FY54" i="2" a="1"/>
  <c r="FY54" i="2" s="1"/>
  <c r="GT147" i="2" a="1"/>
  <c r="GT147" i="2" s="1"/>
  <c r="GT181" i="2" a="1"/>
  <c r="GT181" i="2" s="1"/>
  <c r="GT33" i="2" a="1"/>
  <c r="GT33" i="2" s="1"/>
  <c r="GT115" i="2" a="1"/>
  <c r="GT115" i="2" s="1"/>
  <c r="GT21" i="2" a="1"/>
  <c r="GT21" i="2" s="1"/>
  <c r="GT133" i="2" a="1"/>
  <c r="GT133" i="2" s="1"/>
  <c r="GT121" i="2" a="1"/>
  <c r="GT121" i="2" s="1"/>
  <c r="GT38" i="2" a="1"/>
  <c r="GT38" i="2" s="1"/>
  <c r="GT122" i="2" a="1"/>
  <c r="GT122" i="2" s="1"/>
  <c r="GT11" i="2" a="1"/>
  <c r="GT11" i="2" s="1"/>
  <c r="GT51" i="2" a="1"/>
  <c r="GT51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89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56" i="2" l="1"/>
  <c r="FJ93" i="2"/>
  <c r="FJ153" i="2"/>
  <c r="FJ61" i="2"/>
  <c r="FJ29" i="2"/>
  <c r="FJ23" i="2"/>
  <c r="FJ22" i="2"/>
  <c r="FJ81" i="2"/>
  <c r="FJ122" i="2"/>
  <c r="FJ150" i="2"/>
  <c r="FJ173" i="2"/>
  <c r="FJ143" i="2"/>
  <c r="FJ65" i="2"/>
  <c r="FJ135" i="2"/>
  <c r="FJ108" i="2"/>
  <c r="FJ130" i="2"/>
  <c r="FJ97" i="2"/>
  <c r="FJ74" i="2"/>
  <c r="FJ104" i="2"/>
  <c r="FJ79" i="2"/>
  <c r="FJ126" i="2"/>
  <c r="FJ40" i="2"/>
  <c r="FJ131" i="2"/>
  <c r="FJ82" i="2"/>
  <c r="FJ112" i="2"/>
  <c r="FJ123" i="2"/>
  <c r="FJ102" i="2"/>
  <c r="FJ86" i="2"/>
  <c r="FJ132" i="2"/>
  <c r="FJ25" i="2"/>
  <c r="FJ140" i="2"/>
  <c r="FJ157" i="2"/>
  <c r="FJ160" i="2"/>
  <c r="FJ164" i="2"/>
  <c r="FJ180" i="2"/>
  <c r="FJ191" i="2"/>
  <c r="FJ113" i="2"/>
  <c r="FJ89" i="2"/>
  <c r="FJ161" i="2"/>
  <c r="FJ193" i="2"/>
  <c r="FJ21" i="2"/>
  <c r="FJ71" i="2"/>
  <c r="FJ57" i="2"/>
  <c r="FJ51" i="2"/>
  <c r="FJ88" i="2"/>
  <c r="FJ60" i="2"/>
  <c r="FJ44" i="2"/>
  <c r="FJ142" i="2"/>
  <c r="FJ34" i="2"/>
  <c r="FJ31" i="2"/>
  <c r="FJ76" i="2"/>
  <c r="FJ155" i="2"/>
  <c r="FJ15" i="2"/>
  <c r="FJ38" i="2"/>
  <c r="FJ47" i="2"/>
  <c r="FJ203" i="2"/>
  <c r="FJ194" i="2"/>
  <c r="FJ85" i="2"/>
  <c r="FJ152" i="2"/>
  <c r="FJ196" i="2"/>
  <c r="FJ149" i="2"/>
  <c r="FJ198" i="2"/>
  <c r="FJ165" i="2"/>
  <c r="FJ78" i="2"/>
  <c r="FJ100" i="2"/>
  <c r="FJ174" i="2"/>
  <c r="FJ141" i="2"/>
  <c r="FJ136" i="2"/>
  <c r="FJ5" i="2"/>
  <c r="FJ4" i="2"/>
  <c r="FJ148" i="2"/>
  <c r="FJ179" i="2"/>
  <c r="FJ178" i="2"/>
  <c r="FJ139" i="2"/>
  <c r="FJ138" i="2"/>
  <c r="FJ83" i="2"/>
  <c r="FJ154" i="2"/>
  <c r="FJ115" i="2"/>
  <c r="FJ144" i="2"/>
  <c r="FJ197" i="2"/>
  <c r="FJ75" i="2"/>
  <c r="FJ96" i="2"/>
  <c r="FJ24" i="2"/>
  <c r="FJ43" i="2"/>
  <c r="FJ129" i="2"/>
  <c r="FJ186" i="2"/>
  <c r="FJ177" i="2"/>
  <c r="FJ56" i="2"/>
  <c r="FJ19" i="2"/>
  <c r="FJ95" i="2"/>
  <c r="FJ72" i="2"/>
  <c r="FJ111" i="2"/>
  <c r="FJ134" i="2"/>
  <c r="FJ94" i="2"/>
  <c r="FJ110" i="2"/>
  <c r="FJ36" i="2"/>
  <c r="FJ69" i="2"/>
  <c r="FJ54" i="2"/>
  <c r="FJ199" i="2"/>
  <c r="FJ77" i="2"/>
  <c r="FJ66" i="2"/>
  <c r="FJ91" i="2"/>
  <c r="FJ62" i="2"/>
  <c r="FJ16" i="2"/>
  <c r="FJ119" i="2"/>
  <c r="FJ50" i="2"/>
  <c r="FJ101" i="2"/>
  <c r="FJ49" i="2"/>
  <c r="FJ48" i="2"/>
  <c r="FJ163" i="2"/>
  <c r="FJ6" i="2"/>
  <c r="FJ42" i="2"/>
  <c r="FJ28" i="2"/>
  <c r="FJ80" i="2"/>
  <c r="FJ35" i="2"/>
  <c r="FJ14" i="2"/>
  <c r="FJ190" i="2"/>
  <c r="FJ202" i="2"/>
  <c r="FJ172" i="2"/>
  <c r="FJ114" i="2"/>
  <c r="FJ18" i="2"/>
  <c r="FJ151" i="2"/>
  <c r="FJ176" i="2"/>
  <c r="FJ133" i="2"/>
  <c r="FJ183" i="2"/>
  <c r="FJ46" i="2"/>
  <c r="FJ192" i="2"/>
  <c r="FJ68" i="2"/>
  <c r="FJ53" i="2"/>
  <c r="FJ20" i="2"/>
  <c r="FJ37" i="2"/>
  <c r="FJ184" i="2"/>
  <c r="FJ125" i="2"/>
  <c r="FJ26" i="2"/>
  <c r="FJ10" i="2"/>
  <c r="FJ105" i="2"/>
  <c r="FJ120" i="2"/>
  <c r="FJ195" i="2"/>
  <c r="FJ137" i="2"/>
  <c r="FJ45" i="2"/>
  <c r="FJ55" i="2"/>
  <c r="FJ158" i="2"/>
  <c r="FJ9" i="2"/>
  <c r="FJ32" i="2"/>
  <c r="FJ159" i="2"/>
  <c r="FJ98" i="2"/>
  <c r="FJ103" i="2"/>
  <c r="FJ64" i="2"/>
  <c r="FJ107" i="2"/>
  <c r="FJ90" i="2"/>
  <c r="FJ59" i="2"/>
  <c r="FJ145" i="2"/>
  <c r="FJ201" i="2"/>
  <c r="FJ3" i="2"/>
  <c r="C13" i="4" s="1"/>
  <c r="E13" i="4" s="1"/>
  <c r="F13" i="4" s="1"/>
  <c r="G13" i="4" s="1"/>
  <c r="L13" i="4" s="1"/>
  <c r="FJ117" i="2"/>
  <c r="FJ166" i="2"/>
  <c r="FJ109" i="2"/>
  <c r="FJ147" i="2"/>
  <c r="FJ58" i="2"/>
  <c r="FJ128" i="2"/>
  <c r="FJ70" i="2"/>
  <c r="FJ7" i="2"/>
  <c r="FJ118" i="2"/>
  <c r="FJ106" i="2"/>
  <c r="FJ200" i="2"/>
  <c r="FJ170" i="2"/>
  <c r="FJ171" i="2"/>
  <c r="FJ121" i="2"/>
  <c r="FJ41" i="2"/>
  <c r="FJ17" i="2"/>
  <c r="FJ52" i="2"/>
  <c r="FJ99" i="2"/>
  <c r="FJ167" i="2"/>
  <c r="FJ39" i="2"/>
  <c r="FJ84" i="2"/>
  <c r="FJ30" i="2"/>
  <c r="FJ175" i="2"/>
  <c r="FJ124" i="2"/>
  <c r="FJ92" i="2"/>
  <c r="FJ11" i="2"/>
  <c r="FJ12" i="2"/>
  <c r="FJ182" i="2"/>
  <c r="FJ162" i="2"/>
  <c r="FJ33" i="2"/>
  <c r="FJ27" i="2"/>
  <c r="FJ181" i="2"/>
  <c r="FJ63" i="2"/>
  <c r="FJ67" i="2"/>
  <c r="FJ8" i="2"/>
  <c r="FJ73" i="2"/>
  <c r="FJ13" i="2"/>
  <c r="FJ169" i="2"/>
  <c r="FJ87" i="2"/>
  <c r="FJ187" i="2"/>
  <c r="FJ146" i="2"/>
  <c r="FJ185" i="2"/>
  <c r="FJ188" i="2"/>
  <c r="FJ116" i="2"/>
  <c r="FJ127" i="2"/>
  <c r="FJ168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6" i="2" l="1"/>
  <c r="GE85" i="2"/>
  <c r="GE87" i="2"/>
  <c r="GE18" i="2"/>
  <c r="GE77" i="2"/>
  <c r="GE60" i="2"/>
  <c r="GE121" i="2"/>
  <c r="GE65" i="2"/>
  <c r="GE161" i="2"/>
  <c r="GE195" i="2"/>
  <c r="GE49" i="2"/>
  <c r="GE97" i="2"/>
  <c r="GE169" i="2"/>
  <c r="GE183" i="2"/>
  <c r="GE28" i="2"/>
  <c r="GE132" i="2"/>
  <c r="GE192" i="2"/>
  <c r="GE168" i="2"/>
  <c r="GE59" i="2"/>
  <c r="GE197" i="2"/>
  <c r="GE78" i="2"/>
  <c r="GE165" i="2"/>
  <c r="GE13" i="2"/>
  <c r="GE135" i="2"/>
  <c r="GE122" i="2"/>
  <c r="GE33" i="2"/>
  <c r="GE163" i="2"/>
  <c r="GE126" i="2"/>
  <c r="GE185" i="2"/>
  <c r="GE42" i="2"/>
  <c r="GE86" i="2"/>
  <c r="GE90" i="2"/>
  <c r="GE167" i="2"/>
  <c r="GE131" i="2"/>
  <c r="GE103" i="2"/>
  <c r="GE50" i="2"/>
  <c r="GE54" i="2"/>
  <c r="GE99" i="2"/>
  <c r="GE149" i="2"/>
  <c r="GE11" i="2"/>
  <c r="GE9" i="2"/>
  <c r="GE52" i="2"/>
  <c r="GE51" i="2"/>
  <c r="GE198" i="2"/>
  <c r="GE12" i="2"/>
  <c r="GE102" i="2"/>
  <c r="GE144" i="2"/>
  <c r="GE141" i="2"/>
  <c r="GE109" i="2"/>
  <c r="GE84" i="2"/>
  <c r="GE15" i="2"/>
  <c r="GE181" i="2"/>
  <c r="GE58" i="2"/>
  <c r="GE123" i="2"/>
  <c r="GE117" i="2"/>
  <c r="GE93" i="2"/>
  <c r="GE112" i="2"/>
  <c r="GE146" i="2"/>
  <c r="GE119" i="2"/>
  <c r="GE14" i="2"/>
  <c r="GE120" i="2"/>
  <c r="GE104" i="2"/>
  <c r="GE68" i="2"/>
  <c r="GE158" i="2"/>
  <c r="GE88" i="2"/>
  <c r="GE100" i="2"/>
  <c r="GE17" i="2"/>
  <c r="GE175" i="2"/>
  <c r="GE145" i="2"/>
  <c r="GE137" i="2"/>
  <c r="GE7" i="2"/>
  <c r="GE196" i="2"/>
  <c r="GE79" i="2"/>
  <c r="GE193" i="2"/>
  <c r="GE189" i="2"/>
  <c r="GE24" i="2"/>
  <c r="GE40" i="2"/>
  <c r="GE55" i="2"/>
  <c r="GE201" i="2"/>
  <c r="GE187" i="2"/>
  <c r="GE21" i="2"/>
  <c r="GE30" i="2"/>
  <c r="GE124" i="2"/>
  <c r="GE116" i="2"/>
  <c r="GE72" i="2"/>
  <c r="GE139" i="2"/>
  <c r="GE106" i="2"/>
  <c r="GE194" i="2"/>
  <c r="GE130" i="2"/>
  <c r="GE23" i="2"/>
  <c r="GE199" i="2"/>
  <c r="GE136" i="2"/>
  <c r="GE164" i="2"/>
  <c r="GE89" i="2"/>
  <c r="GE20" i="2"/>
  <c r="GE29" i="2"/>
  <c r="GE166" i="2"/>
  <c r="GE172" i="2"/>
  <c r="GE38" i="2"/>
  <c r="GE170" i="2"/>
  <c r="GE43" i="2"/>
  <c r="GE34" i="2"/>
  <c r="GE25" i="2"/>
  <c r="GE153" i="2"/>
  <c r="GE177" i="2"/>
  <c r="GE44" i="2"/>
  <c r="GE27" i="2"/>
  <c r="GE111" i="2"/>
  <c r="GE200" i="2"/>
  <c r="GE150" i="2"/>
  <c r="GE162" i="2"/>
  <c r="GE74" i="2"/>
  <c r="GE147" i="2"/>
  <c r="GE4" i="2"/>
  <c r="GE41" i="2"/>
  <c r="GE22" i="2"/>
  <c r="GE95" i="2"/>
  <c r="GE36" i="2"/>
  <c r="GE80" i="2"/>
  <c r="GE48" i="2"/>
  <c r="GE83" i="2"/>
  <c r="GE62" i="2"/>
  <c r="GE8" i="2"/>
  <c r="GE105" i="2"/>
  <c r="GE148" i="2"/>
  <c r="GE56" i="2"/>
  <c r="GE118" i="2"/>
  <c r="GE143" i="2"/>
  <c r="GE180" i="2"/>
  <c r="GE176" i="2"/>
  <c r="GE81" i="2"/>
  <c r="GE16" i="2"/>
  <c r="GE178" i="2"/>
  <c r="GE73" i="2"/>
  <c r="GE3" i="2"/>
  <c r="C14" i="4" s="1"/>
  <c r="E14" i="4" s="1"/>
  <c r="F14" i="4" s="1"/>
  <c r="G14" i="4" s="1"/>
  <c r="L14" i="4" s="1"/>
  <c r="GE35" i="2"/>
  <c r="GE37" i="2"/>
  <c r="GE39" i="2"/>
  <c r="GE57" i="2"/>
  <c r="GE5" i="2"/>
  <c r="GE63" i="2"/>
  <c r="GE191" i="2"/>
  <c r="GE156" i="2"/>
  <c r="GE26" i="2"/>
  <c r="GE138" i="2"/>
  <c r="GE202" i="2"/>
  <c r="GE182" i="2"/>
  <c r="GE94" i="2"/>
  <c r="GE47" i="2"/>
  <c r="GE173" i="2"/>
  <c r="GE171" i="2"/>
  <c r="GE75" i="2"/>
  <c r="GE160" i="2"/>
  <c r="GE64" i="2"/>
  <c r="GE67" i="2"/>
  <c r="GE151" i="2"/>
  <c r="GE101" i="2"/>
  <c r="GE45" i="2"/>
  <c r="GE140" i="2"/>
  <c r="GE10" i="2"/>
  <c r="GE127" i="2"/>
  <c r="GE125" i="2"/>
  <c r="GE128" i="2"/>
  <c r="GE69" i="2"/>
  <c r="GE184" i="2"/>
  <c r="GE142" i="2"/>
  <c r="GE188" i="2"/>
  <c r="GE53" i="2"/>
  <c r="GE31" i="2"/>
  <c r="GE107" i="2"/>
  <c r="GE76" i="2"/>
  <c r="GE66" i="2"/>
  <c r="GE159" i="2"/>
  <c r="GE155" i="2"/>
  <c r="GE82" i="2"/>
  <c r="GE91" i="2"/>
  <c r="GE19" i="2"/>
  <c r="GE61" i="2"/>
  <c r="GE174" i="2"/>
  <c r="GE110" i="2"/>
  <c r="GE129" i="2"/>
  <c r="GE70" i="2"/>
  <c r="GE71" i="2"/>
  <c r="GE154" i="2"/>
  <c r="GE98" i="2"/>
  <c r="GE92" i="2"/>
  <c r="GE134" i="2"/>
  <c r="GE186" i="2"/>
  <c r="GE115" i="2"/>
  <c r="GE108" i="2"/>
  <c r="GE113" i="2"/>
  <c r="GE114" i="2"/>
  <c r="GE46" i="2"/>
  <c r="GE152" i="2"/>
  <c r="GE157" i="2"/>
  <c r="GE133" i="2"/>
  <c r="GE96" i="2"/>
  <c r="GE32" i="2"/>
  <c r="GE203" i="2"/>
  <c r="GE190" i="2"/>
  <c r="GE179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76" i="2" l="1"/>
  <c r="CY12" i="2"/>
  <c r="CY136" i="2"/>
  <c r="CY122" i="2"/>
  <c r="CY160" i="2"/>
  <c r="CY93" i="2"/>
  <c r="CY191" i="2"/>
  <c r="CY129" i="2"/>
  <c r="CY143" i="2"/>
  <c r="CY44" i="2"/>
  <c r="CY196" i="2"/>
  <c r="CY123" i="2"/>
  <c r="CY134" i="2"/>
  <c r="CY178" i="2"/>
  <c r="CY14" i="2"/>
  <c r="CY33" i="2"/>
  <c r="CY138" i="2"/>
  <c r="CY113" i="2"/>
  <c r="CY34" i="2"/>
  <c r="CY128" i="2"/>
  <c r="CY152" i="2"/>
  <c r="CY82" i="2"/>
  <c r="CY133" i="2"/>
  <c r="CY85" i="2"/>
  <c r="CY184" i="2"/>
  <c r="CY54" i="2"/>
  <c r="CY78" i="2"/>
  <c r="CY90" i="2"/>
  <c r="CY108" i="2"/>
  <c r="CY39" i="2"/>
  <c r="CY185" i="2"/>
  <c r="CY170" i="2"/>
  <c r="CY83" i="2"/>
  <c r="CY141" i="2"/>
  <c r="CY62" i="2"/>
  <c r="CY135" i="2"/>
  <c r="CY150" i="2"/>
  <c r="CY68" i="2"/>
  <c r="CY46" i="2"/>
  <c r="CY172" i="2"/>
  <c r="CY189" i="2"/>
  <c r="CY64" i="2"/>
  <c r="CY175" i="2"/>
  <c r="CY127" i="2"/>
  <c r="CY15" i="2"/>
  <c r="CY156" i="2"/>
  <c r="CY155" i="2"/>
  <c r="CY104" i="2"/>
  <c r="CY201" i="2"/>
  <c r="CY57" i="2"/>
  <c r="CY163" i="2"/>
  <c r="CY19" i="2"/>
  <c r="CY120" i="2"/>
  <c r="CY8" i="2"/>
  <c r="CY80" i="2"/>
  <c r="CY181" i="2"/>
  <c r="CY63" i="2"/>
  <c r="CY114" i="2"/>
  <c r="CY91" i="2"/>
  <c r="CY95" i="2"/>
  <c r="CY10" i="2"/>
  <c r="CY99" i="2"/>
  <c r="CY53" i="2"/>
  <c r="CY81" i="2"/>
  <c r="CY9" i="2"/>
  <c r="CY118" i="2"/>
  <c r="CY117" i="2"/>
  <c r="CY139" i="2"/>
  <c r="CY75" i="2"/>
  <c r="CY161" i="2"/>
  <c r="CY79" i="2"/>
  <c r="CY125" i="2"/>
  <c r="CY41" i="2"/>
  <c r="CY65" i="2"/>
  <c r="CY25" i="2"/>
  <c r="CY28" i="2"/>
  <c r="CY24" i="2"/>
  <c r="CY186" i="2"/>
  <c r="CY37" i="2"/>
  <c r="CY145" i="2"/>
  <c r="CY126" i="2"/>
  <c r="CY29" i="2"/>
  <c r="CY192" i="2"/>
  <c r="CY187" i="2"/>
  <c r="CY45" i="2"/>
  <c r="CY137" i="2"/>
  <c r="CY98" i="2"/>
  <c r="CY157" i="2"/>
  <c r="CY73" i="2"/>
  <c r="CY26" i="2"/>
  <c r="CY69" i="2"/>
  <c r="CY131" i="2"/>
  <c r="CY188" i="2"/>
  <c r="CY56" i="2"/>
  <c r="CY86" i="2"/>
  <c r="CY59" i="2"/>
  <c r="CY132" i="2"/>
  <c r="CY167" i="2"/>
  <c r="CY35" i="2"/>
  <c r="CY110" i="2"/>
  <c r="CY190" i="2"/>
  <c r="CY87" i="2"/>
  <c r="CY154" i="2"/>
  <c r="CY97" i="2"/>
  <c r="CY151" i="2"/>
  <c r="CY20" i="2"/>
  <c r="CY142" i="2"/>
  <c r="CY177" i="2"/>
  <c r="CY49" i="2"/>
  <c r="CY193" i="2"/>
  <c r="CY153" i="2"/>
  <c r="CY165" i="2"/>
  <c r="CY92" i="2"/>
  <c r="CY32" i="2"/>
  <c r="CY47" i="2"/>
  <c r="CY166" i="2"/>
  <c r="CY121" i="2"/>
  <c r="CY30" i="2"/>
  <c r="CY111" i="2"/>
  <c r="CY96" i="2"/>
  <c r="CY101" i="2"/>
  <c r="CY36" i="2"/>
  <c r="CY107" i="2"/>
  <c r="CY149" i="2"/>
  <c r="CY148" i="2"/>
  <c r="CY89" i="2"/>
  <c r="CY18" i="2"/>
  <c r="CY77" i="2"/>
  <c r="CY48" i="2"/>
  <c r="CY197" i="2"/>
  <c r="CY119" i="2"/>
  <c r="CY50" i="2"/>
  <c r="CY168" i="2"/>
  <c r="CY94" i="2"/>
  <c r="CY198" i="2"/>
  <c r="CY176" i="2"/>
  <c r="CY72" i="2"/>
  <c r="CY179" i="2"/>
  <c r="CY109" i="2"/>
  <c r="CY173" i="2"/>
  <c r="CY195" i="2"/>
  <c r="CY115" i="2"/>
  <c r="CY70" i="2"/>
  <c r="CY147" i="2"/>
  <c r="CY180" i="2"/>
  <c r="CY140" i="2"/>
  <c r="CY124" i="2"/>
  <c r="CY146" i="2"/>
  <c r="CY43" i="2"/>
  <c r="CY6" i="2"/>
  <c r="CY144" i="2"/>
  <c r="CY51" i="2"/>
  <c r="CY169" i="2"/>
  <c r="CY158" i="2"/>
  <c r="CY105" i="2"/>
  <c r="CY116" i="2"/>
  <c r="CY38" i="2"/>
  <c r="CY22" i="2"/>
  <c r="CY3" i="2"/>
  <c r="C10" i="4" s="1"/>
  <c r="E10" i="4" s="1"/>
  <c r="F10" i="4" s="1"/>
  <c r="G10" i="4" s="1"/>
  <c r="L10" i="4" s="1"/>
  <c r="CY202" i="2"/>
  <c r="CY17" i="2"/>
  <c r="CY182" i="2"/>
  <c r="CY203" i="2"/>
  <c r="CY27" i="2"/>
  <c r="CY71" i="2"/>
  <c r="CY13" i="2"/>
  <c r="CY164" i="2"/>
  <c r="CY88" i="2"/>
  <c r="CY106" i="2"/>
  <c r="CY42" i="2"/>
  <c r="CY5" i="2"/>
  <c r="CY100" i="2"/>
  <c r="CY66" i="2"/>
  <c r="CY174" i="2"/>
  <c r="CY7" i="2"/>
  <c r="CY183" i="2"/>
  <c r="CY103" i="2"/>
  <c r="CY40" i="2"/>
  <c r="CY199" i="2"/>
  <c r="CY21" i="2"/>
  <c r="CY55" i="2"/>
  <c r="CY16" i="2"/>
  <c r="CY130" i="2"/>
  <c r="CY58" i="2"/>
  <c r="CY61" i="2"/>
  <c r="CY4" i="2"/>
  <c r="CY112" i="2"/>
  <c r="CY200" i="2"/>
  <c r="CY159" i="2"/>
  <c r="CY84" i="2"/>
  <c r="CY74" i="2"/>
  <c r="CY31" i="2"/>
  <c r="CY52" i="2"/>
  <c r="CY11" i="2"/>
  <c r="CY102" i="2"/>
  <c r="CY23" i="2"/>
  <c r="CY194" i="2"/>
  <c r="CY171" i="2"/>
  <c r="CY60" i="2"/>
  <c r="CY162" i="2"/>
  <c r="CY67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Z188" i="2" l="1"/>
  <c r="GZ32" i="2"/>
  <c r="GZ169" i="2"/>
  <c r="GZ133" i="2"/>
  <c r="GZ174" i="2"/>
  <c r="GZ69" i="2"/>
  <c r="GZ196" i="2"/>
  <c r="GZ124" i="2"/>
  <c r="GZ114" i="2"/>
  <c r="GZ157" i="2"/>
  <c r="GZ99" i="2"/>
  <c r="GZ78" i="2"/>
  <c r="GZ95" i="2"/>
  <c r="GZ181" i="2"/>
  <c r="GZ185" i="2"/>
  <c r="GZ23" i="2"/>
  <c r="GZ12" i="2"/>
  <c r="GZ56" i="2"/>
  <c r="GZ172" i="2"/>
  <c r="GZ171" i="2"/>
  <c r="GZ89" i="2"/>
  <c r="GZ21" i="2"/>
  <c r="GZ7" i="2"/>
  <c r="GZ14" i="2"/>
  <c r="GZ22" i="2"/>
  <c r="GZ144" i="2"/>
  <c r="GZ115" i="2"/>
  <c r="GZ15" i="2"/>
  <c r="GZ165" i="2"/>
  <c r="GZ87" i="2"/>
  <c r="GZ41" i="2"/>
  <c r="GZ127" i="2"/>
  <c r="GZ182" i="2"/>
  <c r="GZ164" i="2"/>
  <c r="GZ193" i="2"/>
  <c r="GZ51" i="2"/>
  <c r="GZ29" i="2"/>
  <c r="GZ64" i="2"/>
  <c r="GZ4" i="2"/>
  <c r="GZ103" i="2"/>
  <c r="GZ148" i="2"/>
  <c r="GZ91" i="2"/>
  <c r="GZ119" i="2"/>
  <c r="GZ37" i="2"/>
  <c r="GZ202" i="2"/>
  <c r="GZ36" i="2"/>
  <c r="GZ6" i="2"/>
  <c r="GZ156" i="2"/>
  <c r="GZ40" i="2"/>
  <c r="GZ57" i="2"/>
  <c r="GZ106" i="2"/>
  <c r="GZ39" i="2"/>
  <c r="GZ59" i="2"/>
  <c r="GZ137" i="2"/>
  <c r="GZ48" i="2"/>
  <c r="GZ24" i="2"/>
  <c r="GZ186" i="2"/>
  <c r="GZ189" i="2"/>
  <c r="GZ140" i="2"/>
  <c r="GZ153" i="2"/>
  <c r="GZ154" i="2"/>
  <c r="GZ166" i="2"/>
  <c r="GZ44" i="2"/>
  <c r="GZ104" i="2"/>
  <c r="GZ152" i="2"/>
  <c r="GZ13" i="2"/>
  <c r="GZ73" i="2"/>
  <c r="GZ113" i="2"/>
  <c r="GZ180" i="2"/>
  <c r="GZ149" i="2"/>
  <c r="GZ122" i="2"/>
  <c r="GZ28" i="2"/>
  <c r="GZ54" i="2"/>
  <c r="GZ90" i="2"/>
  <c r="GZ98" i="2"/>
  <c r="GZ116" i="2"/>
  <c r="GZ105" i="2"/>
  <c r="GZ130" i="2"/>
  <c r="GZ107" i="2"/>
  <c r="GZ160" i="2"/>
  <c r="GZ198" i="2"/>
  <c r="GZ163" i="2"/>
  <c r="GZ5" i="2"/>
  <c r="GZ197" i="2"/>
  <c r="GZ43" i="2"/>
  <c r="GZ80" i="2"/>
  <c r="GZ138" i="2"/>
  <c r="GZ33" i="2"/>
  <c r="GZ97" i="2"/>
  <c r="GZ146" i="2"/>
  <c r="GZ190" i="2"/>
  <c r="GZ161" i="2"/>
  <c r="GZ71" i="2"/>
  <c r="GZ199" i="2"/>
  <c r="GZ108" i="2"/>
  <c r="GZ20" i="2"/>
  <c r="GZ25" i="2"/>
  <c r="GZ72" i="2"/>
  <c r="GZ155" i="2"/>
  <c r="GZ132" i="2"/>
  <c r="GZ191" i="2"/>
  <c r="GZ187" i="2"/>
  <c r="GZ162" i="2"/>
  <c r="GZ31" i="2"/>
  <c r="GZ66" i="2"/>
  <c r="GZ63" i="2"/>
  <c r="GZ67" i="2"/>
  <c r="GZ94" i="2"/>
  <c r="GZ79" i="2"/>
  <c r="GZ170" i="2"/>
  <c r="GZ38" i="2"/>
  <c r="GZ8" i="2"/>
  <c r="GZ88" i="2"/>
  <c r="GZ177" i="2"/>
  <c r="GZ58" i="2"/>
  <c r="GZ61" i="2"/>
  <c r="GZ86" i="2"/>
  <c r="GZ53" i="2"/>
  <c r="GZ145" i="2"/>
  <c r="GZ131" i="2"/>
  <c r="GZ96" i="2"/>
  <c r="GZ47" i="2"/>
  <c r="GZ27" i="2"/>
  <c r="GZ173" i="2"/>
  <c r="GZ194" i="2"/>
  <c r="GZ81" i="2"/>
  <c r="GZ45" i="2"/>
  <c r="GZ112" i="2"/>
  <c r="GZ120" i="2"/>
  <c r="GZ62" i="2"/>
  <c r="GZ121" i="2"/>
  <c r="GZ128" i="2"/>
  <c r="GZ178" i="2"/>
  <c r="GZ49" i="2"/>
  <c r="GZ136" i="2"/>
  <c r="GZ84" i="2"/>
  <c r="GZ147" i="2"/>
  <c r="GZ118" i="2"/>
  <c r="GZ110" i="2"/>
  <c r="GZ143" i="2"/>
  <c r="GZ135" i="2"/>
  <c r="GZ76" i="2"/>
  <c r="GZ77" i="2"/>
  <c r="GZ100" i="2"/>
  <c r="GZ111" i="2"/>
  <c r="GZ60" i="2"/>
  <c r="GZ123" i="2"/>
  <c r="GZ17" i="2"/>
  <c r="GZ65" i="2"/>
  <c r="GZ201" i="2"/>
  <c r="GZ35" i="2"/>
  <c r="GZ68" i="2"/>
  <c r="GZ151" i="2"/>
  <c r="GZ117" i="2"/>
  <c r="GZ109" i="2"/>
  <c r="GZ26" i="2"/>
  <c r="GZ195" i="2"/>
  <c r="GZ16" i="2"/>
  <c r="GZ203" i="2"/>
  <c r="GZ101" i="2"/>
  <c r="GZ125" i="2"/>
  <c r="GZ18" i="2"/>
  <c r="GZ141" i="2"/>
  <c r="GZ10" i="2"/>
  <c r="GZ129" i="2"/>
  <c r="GZ50" i="2"/>
  <c r="GZ126" i="2"/>
  <c r="GZ30" i="2"/>
  <c r="GZ52" i="2"/>
  <c r="GZ9" i="2"/>
  <c r="GZ175" i="2"/>
  <c r="GZ184" i="2"/>
  <c r="GZ102" i="2"/>
  <c r="GZ134" i="2"/>
  <c r="GZ82" i="2"/>
  <c r="GZ11" i="2"/>
  <c r="GZ176" i="2"/>
  <c r="GZ150" i="2"/>
  <c r="GZ168" i="2"/>
  <c r="GZ85" i="2"/>
  <c r="GZ93" i="2"/>
  <c r="GZ19" i="2"/>
  <c r="GZ83" i="2"/>
  <c r="GZ167" i="2"/>
  <c r="GZ159" i="2"/>
  <c r="GZ34" i="2"/>
  <c r="GZ179" i="2"/>
  <c r="GZ55" i="2"/>
  <c r="GZ139" i="2"/>
  <c r="GZ42" i="2"/>
  <c r="GZ142" i="2"/>
  <c r="GZ92" i="2"/>
  <c r="GZ70" i="2"/>
  <c r="GZ46" i="2"/>
  <c r="GZ74" i="2"/>
  <c r="GZ183" i="2"/>
  <c r="GZ158" i="2"/>
  <c r="GZ192" i="2"/>
  <c r="GZ200" i="2"/>
  <c r="GZ75" i="2"/>
  <c r="GZ3" i="2"/>
  <c r="C15" i="4" s="1"/>
  <c r="E15" i="4" s="1"/>
  <c r="F15" i="4" s="1"/>
  <c r="G15" i="4" s="1"/>
  <c r="L15" i="4" s="1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<sst xmlns="http://schemas.openxmlformats.org/spreadsheetml/2006/main" count="1178" uniqueCount="324">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</sst>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636.99987545603415</c:v>
                </c:pt>
                <c:pt idx="82">
                  <c:v>649.58221541705063</c:v>
                </c:pt>
                <c:pt idx="83">
                  <c:v>662.15953068851047</c:v>
                </c:pt>
                <c:pt idx="84">
                  <c:v>674.73193011676551</c:v>
                </c:pt>
                <c:pt idx="85">
                  <c:v>687.29951816311348</c:v>
                </c:pt>
                <c:pt idx="86">
                  <c:v>699.86239515908403</c:v>
                </c:pt>
                <c:pt idx="87">
                  <c:v>712.42065754245129</c:v>
                </c:pt>
                <c:pt idx="88">
                  <c:v>724.97439807575211</c:v>
                </c:pt>
                <c:pt idx="89">
                  <c:v>737.52370604888972</c:v>
                </c:pt>
                <c:pt idx="90">
                  <c:v>750.06866746724211</c:v>
                </c:pt>
                <c:pt idx="91">
                  <c:v>601.32161215624615</c:v>
                </c:pt>
                <c:pt idx="92">
                  <c:v>612.58301041135394</c:v>
                </c:pt>
                <c:pt idx="93">
                  <c:v>623.84011521480943</c:v>
                </c:pt>
                <c:pt idx="94">
                  <c:v>635.09301493951614</c:v>
                </c:pt>
                <c:pt idx="95">
                  <c:v>646.34179457229266</c:v>
                </c:pt>
                <c:pt idx="96">
                  <c:v>657.58653590152971</c:v>
                </c:pt>
                <c:pt idx="97">
                  <c:v>668.82731769134739</c:v>
                </c:pt>
                <c:pt idx="98">
                  <c:v>680.06421584344105</c:v>
                </c:pt>
                <c:pt idx="99">
                  <c:v>691.29730354768026</c:v>
                </c:pt>
                <c:pt idx="100">
                  <c:v>702.52665142241483</c:v>
                </c:pt>
                <c:pt idx="101">
                  <c:v>712.42065754245107</c:v>
                </c:pt>
                <c:pt idx="102">
                  <c:v>722.31185677865858</c:v>
                </c:pt>
                <c:pt idx="103">
                  <c:v>732.20029297203462</c:v>
                </c:pt>
                <c:pt idx="104">
                  <c:v>742.08600868333099</c:v>
                </c:pt>
                <c:pt idx="105">
                  <c:v>751.96904524735601</c:v>
                </c:pt>
                <c:pt idx="106">
                  <c:v>761.84944282427648</c:v>
                </c:pt>
                <c:pt idx="107">
                  <c:v>771.72724044812094</c:v>
                </c:pt>
                <c:pt idx="108">
                  <c:v>781.60247607267092</c:v>
                </c:pt>
                <c:pt idx="109">
                  <c:v>791.47518661491574</c:v>
                </c:pt>
                <c:pt idx="110">
                  <c:v>801.34540799622619</c:v>
                </c:pt>
                <c:pt idx="111">
                  <c:v>608.19348941446765</c:v>
                </c:pt>
                <c:pt idx="112">
                  <c:v>616.78107210210862</c:v>
                </c:pt>
                <c:pt idx="113">
                  <c:v>625.36617664098856</c:v>
                </c:pt>
                <c:pt idx="114">
                  <c:v>633.94884184663999</c:v>
                </c:pt>
                <c:pt idx="115">
                  <c:v>642.52910539795459</c:v>
                </c:pt>
                <c:pt idx="116">
                  <c:v>651.10700388552493</c:v>
                </c:pt>
                <c:pt idx="117">
                  <c:v>659.68257285730954</c:v>
                </c:pt>
                <c:pt idx="118">
                  <c:v>668.25584686179957</c:v>
                </c:pt>
                <c:pt idx="119">
                  <c:v>676.82685948885762</c:v>
                </c:pt>
                <c:pt idx="120">
                  <c:v>685.39564340837808</c:v>
                </c:pt>
                <c:pt idx="121">
                  <c:v>693.39119233094789</c:v>
                </c:pt>
                <c:pt idx="122">
                  <c:v>701.38485267499789</c:v>
                </c:pt>
                <c:pt idx="123">
                  <c:v>709.37664899579306</c:v>
                </c:pt>
                <c:pt idx="124">
                  <c:v>717.36660525030732</c:v>
                </c:pt>
                <c:pt idx="125">
                  <c:v>725.35474481844449</c:v>
                </c:pt>
                <c:pt idx="126">
                  <c:v>733.34109052327722</c:v>
                </c:pt>
                <c:pt idx="127">
                  <c:v>741.32566465035904</c:v>
                </c:pt>
                <c:pt idx="128">
                  <c:v>749.30848896615805</c:v>
                </c:pt>
                <c:pt idx="129">
                  <c:v>757.28958473566934</c:v>
                </c:pt>
                <c:pt idx="130">
                  <c:v>765.2689727392434</c:v>
                </c:pt>
                <c:pt idx="131">
                  <c:v>599.22154722155733</c:v>
                </c:pt>
                <c:pt idx="132">
                  <c:v>606.47567200029607</c:v>
                </c:pt>
                <c:pt idx="133">
                  <c:v>613.72799533010129</c:v>
                </c:pt>
                <c:pt idx="134">
                  <c:v>620.97854150271451</c:v>
                </c:pt>
                <c:pt idx="135">
                  <c:v>628.22733419629969</c:v>
                </c:pt>
                <c:pt idx="136">
                  <c:v>635.47439649799799</c:v>
                </c:pt>
                <c:pt idx="137">
                  <c:v>642.71975092539503</c:v>
                </c:pt>
                <c:pt idx="138">
                  <c:v>649.96341944697554</c:v>
                </c:pt>
                <c:pt idx="139">
                  <c:v>657.20542350161361</c:v>
                </c:pt>
                <c:pt idx="140">
                  <c:v>664.44578401716376</c:v>
                </c:pt>
                <c:pt idx="141">
                  <c:v>671.1131007030807</c:v>
                </c:pt>
                <c:pt idx="142">
                  <c:v>677.77905606178604</c:v>
                </c:pt>
                <c:pt idx="143">
                  <c:v>684.44366537005408</c:v>
                </c:pt>
                <c:pt idx="144">
                  <c:v>691.10694358289311</c:v>
                </c:pt>
                <c:pt idx="145">
                  <c:v>697.76890534342408</c:v>
                </c:pt>
                <c:pt idx="146">
                  <c:v>704.42956499236743</c:v>
                </c:pt>
                <c:pt idx="147">
                  <c:v>711.08893657714862</c:v>
                </c:pt>
                <c:pt idx="148">
                  <c:v>717.74703386064687</c:v>
                </c:pt>
                <c:pt idx="149">
                  <c:v>724.40387032960223</c:v>
                </c:pt>
                <c:pt idx="150">
                  <c:v>731.05945920269721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65223264"/>
        <c:axId val="-1765221088"/>
      </c:scatterChart>
      <c:valAx>
        <c:axId val="-17652232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65221088"/>
        <c:crosses val="autoZero"/>
        <c:crossBetween val="midCat"/>
      </c:valAx>
      <c:valAx>
        <c:axId val="-176522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65223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2.226622737697221</c:v>
                </c:pt>
                <c:pt idx="2">
                  <c:v>2.8625265097424397</c:v>
                </c:pt>
                <c:pt idx="3">
                  <c:v>3.6807673232046039</c:v>
                </c:pt>
                <c:pt idx="4">
                  <c:v>4.7338249191760466</c:v>
                </c:pt>
                <c:pt idx="5">
                  <c:v>6.0893366647592657</c:v>
                </c:pt>
                <c:pt idx="6">
                  <c:v>7.8344897360718626</c:v>
                </c:pt>
                <c:pt idx="7">
                  <c:v>10.081689817520575</c:v>
                </c:pt>
                <c:pt idx="8">
                  <c:v>12.975878330143091</c:v>
                </c:pt>
                <c:pt idx="9">
                  <c:v>16.70397888629628</c:v>
                </c:pt>
                <c:pt idx="10">
                  <c:v>21.507094176298665</c:v>
                </c:pt>
                <c:pt idx="11">
                  <c:v>27.696256162013025</c:v>
                </c:pt>
                <c:pt idx="12">
                  <c:v>35.672767364515572</c:v>
                </c:pt>
                <c:pt idx="13">
                  <c:v>45.954474822239945</c:v>
                </c:pt>
                <c:pt idx="14">
                  <c:v>59.209711195430032</c:v>
                </c:pt>
                <c:pt idx="15">
                  <c:v>76.301145689172856</c:v>
                </c:pt>
                <c:pt idx="16">
                  <c:v>88.457340034120918</c:v>
                </c:pt>
                <c:pt idx="17">
                  <c:v>100.57156022593183</c:v>
                </c:pt>
                <c:pt idx="18">
                  <c:v>112.64958590196655</c:v>
                </c:pt>
                <c:pt idx="19">
                  <c:v>124.69585112217392</c:v>
                </c:pt>
                <c:pt idx="20">
                  <c:v>136.71386058122562</c:v>
                </c:pt>
                <c:pt idx="21">
                  <c:v>113.40336758500625</c:v>
                </c:pt>
                <c:pt idx="22">
                  <c:v>125.82369159890273</c:v>
                </c:pt>
                <c:pt idx="23">
                  <c:v>138.21427227726235</c:v>
                </c:pt>
                <c:pt idx="24">
                  <c:v>150.57815464878283</c:v>
                </c:pt>
                <c:pt idx="25">
                  <c:v>162.91784180635725</c:v>
                </c:pt>
                <c:pt idx="26">
                  <c:v>174.6759892646526</c:v>
                </c:pt>
                <c:pt idx="27">
                  <c:v>186.41554721296791</c:v>
                </c:pt>
                <c:pt idx="28">
                  <c:v>198.13785215720918</c:v>
                </c:pt>
                <c:pt idx="29">
                  <c:v>209.8440693666619</c:v>
                </c:pt>
                <c:pt idx="30">
                  <c:v>221.53522335108485</c:v>
                </c:pt>
                <c:pt idx="31">
                  <c:v>185.2982570323903</c:v>
                </c:pt>
                <c:pt idx="32">
                  <c:v>196.46424765821197</c:v>
                </c:pt>
                <c:pt idx="33">
                  <c:v>207.61550464114839</c:v>
                </c:pt>
                <c:pt idx="34">
                  <c:v>218.7529314533075</c:v>
                </c:pt>
                <c:pt idx="35">
                  <c:v>229.8773319666974</c:v>
                </c:pt>
                <c:pt idx="36">
                  <c:v>240.24898910471029</c:v>
                </c:pt>
                <c:pt idx="37">
                  <c:v>250.61045481310325</c:v>
                </c:pt>
                <c:pt idx="38">
                  <c:v>260.96221015972299</c:v>
                </c:pt>
                <c:pt idx="39">
                  <c:v>271.30469489980919</c:v>
                </c:pt>
                <c:pt idx="40">
                  <c:v>281.63831249761358</c:v>
                </c:pt>
                <c:pt idx="41">
                  <c:v>241.5447193683236</c:v>
                </c:pt>
                <c:pt idx="42">
                  <c:v>251.35018250509077</c:v>
                </c:pt>
                <c:pt idx="43">
                  <c:v>261.14697743122923</c:v>
                </c:pt>
                <c:pt idx="44">
                  <c:v>270.93547543188362</c:v>
                </c:pt>
                <c:pt idx="45">
                  <c:v>280.71601875158382</c:v>
                </c:pt>
                <c:pt idx="46">
                  <c:v>289.75160586553034</c:v>
                </c:pt>
                <c:pt idx="47">
                  <c:v>298.78089686477716</c:v>
                </c:pt>
                <c:pt idx="48">
                  <c:v>307.80410900253173</c:v>
                </c:pt>
                <c:pt idx="49">
                  <c:v>316.82144574470937</c:v>
                </c:pt>
                <c:pt idx="50">
                  <c:v>325.8330980209808</c:v>
                </c:pt>
                <c:pt idx="51">
                  <c:v>287.17066187581446</c:v>
                </c:pt>
                <c:pt idx="52">
                  <c:v>295.46473202474721</c:v>
                </c:pt>
                <c:pt idx="53">
                  <c:v>303.75360952955964</c:v>
                </c:pt>
                <c:pt idx="54">
                  <c:v>312.03745619949137</c:v>
                </c:pt>
                <c:pt idx="55">
                  <c:v>320.31642454362617</c:v>
                </c:pt>
                <c:pt idx="56">
                  <c:v>328.03918745937807</c:v>
                </c:pt>
                <c:pt idx="57">
                  <c:v>335.75793717547276</c:v>
                </c:pt>
                <c:pt idx="58">
                  <c:v>343.47277904595654</c:v>
                </c:pt>
                <c:pt idx="59">
                  <c:v>351.1838133017921</c:v>
                </c:pt>
                <c:pt idx="60">
                  <c:v>358.89113540947909</c:v>
                </c:pt>
                <c:pt idx="61">
                  <c:v>323.07502170283419</c:v>
                </c:pt>
                <c:pt idx="62">
                  <c:v>330.42874810515195</c:v>
                </c:pt>
                <c:pt idx="63">
                  <c:v>337.77886455023247</c:v>
                </c:pt>
                <c:pt idx="64">
                  <c:v>345.12546074519736</c:v>
                </c:pt>
                <c:pt idx="65">
                  <c:v>352.46862226287652</c:v>
                </c:pt>
                <c:pt idx="66">
                  <c:v>359.62497583302707</c:v>
                </c:pt>
                <c:pt idx="67">
                  <c:v>366.77821443674179</c:v>
                </c:pt>
                <c:pt idx="68">
                  <c:v>373.92840744681308</c:v>
                </c:pt>
                <c:pt idx="69">
                  <c:v>381.0756213642569</c:v>
                </c:pt>
                <c:pt idx="70">
                  <c:v>388.21991999001654</c:v>
                </c:pt>
                <c:pt idx="71">
                  <c:v>355.40494358786822</c:v>
                </c:pt>
                <c:pt idx="72">
                  <c:v>362.00973132142713</c:v>
                </c:pt>
                <c:pt idx="73">
                  <c:v>368.61188489876866</c:v>
                </c:pt>
                <c:pt idx="74">
                  <c:v>375.21145820009173</c:v>
                </c:pt>
                <c:pt idx="75">
                  <c:v>381.80850305381119</c:v>
                </c:pt>
                <c:pt idx="76">
                  <c:v>387.85361564101663</c:v>
                </c:pt>
                <c:pt idx="77">
                  <c:v>393.89668264259575</c:v>
                </c:pt>
                <c:pt idx="78">
                  <c:v>399.93773989825166</c:v>
                </c:pt>
                <c:pt idx="79">
                  <c:v>405.97682207564725</c:v>
                </c:pt>
                <c:pt idx="80">
                  <c:v>412.01396272598703</c:v>
                </c:pt>
                <c:pt idx="81">
                  <c:v>380.34270900980056</c:v>
                </c:pt>
                <c:pt idx="82">
                  <c:v>386.2051529766095</c:v>
                </c:pt>
                <c:pt idx="83">
                  <c:v>392.06566407054515</c:v>
                </c:pt>
                <c:pt idx="84">
                  <c:v>397.9242752879988</c:v>
                </c:pt>
                <c:pt idx="85">
                  <c:v>403.78101857356387</c:v>
                </c:pt>
                <c:pt idx="86">
                  <c:v>409.27004647130326</c:v>
                </c:pt>
                <c:pt idx="87">
                  <c:v>414.75748456475031</c:v>
                </c:pt>
                <c:pt idx="88">
                  <c:v>420.24335687514667</c:v>
                </c:pt>
                <c:pt idx="89">
                  <c:v>425.72768674484382</c:v>
                </c:pt>
                <c:pt idx="90">
                  <c:v>431.21049686518558</c:v>
                </c:pt>
                <c:pt idx="91">
                  <c:v>401.76797181151136</c:v>
                </c:pt>
                <c:pt idx="92">
                  <c:v>407.07462745738621</c:v>
                </c:pt>
                <c:pt idx="93">
                  <c:v>412.37978836079861</c:v>
                </c:pt>
                <c:pt idx="94">
                  <c:v>417.6834764831122</c:v>
                </c:pt>
                <c:pt idx="95">
                  <c:v>422.98571318193194</c:v>
                </c:pt>
                <c:pt idx="96">
                  <c:v>428.10375641326408</c:v>
                </c:pt>
                <c:pt idx="97">
                  <c:v>433.22048417506704</c:v>
                </c:pt>
                <c:pt idx="98">
                  <c:v>438.33591421069946</c:v>
                </c:pt>
                <c:pt idx="99">
                  <c:v>443.45006381522575</c:v>
                </c:pt>
                <c:pt idx="100">
                  <c:v>448.56294985189817</c:v>
                </c:pt>
                <c:pt idx="101">
                  <c:v>421.15751834664781</c:v>
                </c:pt>
                <c:pt idx="102">
                  <c:v>425.72768674484382</c:v>
                </c:pt>
                <c:pt idx="103">
                  <c:v>430.29679977258542</c:v>
                </c:pt>
                <c:pt idx="104">
                  <c:v>434.86487022897177</c:v>
                </c:pt>
                <c:pt idx="105">
                  <c:v>439.43191062199884</c:v>
                </c:pt>
                <c:pt idx="106">
                  <c:v>444.18055307943456</c:v>
                </c:pt>
                <c:pt idx="107">
                  <c:v>448.92810808361338</c:v>
                </c:pt>
                <c:pt idx="108">
                  <c:v>453.67458876784752</c:v>
                </c:pt>
                <c:pt idx="109">
                  <c:v>458.42000796797294</c:v>
                </c:pt>
                <c:pt idx="110">
                  <c:v>463.16437823216773</c:v>
                </c:pt>
                <c:pt idx="111">
                  <c:v>3.1457867471021712E-12</c:v>
                </c:pt>
                <c:pt idx="112">
                  <c:v>3.1457867471021712E-12</c:v>
                </c:pt>
                <c:pt idx="113">
                  <c:v>3.1457867471021712E-12</c:v>
                </c:pt>
                <c:pt idx="114">
                  <c:v>3.1457867471021712E-12</c:v>
                </c:pt>
                <c:pt idx="115">
                  <c:v>3.1457867471021712E-12</c:v>
                </c:pt>
                <c:pt idx="116">
                  <c:v>3.1457867471021712E-12</c:v>
                </c:pt>
                <c:pt idx="117">
                  <c:v>3.1457867471021712E-12</c:v>
                </c:pt>
                <c:pt idx="118">
                  <c:v>3.1457867471021712E-12</c:v>
                </c:pt>
                <c:pt idx="119">
                  <c:v>3.1457867471021712E-12</c:v>
                </c:pt>
                <c:pt idx="120">
                  <c:v>3.1457867471021712E-12</c:v>
                </c:pt>
                <c:pt idx="121">
                  <c:v>3.1457867471021712E-12</c:v>
                </c:pt>
                <c:pt idx="122">
                  <c:v>3.1457867471021712E-12</c:v>
                </c:pt>
                <c:pt idx="123">
                  <c:v>3.1457867471021712E-12</c:v>
                </c:pt>
                <c:pt idx="124">
                  <c:v>3.1457867471021712E-12</c:v>
                </c:pt>
                <c:pt idx="125">
                  <c:v>3.1457867471021712E-12</c:v>
                </c:pt>
                <c:pt idx="126">
                  <c:v>3.1457867471021712E-12</c:v>
                </c:pt>
                <c:pt idx="127">
                  <c:v>3.1457867471021712E-12</c:v>
                </c:pt>
                <c:pt idx="128">
                  <c:v>3.1457867471021712E-12</c:v>
                </c:pt>
                <c:pt idx="129">
                  <c:v>3.1457867471021712E-12</c:v>
                </c:pt>
                <c:pt idx="130">
                  <c:v>3.1457867471021712E-12</c:v>
                </c:pt>
                <c:pt idx="131">
                  <c:v>3.1457867471021712E-12</c:v>
                </c:pt>
                <c:pt idx="132">
                  <c:v>3.1457867471021712E-12</c:v>
                </c:pt>
                <c:pt idx="133">
                  <c:v>3.1457867471021712E-12</c:v>
                </c:pt>
                <c:pt idx="134">
                  <c:v>3.1457867471021712E-12</c:v>
                </c:pt>
                <c:pt idx="135">
                  <c:v>3.1457867471021712E-12</c:v>
                </c:pt>
                <c:pt idx="136">
                  <c:v>3.1457867471021712E-12</c:v>
                </c:pt>
                <c:pt idx="137">
                  <c:v>3.1457867471021712E-12</c:v>
                </c:pt>
                <c:pt idx="138">
                  <c:v>3.1457867471021712E-12</c:v>
                </c:pt>
                <c:pt idx="139">
                  <c:v>3.1457867471021712E-12</c:v>
                </c:pt>
                <c:pt idx="140">
                  <c:v>3.1457867471021712E-12</c:v>
                </c:pt>
                <c:pt idx="141">
                  <c:v>3.1457867471021712E-12</c:v>
                </c:pt>
                <c:pt idx="142">
                  <c:v>3.1457867471021712E-12</c:v>
                </c:pt>
                <c:pt idx="143">
                  <c:v>3.1457867471021712E-12</c:v>
                </c:pt>
                <c:pt idx="144">
                  <c:v>3.1457867471021712E-12</c:v>
                </c:pt>
                <c:pt idx="145">
                  <c:v>3.1457867471021712E-12</c:v>
                </c:pt>
                <c:pt idx="146">
                  <c:v>3.1457867471021712E-12</c:v>
                </c:pt>
                <c:pt idx="147">
                  <c:v>3.1457867471021712E-12</c:v>
                </c:pt>
                <c:pt idx="148">
                  <c:v>3.1457867471021712E-12</c:v>
                </c:pt>
                <c:pt idx="149">
                  <c:v>3.1457867471021712E-12</c:v>
                </c:pt>
                <c:pt idx="150">
                  <c:v>3.1457867471021712E-12</c:v>
                </c:pt>
                <c:pt idx="151">
                  <c:v>3.1457867471021712E-12</c:v>
                </c:pt>
                <c:pt idx="152">
                  <c:v>3.1457867471021712E-12</c:v>
                </c:pt>
                <c:pt idx="153">
                  <c:v>3.1457867471021712E-12</c:v>
                </c:pt>
                <c:pt idx="154">
                  <c:v>3.1457867471021712E-12</c:v>
                </c:pt>
                <c:pt idx="155">
                  <c:v>3.1457867471021712E-12</c:v>
                </c:pt>
                <c:pt idx="156">
                  <c:v>3.1457867471021712E-12</c:v>
                </c:pt>
                <c:pt idx="157">
                  <c:v>3.1457867471021712E-12</c:v>
                </c:pt>
                <c:pt idx="158">
                  <c:v>3.1457867471021712E-12</c:v>
                </c:pt>
                <c:pt idx="159">
                  <c:v>3.1457867471021712E-12</c:v>
                </c:pt>
                <c:pt idx="160">
                  <c:v>3.1457867471021712E-12</c:v>
                </c:pt>
                <c:pt idx="161">
                  <c:v>3.1457867471021712E-12</c:v>
                </c:pt>
                <c:pt idx="162">
                  <c:v>3.1457867471021712E-12</c:v>
                </c:pt>
                <c:pt idx="163">
                  <c:v>3.1457867471021712E-12</c:v>
                </c:pt>
                <c:pt idx="164">
                  <c:v>3.1457867471021712E-12</c:v>
                </c:pt>
                <c:pt idx="165">
                  <c:v>3.1457867471021712E-12</c:v>
                </c:pt>
                <c:pt idx="166">
                  <c:v>3.1457867471021712E-12</c:v>
                </c:pt>
                <c:pt idx="167">
                  <c:v>3.1457867471021712E-12</c:v>
                </c:pt>
                <c:pt idx="168">
                  <c:v>3.1457867471021712E-12</c:v>
                </c:pt>
                <c:pt idx="169">
                  <c:v>3.1457867471021712E-12</c:v>
                </c:pt>
                <c:pt idx="170">
                  <c:v>3.1457867471021712E-12</c:v>
                </c:pt>
                <c:pt idx="171">
                  <c:v>3.1457867471021712E-12</c:v>
                </c:pt>
                <c:pt idx="172">
                  <c:v>3.1457867471021712E-12</c:v>
                </c:pt>
                <c:pt idx="173">
                  <c:v>3.1457867471021712E-12</c:v>
                </c:pt>
                <c:pt idx="174">
                  <c:v>3.1457867471021712E-12</c:v>
                </c:pt>
                <c:pt idx="175">
                  <c:v>3.1457867471021712E-12</c:v>
                </c:pt>
                <c:pt idx="176">
                  <c:v>3.1457867471021712E-12</c:v>
                </c:pt>
                <c:pt idx="177">
                  <c:v>3.1457867471021712E-12</c:v>
                </c:pt>
                <c:pt idx="178">
                  <c:v>3.1457867471021712E-12</c:v>
                </c:pt>
                <c:pt idx="179">
                  <c:v>3.1457867471021712E-12</c:v>
                </c:pt>
                <c:pt idx="180">
                  <c:v>3.1457867471021712E-12</c:v>
                </c:pt>
                <c:pt idx="181">
                  <c:v>3.1457867471021712E-12</c:v>
                </c:pt>
                <c:pt idx="182">
                  <c:v>3.1457867471021712E-12</c:v>
                </c:pt>
                <c:pt idx="183">
                  <c:v>3.1457867471021712E-12</c:v>
                </c:pt>
                <c:pt idx="184">
                  <c:v>3.1457867471021712E-12</c:v>
                </c:pt>
                <c:pt idx="185">
                  <c:v>3.1457867471021712E-12</c:v>
                </c:pt>
                <c:pt idx="186">
                  <c:v>3.1457867471021712E-12</c:v>
                </c:pt>
                <c:pt idx="187">
                  <c:v>3.1457867471021712E-12</c:v>
                </c:pt>
                <c:pt idx="188">
                  <c:v>3.1457867471021712E-12</c:v>
                </c:pt>
                <c:pt idx="189">
                  <c:v>3.1457867471021712E-12</c:v>
                </c:pt>
                <c:pt idx="190">
                  <c:v>3.1457867471021712E-12</c:v>
                </c:pt>
                <c:pt idx="191">
                  <c:v>3.1457867471021712E-12</c:v>
                </c:pt>
                <c:pt idx="192">
                  <c:v>3.1457867471021712E-12</c:v>
                </c:pt>
                <c:pt idx="193">
                  <c:v>3.1457867471021712E-12</c:v>
                </c:pt>
                <c:pt idx="194">
                  <c:v>3.1457867471021712E-12</c:v>
                </c:pt>
                <c:pt idx="195">
                  <c:v>3.1457867471021712E-12</c:v>
                </c:pt>
                <c:pt idx="196">
                  <c:v>3.1457867471021712E-12</c:v>
                </c:pt>
                <c:pt idx="197">
                  <c:v>3.1457867471021712E-12</c:v>
                </c:pt>
                <c:pt idx="198">
                  <c:v>3.1457867471021712E-12</c:v>
                </c:pt>
                <c:pt idx="199">
                  <c:v>3.1457867471021712E-12</c:v>
                </c:pt>
                <c:pt idx="200">
                  <c:v>3.1457867471021712E-12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82962992"/>
        <c:axId val="-1482966256"/>
      </c:scatterChart>
      <c:valAx>
        <c:axId val="-1482962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66256"/>
        <c:crosses val="autoZero"/>
        <c:crossBetween val="midCat"/>
      </c:valAx>
      <c:valAx>
        <c:axId val="-148296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62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150.87513847478246</c:v>
                </c:pt>
                <c:pt idx="22">
                  <c:v>164.05970215478601</c:v>
                </c:pt>
                <c:pt idx="23">
                  <c:v>177.21922452403726</c:v>
                </c:pt>
                <c:pt idx="24">
                  <c:v>190.35582818013089</c:v>
                </c:pt>
                <c:pt idx="25">
                  <c:v>203.47131846209797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244.88086471160261</c:v>
                </c:pt>
                <c:pt idx="32">
                  <c:v>264.43843589912387</c:v>
                </c:pt>
                <c:pt idx="33">
                  <c:v>283.96339386484857</c:v>
                </c:pt>
                <c:pt idx="34">
                  <c:v>303.45829588181323</c:v>
                </c:pt>
                <c:pt idx="35">
                  <c:v>322.92534379451848</c:v>
                </c:pt>
                <c:pt idx="36">
                  <c:v>241.98049682860949</c:v>
                </c:pt>
                <c:pt idx="37">
                  <c:v>262.26703366253639</c:v>
                </c:pt>
                <c:pt idx="38">
                  <c:v>282.51816051208368</c:v>
                </c:pt>
                <c:pt idx="39">
                  <c:v>302.73677181781744</c:v>
                </c:pt>
                <c:pt idx="40">
                  <c:v>322.92534379451837</c:v>
                </c:pt>
                <c:pt idx="41">
                  <c:v>343.44578806718232</c:v>
                </c:pt>
                <c:pt idx="42">
                  <c:v>363.93929728008408</c:v>
                </c:pt>
                <c:pt idx="43">
                  <c:v>384.40760067247987</c:v>
                </c:pt>
                <c:pt idx="44">
                  <c:v>404.85222837562537</c:v>
                </c:pt>
                <c:pt idx="45">
                  <c:v>425.27454344239982</c:v>
                </c:pt>
                <c:pt idx="46">
                  <c:v>344.52504925832596</c:v>
                </c:pt>
                <c:pt idx="47">
                  <c:v>364.29860280650684</c:v>
                </c:pt>
                <c:pt idx="48">
                  <c:v>384.04871588248375</c:v>
                </c:pt>
                <c:pt idx="49">
                  <c:v>403.77676289014676</c:v>
                </c:pt>
                <c:pt idx="50">
                  <c:v>423.48397302905897</c:v>
                </c:pt>
                <c:pt idx="51">
                  <c:v>441.74027828737439</c:v>
                </c:pt>
                <c:pt idx="52">
                  <c:v>459.98041834329564</c:v>
                </c:pt>
                <c:pt idx="53">
                  <c:v>478.20512408967215</c:v>
                </c:pt>
                <c:pt idx="54">
                  <c:v>496.4150661959215</c:v>
                </c:pt>
                <c:pt idx="55">
                  <c:v>514.61086214265561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514.25421410888737</c:v>
                </c:pt>
                <c:pt idx="62">
                  <c:v>529.94184508625551</c:v>
                </c:pt>
                <c:pt idx="63">
                  <c:v>545.61970516793383</c:v>
                </c:pt>
                <c:pt idx="64">
                  <c:v>561.28811451546585</c:v>
                </c:pt>
                <c:pt idx="65">
                  <c:v>576.94737396741846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563.77996485783649</c:v>
                </c:pt>
                <c:pt idx="72">
                  <c:v>577.3031621395595</c:v>
                </c:pt>
                <c:pt idx="73">
                  <c:v>590.81975093891435</c:v>
                </c:pt>
                <c:pt idx="74">
                  <c:v>604.32990368396679</c:v>
                </c:pt>
                <c:pt idx="75">
                  <c:v>617.83378446799861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594.0200993627401</c:v>
                </c:pt>
                <c:pt idx="82">
                  <c:v>605.75165740042189</c:v>
                </c:pt>
                <c:pt idx="83">
                  <c:v>617.47849820447721</c:v>
                </c:pt>
                <c:pt idx="84">
                  <c:v>629.200723961054</c:v>
                </c:pt>
                <c:pt idx="85">
                  <c:v>640.91843273956351</c:v>
                </c:pt>
                <c:pt idx="86">
                  <c:v>652.63171873234603</c:v>
                </c:pt>
                <c:pt idx="87">
                  <c:v>664.34067247624</c:v>
                </c:pt>
                <c:pt idx="88">
                  <c:v>676.0453810577319</c:v>
                </c:pt>
                <c:pt idx="89">
                  <c:v>687.74592830316158</c:v>
                </c:pt>
                <c:pt idx="90">
                  <c:v>699.44239495532099</c:v>
                </c:pt>
                <c:pt idx="91">
                  <c:v>560.75411650027115</c:v>
                </c:pt>
                <c:pt idx="92">
                  <c:v>571.25413823451834</c:v>
                </c:pt>
                <c:pt idx="93">
                  <c:v>581.75012922929818</c:v>
                </c:pt>
                <c:pt idx="94">
                  <c:v>592.24217245006082</c:v>
                </c:pt>
                <c:pt idx="95">
                  <c:v>602.73034768336299</c:v>
                </c:pt>
                <c:pt idx="96">
                  <c:v>613.21473171304285</c:v>
                </c:pt>
                <c:pt idx="97">
                  <c:v>623.6953984837188</c:v>
                </c:pt>
                <c:pt idx="98">
                  <c:v>634.1724192527347</c:v>
                </c:pt>
                <c:pt idx="99">
                  <c:v>644.64586273154237</c:v>
                </c:pt>
                <c:pt idx="100">
                  <c:v>655.11579521742237</c:v>
                </c:pt>
                <c:pt idx="101">
                  <c:v>664.34067247623955</c:v>
                </c:pt>
                <c:pt idx="102">
                  <c:v>673.56291460175487</c:v>
                </c:pt>
                <c:pt idx="103">
                  <c:v>682.78256275237675</c:v>
                </c:pt>
                <c:pt idx="104">
                  <c:v>691.99965688460588</c:v>
                </c:pt>
                <c:pt idx="105">
                  <c:v>701.2142358040129</c:v>
                </c:pt>
                <c:pt idx="106">
                  <c:v>710.42633721340314</c:v>
                </c:pt>
                <c:pt idx="107">
                  <c:v>719.63599775834973</c:v>
                </c:pt>
                <c:pt idx="108">
                  <c:v>728.84325307027939</c:v>
                </c:pt>
                <c:pt idx="109">
                  <c:v>738.0481378072659</c:v>
                </c:pt>
                <c:pt idx="110">
                  <c:v>747.25068569268603</c:v>
                </c:pt>
                <c:pt idx="111">
                  <c:v>567.16139348415538</c:v>
                </c:pt>
                <c:pt idx="112">
                  <c:v>575.16836435383323</c:v>
                </c:pt>
                <c:pt idx="113">
                  <c:v>583.17300871029295</c:v>
                </c:pt>
                <c:pt idx="114">
                  <c:v>591.17536299398307</c:v>
                </c:pt>
                <c:pt idx="115">
                  <c:v>599.17546257825973</c:v>
                </c:pt>
                <c:pt idx="116">
                  <c:v>607.1733418147719</c:v>
                </c:pt>
                <c:pt idx="117">
                  <c:v>615.16903407633276</c:v>
                </c:pt>
                <c:pt idx="118">
                  <c:v>623.16257179744491</c:v>
                </c:pt>
                <c:pt idx="119">
                  <c:v>631.15398651263888</c:v>
                </c:pt>
                <c:pt idx="120">
                  <c:v>639.14330889277005</c:v>
                </c:pt>
                <c:pt idx="121">
                  <c:v>646.59814836693397</c:v>
                </c:pt>
                <c:pt idx="122">
                  <c:v>654.05121482288484</c:v>
                </c:pt>
                <c:pt idx="123">
                  <c:v>661.50253131337433</c:v>
                </c:pt>
                <c:pt idx="124">
                  <c:v>668.95212032947177</c:v>
                </c:pt>
                <c:pt idx="125">
                  <c:v>676.40000382048788</c:v>
                </c:pt>
                <c:pt idx="126">
                  <c:v>683.84620321297291</c:v>
                </c:pt>
                <c:pt idx="127">
                  <c:v>691.29073942884872</c:v>
                </c:pt>
                <c:pt idx="128">
                  <c:v>698.73363290271425</c:v>
                </c:pt>
                <c:pt idx="129">
                  <c:v>706.1749035983803</c:v>
                </c:pt>
                <c:pt idx="130">
                  <c:v>713.61457102466704</c:v>
                </c:pt>
                <c:pt idx="131">
                  <c:v>558.79603262623471</c:v>
                </c:pt>
                <c:pt idx="132">
                  <c:v>565.55971684392955</c:v>
                </c:pt>
                <c:pt idx="133">
                  <c:v>572.32170984162178</c:v>
                </c:pt>
                <c:pt idx="134">
                  <c:v>579.08203442466424</c:v>
                </c:pt>
                <c:pt idx="135">
                  <c:v>585.84071282237744</c:v>
                </c:pt>
                <c:pt idx="136">
                  <c:v>592.59776670922179</c:v>
                </c:pt>
                <c:pt idx="137">
                  <c:v>599.35321722495371</c:v>
                </c:pt>
                <c:pt idx="138">
                  <c:v>606.1070849938277</c:v>
                </c:pt>
                <c:pt idx="139">
                  <c:v>612.85939014289363</c:v>
                </c:pt>
                <c:pt idx="140">
                  <c:v>619.61015231945032</c:v>
                </c:pt>
                <c:pt idx="141">
                  <c:v>625.82661106001285</c:v>
                </c:pt>
                <c:pt idx="142">
                  <c:v>632.04179177166873</c:v>
                </c:pt>
                <c:pt idx="143">
                  <c:v>638.2557087964218</c:v>
                </c:pt>
                <c:pt idx="144">
                  <c:v>644.46837617419681</c:v>
                </c:pt>
                <c:pt idx="145">
                  <c:v>650.67980765211689</c:v>
                </c:pt>
                <c:pt idx="146">
                  <c:v>656.89001669340757</c:v>
                </c:pt>
                <c:pt idx="147">
                  <c:v>663.0990164859453</c:v>
                </c:pt>
                <c:pt idx="148">
                  <c:v>669.30681995047235</c:v>
                </c:pt>
                <c:pt idx="149">
                  <c:v>675.51343974848794</c:v>
                </c:pt>
                <c:pt idx="150">
                  <c:v>681.71888828983617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66871056"/>
        <c:axId val="-1482965168"/>
      </c:scatterChart>
      <c:valAx>
        <c:axId val="-1766871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65168"/>
        <c:crosses val="autoZero"/>
        <c:crossBetween val="midCat"/>
      </c:valAx>
      <c:valAx>
        <c:axId val="-1482965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66871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2.563317265587385</c:v>
                </c:pt>
                <c:pt idx="2">
                  <c:v>2.9931242698209175</c:v>
                </c:pt>
                <c:pt idx="3">
                  <c:v>3.495262379874847</c:v>
                </c:pt>
                <c:pt idx="4">
                  <c:v>4.0819457908313188</c:v>
                </c:pt>
                <c:pt idx="5">
                  <c:v>4.767457867928365</c:v>
                </c:pt>
                <c:pt idx="6">
                  <c:v>5.5685027236698934</c:v>
                </c:pt>
                <c:pt idx="7">
                  <c:v>6.5046166966546997</c:v>
                </c:pt>
                <c:pt idx="8">
                  <c:v>7.5986499639953875</c:v>
                </c:pt>
                <c:pt idx="9">
                  <c:v>8.8773302709534629</c:v>
                </c:pt>
                <c:pt idx="10">
                  <c:v>10.371922813713566</c:v>
                </c:pt>
                <c:pt idx="11">
                  <c:v>12.119002715718514</c:v>
                </c:pt>
                <c:pt idx="12">
                  <c:v>14.161359355243766</c:v>
                </c:pt>
                <c:pt idx="13">
                  <c:v>16.549055102890339</c:v>
                </c:pt>
                <c:pt idx="14">
                  <c:v>19.34066489563363</c:v>
                </c:pt>
                <c:pt idx="15">
                  <c:v>22.604727606533277</c:v>
                </c:pt>
                <c:pt idx="16">
                  <c:v>26.421445480550759</c:v>
                </c:pt>
                <c:pt idx="17">
                  <c:v>30.884674131214894</c:v>
                </c:pt>
                <c:pt idx="18">
                  <c:v>36.104252887315027</c:v>
                </c:pt>
                <c:pt idx="19">
                  <c:v>42.208733827691781</c:v>
                </c:pt>
                <c:pt idx="20">
                  <c:v>49.348577861626978</c:v>
                </c:pt>
                <c:pt idx="21">
                  <c:v>57.699897955682388</c:v>
                </c:pt>
                <c:pt idx="22">
                  <c:v>67.468843372192154</c:v>
                </c:pt>
                <c:pt idx="23">
                  <c:v>78.896734918347235</c:v>
                </c:pt>
                <c:pt idx="24">
                  <c:v>92.266080116422515</c:v>
                </c:pt>
                <c:pt idx="25">
                  <c:v>107.90761937422224</c:v>
                </c:pt>
                <c:pt idx="26">
                  <c:v>126.20858022201269</c:v>
                </c:pt>
                <c:pt idx="27">
                  <c:v>147.62234714684953</c:v>
                </c:pt>
                <c:pt idx="28">
                  <c:v>148.24496805506811</c:v>
                </c:pt>
                <c:pt idx="29">
                  <c:v>171.24037882872651</c:v>
                </c:pt>
                <c:pt idx="30">
                  <c:v>194.16304064471555</c:v>
                </c:pt>
                <c:pt idx="31">
                  <c:v>196.32800949959145</c:v>
                </c:pt>
                <c:pt idx="32">
                  <c:v>222.57460194352402</c:v>
                </c:pt>
                <c:pt idx="33">
                  <c:v>248.75016451475827</c:v>
                </c:pt>
                <c:pt idx="34">
                  <c:v>274.86322161173609</c:v>
                </c:pt>
                <c:pt idx="35">
                  <c:v>300.92054389894366</c:v>
                </c:pt>
                <c:pt idx="36">
                  <c:v>326.9276331083118</c:v>
                </c:pt>
                <c:pt idx="37">
                  <c:v>244.44339805963327</c:v>
                </c:pt>
                <c:pt idx="38">
                  <c:v>272.40799274231136</c:v>
                </c:pt>
                <c:pt idx="39">
                  <c:v>300.30802702917384</c:v>
                </c:pt>
                <c:pt idx="40">
                  <c:v>328.1503383149593</c:v>
                </c:pt>
                <c:pt idx="41">
                  <c:v>355.94050870298332</c:v>
                </c:pt>
                <c:pt idx="42">
                  <c:v>383.6831775834537</c:v>
                </c:pt>
                <c:pt idx="43">
                  <c:v>304.2888920593129</c:v>
                </c:pt>
                <c:pt idx="44">
                  <c:v>333.04015745702907</c:v>
                </c:pt>
                <c:pt idx="45">
                  <c:v>361.73671774155088</c:v>
                </c:pt>
                <c:pt idx="46">
                  <c:v>390.38351842752627</c:v>
                </c:pt>
                <c:pt idx="47">
                  <c:v>418.98472026564724</c:v>
                </c:pt>
                <c:pt idx="48">
                  <c:v>447.5438699506708</c:v>
                </c:pt>
                <c:pt idx="49">
                  <c:v>360.82166278303589</c:v>
                </c:pt>
                <c:pt idx="50">
                  <c:v>389.16546165993583</c:v>
                </c:pt>
                <c:pt idx="51">
                  <c:v>417.46446772037785</c:v>
                </c:pt>
                <c:pt idx="52">
                  <c:v>445.72214076928805</c:v>
                </c:pt>
                <c:pt idx="53">
                  <c:v>473.94146647365955</c:v>
                </c:pt>
                <c:pt idx="54">
                  <c:v>502.125046274314</c:v>
                </c:pt>
                <c:pt idx="55">
                  <c:v>412.59885500930062</c:v>
                </c:pt>
                <c:pt idx="56">
                  <c:v>439.6485541302448</c:v>
                </c:pt>
                <c:pt idx="57">
                  <c:v>466.66258036748872</c:v>
                </c:pt>
                <c:pt idx="58">
                  <c:v>493.64328668822759</c:v>
                </c:pt>
                <c:pt idx="59">
                  <c:v>520.59274811782768</c:v>
                </c:pt>
                <c:pt idx="60">
                  <c:v>547.51280754879247</c:v>
                </c:pt>
                <c:pt idx="61">
                  <c:v>461.70751193736891</c:v>
                </c:pt>
                <c:pt idx="62">
                  <c:v>486.77483940109096</c:v>
                </c:pt>
                <c:pt idx="63">
                  <c:v>511.81477745903248</c:v>
                </c:pt>
                <c:pt idx="64">
                  <c:v>536.82885307947356</c:v>
                </c:pt>
                <c:pt idx="65">
                  <c:v>561.81843946972958</c:v>
                </c:pt>
                <c:pt idx="66">
                  <c:v>586.78477784679262</c:v>
                </c:pt>
                <c:pt idx="67">
                  <c:v>611.72899531220708</c:v>
                </c:pt>
                <c:pt idx="68">
                  <c:v>636.65211966178947</c:v>
                </c:pt>
                <c:pt idx="69">
                  <c:v>661.55509175751888</c:v>
                </c:pt>
                <c:pt idx="70">
                  <c:v>532.19103450300565</c:v>
                </c:pt>
                <c:pt idx="71">
                  <c:v>554.96881965653654</c:v>
                </c:pt>
                <c:pt idx="72">
                  <c:v>577.72702726054183</c:v>
                </c:pt>
                <c:pt idx="73">
                  <c:v>600.46653622697943</c:v>
                </c:pt>
                <c:pt idx="74">
                  <c:v>623.18815354114236</c:v>
                </c:pt>
                <c:pt idx="75">
                  <c:v>645.89262260822341</c:v>
                </c:pt>
                <c:pt idx="76">
                  <c:v>668.58063036620888</c:v>
                </c:pt>
                <c:pt idx="77">
                  <c:v>691.25281338392233</c:v>
                </c:pt>
                <c:pt idx="78">
                  <c:v>713.90976311819611</c:v>
                </c:pt>
                <c:pt idx="79">
                  <c:v>665.16841660226919</c:v>
                </c:pt>
                <c:pt idx="80">
                  <c:v>686.8399721021666</c:v>
                </c:pt>
                <c:pt idx="81">
                  <c:v>708.49751068429669</c:v>
                </c:pt>
                <c:pt idx="82">
                  <c:v>730.14152063681968</c:v>
                </c:pt>
                <c:pt idx="83">
                  <c:v>751.77245897300372</c:v>
                </c:pt>
                <c:pt idx="84">
                  <c:v>773.39075429462139</c:v>
                </c:pt>
                <c:pt idx="85">
                  <c:v>794.09679639066474</c:v>
                </c:pt>
                <c:pt idx="86">
                  <c:v>814.79193114229065</c:v>
                </c:pt>
                <c:pt idx="87">
                  <c:v>835.47647425032699</c:v>
                </c:pt>
                <c:pt idx="88">
                  <c:v>856.15072452917377</c:v>
                </c:pt>
                <c:pt idx="89">
                  <c:v>876.81496520415214</c:v>
                </c:pt>
                <c:pt idx="90">
                  <c:v>897.46946508035228</c:v>
                </c:pt>
                <c:pt idx="91">
                  <c:v>917.81534306490391</c:v>
                </c:pt>
                <c:pt idx="92">
                  <c:v>938.15224136386041</c:v>
                </c:pt>
                <c:pt idx="93">
                  <c:v>958.48038177822752</c:v>
                </c:pt>
                <c:pt idx="94">
                  <c:v>978.79997594718259</c:v>
                </c:pt>
                <c:pt idx="95">
                  <c:v>999.11122601914394</c:v>
                </c:pt>
                <c:pt idx="96">
                  <c:v>1019.4143252655093</c:v>
                </c:pt>
                <c:pt idx="97">
                  <c:v>1039.7094586430337</c:v>
                </c:pt>
                <c:pt idx="98">
                  <c:v>1059.9968033100852</c:v>
                </c:pt>
                <c:pt idx="99">
                  <c:v>1080.2765291013793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82954832"/>
        <c:axId val="-1482964624"/>
      </c:scatterChart>
      <c:valAx>
        <c:axId val="-1482954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64624"/>
        <c:crosses val="autoZero"/>
        <c:crossBetween val="midCat"/>
      </c:valAx>
      <c:valAx>
        <c:axId val="-148296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54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27.345220255102358</c:v>
                </c:pt>
                <c:pt idx="12">
                  <c:v>37.432463952525062</c:v>
                </c:pt>
                <c:pt idx="13">
                  <c:v>47.445001472262504</c:v>
                </c:pt>
                <c:pt idx="14">
                  <c:v>57.400994138954132</c:v>
                </c:pt>
                <c:pt idx="15">
                  <c:v>67.311695544212839</c:v>
                </c:pt>
                <c:pt idx="16">
                  <c:v>84.712794136987995</c:v>
                </c:pt>
                <c:pt idx="17">
                  <c:v>102.02343949799173</c:v>
                </c:pt>
                <c:pt idx="18">
                  <c:v>119.26121337444529</c:v>
                </c:pt>
                <c:pt idx="19">
                  <c:v>136.43816057705777</c:v>
                </c:pt>
                <c:pt idx="20">
                  <c:v>153.56302988078727</c:v>
                </c:pt>
                <c:pt idx="21">
                  <c:v>167.22993767644601</c:v>
                </c:pt>
                <c:pt idx="22">
                  <c:v>180.87049769568827</c:v>
                </c:pt>
                <c:pt idx="23">
                  <c:v>194.48697803189245</c:v>
                </c:pt>
                <c:pt idx="24">
                  <c:v>208.08130286734146</c:v>
                </c:pt>
                <c:pt idx="25">
                  <c:v>221.65512417668984</c:v>
                </c:pt>
                <c:pt idx="26">
                  <c:v>183.14152750501788</c:v>
                </c:pt>
                <c:pt idx="27">
                  <c:v>195.62066023538262</c:v>
                </c:pt>
                <c:pt idx="28">
                  <c:v>208.08130286734149</c:v>
                </c:pt>
                <c:pt idx="29">
                  <c:v>220.52471927666468</c:v>
                </c:pt>
                <c:pt idx="30">
                  <c:v>232.95201893246738</c:v>
                </c:pt>
                <c:pt idx="31">
                  <c:v>245.08225003541108</c:v>
                </c:pt>
                <c:pt idx="32">
                  <c:v>257.19884285520715</c:v>
                </c:pt>
                <c:pt idx="33">
                  <c:v>269.30253071627453</c:v>
                </c:pt>
                <c:pt idx="34">
                  <c:v>281.39397560428034</c:v>
                </c:pt>
                <c:pt idx="35">
                  <c:v>293.47377793906497</c:v>
                </c:pt>
                <c:pt idx="36">
                  <c:v>236.90294203691141</c:v>
                </c:pt>
                <c:pt idx="37">
                  <c:v>247.90125122366706</c:v>
                </c:pt>
                <c:pt idx="38">
                  <c:v>258.88848844639881</c:v>
                </c:pt>
                <c:pt idx="39">
                  <c:v>269.8651901159887</c:v>
                </c:pt>
                <c:pt idx="40">
                  <c:v>280.83184541341706</c:v>
                </c:pt>
                <c:pt idx="41">
                  <c:v>291.22722867703152</c:v>
                </c:pt>
                <c:pt idx="42">
                  <c:v>301.61432492529298</c:v>
                </c:pt>
                <c:pt idx="43">
                  <c:v>311.99345994696824</c:v>
                </c:pt>
                <c:pt idx="44">
                  <c:v>322.36493607230227</c:v>
                </c:pt>
                <c:pt idx="45">
                  <c:v>332.72903457884462</c:v>
                </c:pt>
                <c:pt idx="46">
                  <c:v>271.83429043682332</c:v>
                </c:pt>
                <c:pt idx="47">
                  <c:v>281.11291365958601</c:v>
                </c:pt>
                <c:pt idx="48">
                  <c:v>290.3846730326959</c:v>
                </c:pt>
                <c:pt idx="49">
                  <c:v>299.64981878720488</c:v>
                </c:pt>
                <c:pt idx="50">
                  <c:v>308.90858440452939</c:v>
                </c:pt>
                <c:pt idx="51">
                  <c:v>317.88089480903892</c:v>
                </c:pt>
                <c:pt idx="52">
                  <c:v>326.84759797683068</c:v>
                </c:pt>
                <c:pt idx="53">
                  <c:v>335.80886953875768</c:v>
                </c:pt>
                <c:pt idx="54">
                  <c:v>344.76487498038233</c:v>
                </c:pt>
                <c:pt idx="55">
                  <c:v>353.71577048208877</c:v>
                </c:pt>
                <c:pt idx="56">
                  <c:v>296.00068711359518</c:v>
                </c:pt>
                <c:pt idx="57">
                  <c:v>304.13970022013888</c:v>
                </c:pt>
                <c:pt idx="58">
                  <c:v>312.27386950303764</c:v>
                </c:pt>
                <c:pt idx="59">
                  <c:v>320.40333904330799</c:v>
                </c:pt>
                <c:pt idx="60">
                  <c:v>328.52824500736261</c:v>
                </c:pt>
                <c:pt idx="61">
                  <c:v>335.80886953875768</c:v>
                </c:pt>
                <c:pt idx="62">
                  <c:v>343.08601778170447</c:v>
                </c:pt>
                <c:pt idx="63">
                  <c:v>350.35977394062758</c:v>
                </c:pt>
                <c:pt idx="64">
                  <c:v>357.63021843517214</c:v>
                </c:pt>
                <c:pt idx="65">
                  <c:v>364.89742814550777</c:v>
                </c:pt>
                <c:pt idx="66">
                  <c:v>312.83467185841931</c:v>
                </c:pt>
                <c:pt idx="67">
                  <c:v>319.56257332567844</c:v>
                </c:pt>
                <c:pt idx="68">
                  <c:v>326.28733992743037</c:v>
                </c:pt>
                <c:pt idx="69">
                  <c:v>333.0090454577047</c:v>
                </c:pt>
                <c:pt idx="70">
                  <c:v>339.72776048524355</c:v>
                </c:pt>
                <c:pt idx="71">
                  <c:v>346.16378539221341</c:v>
                </c:pt>
                <c:pt idx="72">
                  <c:v>352.59718287003494</c:v>
                </c:pt>
                <c:pt idx="73">
                  <c:v>359.02800767063667</c:v>
                </c:pt>
                <c:pt idx="74">
                  <c:v>365.45631242252267</c:v>
                </c:pt>
                <c:pt idx="75">
                  <c:v>371.88214774985971</c:v>
                </c:pt>
                <c:pt idx="76">
                  <c:v>326.00720293449439</c:v>
                </c:pt>
                <c:pt idx="77">
                  <c:v>331.88897074380026</c:v>
                </c:pt>
                <c:pt idx="78">
                  <c:v>337.76844015494419</c:v>
                </c:pt>
                <c:pt idx="79">
                  <c:v>343.6456568677965</c:v>
                </c:pt>
                <c:pt idx="80">
                  <c:v>349.52066488969604</c:v>
                </c:pt>
                <c:pt idx="81">
                  <c:v>354.83428056807537</c:v>
                </c:pt>
                <c:pt idx="82">
                  <c:v>360.14615329066834</c:v>
                </c:pt>
                <c:pt idx="83">
                  <c:v>365.45631242252267</c:v>
                </c:pt>
                <c:pt idx="84">
                  <c:v>370.76478640470532</c:v>
                </c:pt>
                <c:pt idx="85">
                  <c:v>376.0716027964873</c:v>
                </c:pt>
                <c:pt idx="86">
                  <c:v>381.0976082607811</c:v>
                </c:pt>
                <c:pt idx="87">
                  <c:v>386.12217206095738</c:v>
                </c:pt>
                <c:pt idx="88">
                  <c:v>391.14531562543885</c:v>
                </c:pt>
                <c:pt idx="89">
                  <c:v>396.16705978676401</c:v>
                </c:pt>
                <c:pt idx="90">
                  <c:v>401.18742480567101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82957552"/>
        <c:axId val="-1482967344"/>
      </c:scatterChart>
      <c:valAx>
        <c:axId val="-14829575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67344"/>
        <c:crosses val="autoZero"/>
        <c:crossBetween val="midCat"/>
      </c:valAx>
      <c:valAx>
        <c:axId val="-148296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57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82968432"/>
        <c:axId val="-1482953744"/>
      </c:scatterChart>
      <c:valAx>
        <c:axId val="-1482968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53744"/>
        <c:crosses val="autoZero"/>
        <c:crossBetween val="midCat"/>
      </c:valAx>
      <c:valAx>
        <c:axId val="-148295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68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3.1079825342915606</c:v>
                </c:pt>
                <c:pt idx="2">
                  <c:v>3.9831352858359232</c:v>
                </c:pt>
                <c:pt idx="3">
                  <c:v>5.1056841629476652</c:v>
                </c:pt>
                <c:pt idx="4">
                  <c:v>6.5458229996824224</c:v>
                </c:pt>
                <c:pt idx="5">
                  <c:v>8.3937300292591015</c:v>
                </c:pt>
                <c:pt idx="6">
                  <c:v>10.765275524303604</c:v>
                </c:pt>
                <c:pt idx="7">
                  <c:v>13.809364307377871</c:v>
                </c:pt>
                <c:pt idx="8">
                  <c:v>17.717382659817904</c:v>
                </c:pt>
                <c:pt idx="9">
                  <c:v>22.735354328524441</c:v>
                </c:pt>
                <c:pt idx="10">
                  <c:v>29.179584501081067</c:v>
                </c:pt>
                <c:pt idx="11">
                  <c:v>37.456795063324897</c:v>
                </c:pt>
                <c:pt idx="12">
                  <c:v>48.090043708972111</c:v>
                </c:pt>
                <c:pt idx="13">
                  <c:v>61.752092288547864</c:v>
                </c:pt>
                <c:pt idx="14">
                  <c:v>79.308370348833833</c:v>
                </c:pt>
                <c:pt idx="15">
                  <c:v>101.87229931916873</c:v>
                </c:pt>
                <c:pt idx="16">
                  <c:v>117.38937647857762</c:v>
                </c:pt>
                <c:pt idx="17">
                  <c:v>132.85632044015878</c:v>
                </c:pt>
                <c:pt idx="18">
                  <c:v>148.27979814657829</c:v>
                </c:pt>
                <c:pt idx="19">
                  <c:v>163.66497200540442</c:v>
                </c:pt>
                <c:pt idx="20">
                  <c:v>179.01595233014768</c:v>
                </c:pt>
                <c:pt idx="21">
                  <c:v>194.59997246881539</c:v>
                </c:pt>
                <c:pt idx="22">
                  <c:v>210.1549883131822</c:v>
                </c:pt>
                <c:pt idx="23">
                  <c:v>225.68344951574352</c:v>
                </c:pt>
                <c:pt idx="24">
                  <c:v>241.18744081547302</c:v>
                </c:pt>
                <c:pt idx="25">
                  <c:v>256.66875686937959</c:v>
                </c:pt>
                <c:pt idx="26">
                  <c:v>198.29351956846904</c:v>
                </c:pt>
                <c:pt idx="27">
                  <c:v>213.57871664581691</c:v>
                </c:pt>
                <c:pt idx="28">
                  <c:v>228.83872386815744</c:v>
                </c:pt>
                <c:pt idx="29">
                  <c:v>244.0754578704227</c:v>
                </c:pt>
                <c:pt idx="30">
                  <c:v>259.29057630253919</c:v>
                </c:pt>
                <c:pt idx="31">
                  <c:v>273.96188391382958</c:v>
                </c:pt>
                <c:pt idx="32">
                  <c:v>288.61553966190291</c:v>
                </c:pt>
                <c:pt idx="33">
                  <c:v>303.25256606374194</c:v>
                </c:pt>
                <c:pt idx="34">
                  <c:v>317.87387884766321</c:v>
                </c:pt>
                <c:pt idx="35">
                  <c:v>332.48030260881734</c:v>
                </c:pt>
                <c:pt idx="36">
                  <c:v>278.41213183083715</c:v>
                </c:pt>
                <c:pt idx="37">
                  <c:v>292.27631779996528</c:v>
                </c:pt>
                <c:pt idx="38">
                  <c:v>306.12582263909644</c:v>
                </c:pt>
                <c:pt idx="39">
                  <c:v>319.96140418627698</c:v>
                </c:pt>
                <c:pt idx="40">
                  <c:v>333.78374937501832</c:v>
                </c:pt>
                <c:pt idx="41">
                  <c:v>346.55166637710568</c:v>
                </c:pt>
                <c:pt idx="42">
                  <c:v>359.30925781067913</c:v>
                </c:pt>
                <c:pt idx="43">
                  <c:v>372.05694200295653</c:v>
                </c:pt>
                <c:pt idx="44">
                  <c:v>384.79510627137751</c:v>
                </c:pt>
                <c:pt idx="45">
                  <c:v>397.52411019447646</c:v>
                </c:pt>
                <c:pt idx="46">
                  <c:v>339.51758892007979</c:v>
                </c:pt>
                <c:pt idx="47">
                  <c:v>351.76006924925809</c:v>
                </c:pt>
                <c:pt idx="48">
                  <c:v>363.99321066425381</c:v>
                </c:pt>
                <c:pt idx="49">
                  <c:v>376.21737131771482</c:v>
                </c:pt>
                <c:pt idx="50">
                  <c:v>388.4328841840873</c:v>
                </c:pt>
                <c:pt idx="51">
                  <c:v>399.86112159092801</c:v>
                </c:pt>
                <c:pt idx="52">
                  <c:v>411.28229041391364</c:v>
                </c:pt>
                <c:pt idx="53">
                  <c:v>422.69661464593588</c:v>
                </c:pt>
                <c:pt idx="54">
                  <c:v>434.10430519378178</c:v>
                </c:pt>
                <c:pt idx="55">
                  <c:v>445.50556097376767</c:v>
                </c:pt>
                <c:pt idx="56">
                  <c:v>386.35424502436632</c:v>
                </c:pt>
                <c:pt idx="57">
                  <c:v>397.26442392273333</c:v>
                </c:pt>
                <c:pt idx="58">
                  <c:v>408.16811416868921</c:v>
                </c:pt>
                <c:pt idx="59">
                  <c:v>419.06551357352504</c:v>
                </c:pt>
                <c:pt idx="60">
                  <c:v>429.95680881908919</c:v>
                </c:pt>
                <c:pt idx="61">
                  <c:v>440.06484307342475</c:v>
                </c:pt>
                <c:pt idx="62">
                  <c:v>450.16790026276612</c:v>
                </c:pt>
                <c:pt idx="63">
                  <c:v>460.26610785970826</c:v>
                </c:pt>
                <c:pt idx="64">
                  <c:v>470.35958728592249</c:v>
                </c:pt>
                <c:pt idx="65">
                  <c:v>480.44845432585157</c:v>
                </c:pt>
                <c:pt idx="66">
                  <c:v>423.993273379458</c:v>
                </c:pt>
                <c:pt idx="67">
                  <c:v>433.58591486422876</c:v>
                </c:pt>
                <c:pt idx="68">
                  <c:v>443.17400011470886</c:v>
                </c:pt>
                <c:pt idx="69">
                  <c:v>452.75764163369041</c:v>
                </c:pt>
                <c:pt idx="70">
                  <c:v>462.33694677132871</c:v>
                </c:pt>
                <c:pt idx="71">
                  <c:v>471.39455324221279</c:v>
                </c:pt>
                <c:pt idx="72">
                  <c:v>480.44845432585163</c:v>
                </c:pt>
                <c:pt idx="73">
                  <c:v>489.49872971371423</c:v>
                </c:pt>
                <c:pt idx="74">
                  <c:v>498.54545590936368</c:v>
                </c:pt>
                <c:pt idx="75">
                  <c:v>507.58870641276627</c:v>
                </c:pt>
                <c:pt idx="76">
                  <c:v>454.31133429442997</c:v>
                </c:pt>
                <c:pt idx="77">
                  <c:v>463.11346028434019</c:v>
                </c:pt>
                <c:pt idx="78">
                  <c:v>471.91201806530245</c:v>
                </c:pt>
                <c:pt idx="79">
                  <c:v>480.70708356712709</c:v>
                </c:pt>
                <c:pt idx="80">
                  <c:v>489.49872971371423</c:v>
                </c:pt>
                <c:pt idx="81">
                  <c:v>498.02859444198822</c:v>
                </c:pt>
                <c:pt idx="82">
                  <c:v>506.55536570967496</c:v>
                </c:pt>
                <c:pt idx="83">
                  <c:v>515.07910294474061</c:v>
                </c:pt>
                <c:pt idx="84">
                  <c:v>523.59986344738036</c:v>
                </c:pt>
                <c:pt idx="85">
                  <c:v>532.1177025003368</c:v>
                </c:pt>
                <c:pt idx="86">
                  <c:v>481.74157097323285</c:v>
                </c:pt>
                <c:pt idx="87">
                  <c:v>489.49872971371445</c:v>
                </c:pt>
                <c:pt idx="88">
                  <c:v>497.25328093317034</c:v>
                </c:pt>
                <c:pt idx="89">
                  <c:v>505.00527104516345</c:v>
                </c:pt>
                <c:pt idx="90">
                  <c:v>512.7547449216022</c:v>
                </c:pt>
                <c:pt idx="91">
                  <c:v>520.50174596698128</c:v>
                </c:pt>
                <c:pt idx="92">
                  <c:v>528.24631618797048</c:v>
                </c:pt>
                <c:pt idx="93">
                  <c:v>535.98849625870969</c:v>
                </c:pt>
                <c:pt idx="94">
                  <c:v>543.72832558213634</c:v>
                </c:pt>
                <c:pt idx="95">
                  <c:v>551.46584234763566</c:v>
                </c:pt>
                <c:pt idx="96">
                  <c:v>503.19670004131399</c:v>
                </c:pt>
                <c:pt idx="97">
                  <c:v>510.4301643532047</c:v>
                </c:pt>
                <c:pt idx="98">
                  <c:v>517.66146335524525</c:v>
                </c:pt>
                <c:pt idx="99">
                  <c:v>524.89063157230294</c:v>
                </c:pt>
                <c:pt idx="100">
                  <c:v>532.11770250033692</c:v>
                </c:pt>
                <c:pt idx="101">
                  <c:v>538.95570657046494</c:v>
                </c:pt>
                <c:pt idx="102">
                  <c:v>545.7918879539825</c:v>
                </c:pt>
                <c:pt idx="103">
                  <c:v>552.62627270805831</c:v>
                </c:pt>
                <c:pt idx="104">
                  <c:v>559.4588861925846</c:v>
                </c:pt>
                <c:pt idx="105">
                  <c:v>566.28975309730868</c:v>
                </c:pt>
                <c:pt idx="106">
                  <c:v>573.11889746758982</c:v>
                </c:pt>
                <c:pt idx="107">
                  <c:v>579.94634272886162</c:v>
                </c:pt>
                <c:pt idx="108">
                  <c:v>586.77211170988437</c:v>
                </c:pt>
                <c:pt idx="109">
                  <c:v>593.59622666485791</c:v>
                </c:pt>
                <c:pt idx="110">
                  <c:v>600.41870929446566</c:v>
                </c:pt>
                <c:pt idx="111">
                  <c:v>530.69826324876692</c:v>
                </c:pt>
                <c:pt idx="112">
                  <c:v>537.02060847710493</c:v>
                </c:pt>
                <c:pt idx="113">
                  <c:v>543.34138935187991</c:v>
                </c:pt>
                <c:pt idx="114">
                  <c:v>549.66062664564004</c:v>
                </c:pt>
                <c:pt idx="115">
                  <c:v>555.97834061416404</c:v>
                </c:pt>
                <c:pt idx="116">
                  <c:v>562.29455101517226</c:v>
                </c:pt>
                <c:pt idx="117">
                  <c:v>568.60927712615228</c:v>
                </c:pt>
                <c:pt idx="118">
                  <c:v>574.92253776135237</c:v>
                </c:pt>
                <c:pt idx="119">
                  <c:v>581.2343512879894</c:v>
                </c:pt>
                <c:pt idx="120">
                  <c:v>587.54473564171474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82964080"/>
        <c:axId val="-1482961360"/>
      </c:scatterChart>
      <c:valAx>
        <c:axId val="-1482964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61360"/>
        <c:crosses val="autoZero"/>
        <c:crossBetween val="midCat"/>
      </c:valAx>
      <c:valAx>
        <c:axId val="-148296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64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2.3792316710116794</c:v>
                </c:pt>
                <c:pt idx="2">
                  <c:v>3.0001714302004134</c:v>
                </c:pt>
                <c:pt idx="3">
                  <c:v>3.7838026635400475</c:v>
                </c:pt>
                <c:pt idx="4">
                  <c:v>4.7729092148501211</c:v>
                </c:pt>
                <c:pt idx="5">
                  <c:v>6.0215647416368272</c:v>
                </c:pt>
                <c:pt idx="6">
                  <c:v>7.5981213697524668</c:v>
                </c:pt>
                <c:pt idx="7">
                  <c:v>9.5889918293318406</c:v>
                </c:pt>
                <c:pt idx="8">
                  <c:v>12.103436304894307</c:v>
                </c:pt>
                <c:pt idx="9">
                  <c:v>15.279621602197665</c:v>
                </c:pt>
                <c:pt idx="10">
                  <c:v>19.292291680236925</c:v>
                </c:pt>
                <c:pt idx="11">
                  <c:v>37.096852338099858</c:v>
                </c:pt>
                <c:pt idx="12">
                  <c:v>54.659647561719503</c:v>
                </c:pt>
                <c:pt idx="13">
                  <c:v>72.072088558495707</c:v>
                </c:pt>
                <c:pt idx="14">
                  <c:v>89.376149667899369</c:v>
                </c:pt>
                <c:pt idx="15">
                  <c:v>106.595922899923</c:v>
                </c:pt>
                <c:pt idx="16">
                  <c:v>128.68204943403745</c:v>
                </c:pt>
                <c:pt idx="17">
                  <c:v>150.67621656079791</c:v>
                </c:pt>
                <c:pt idx="18">
                  <c:v>172.59376735487015</c:v>
                </c:pt>
                <c:pt idx="19">
                  <c:v>194.44581168538045</c:v>
                </c:pt>
                <c:pt idx="20">
                  <c:v>216.24075084880474</c:v>
                </c:pt>
                <c:pt idx="21">
                  <c:v>133.93252826541888</c:v>
                </c:pt>
                <c:pt idx="22">
                  <c:v>157.46934134660478</c:v>
                </c:pt>
                <c:pt idx="23">
                  <c:v>180.92254957217764</c:v>
                </c:pt>
                <c:pt idx="24">
                  <c:v>204.3045280233529</c:v>
                </c:pt>
                <c:pt idx="25">
                  <c:v>227.62457918072189</c:v>
                </c:pt>
                <c:pt idx="26">
                  <c:v>250.13311494134999</c:v>
                </c:pt>
                <c:pt idx="27">
                  <c:v>272.59572366188627</c:v>
                </c:pt>
                <c:pt idx="28">
                  <c:v>295.01672068637509</c:v>
                </c:pt>
                <c:pt idx="29">
                  <c:v>317.39971168920596</c:v>
                </c:pt>
                <c:pt idx="30">
                  <c:v>339.74775226555522</c:v>
                </c:pt>
                <c:pt idx="31">
                  <c:v>250.07004383824537</c:v>
                </c:pt>
                <c:pt idx="32">
                  <c:v>270.42380439071962</c:v>
                </c:pt>
                <c:pt idx="33">
                  <c:v>290.74310019724186</c:v>
                </c:pt>
                <c:pt idx="34">
                  <c:v>311.03067786790672</c:v>
                </c:pt>
                <c:pt idx="35">
                  <c:v>331.28889643907786</c:v>
                </c:pt>
                <c:pt idx="36">
                  <c:v>349.04714813629499</c:v>
                </c:pt>
                <c:pt idx="37">
                  <c:v>366.78558363331143</c:v>
                </c:pt>
                <c:pt idx="38">
                  <c:v>384.50529582609062</c:v>
                </c:pt>
                <c:pt idx="39">
                  <c:v>402.20726868632238</c:v>
                </c:pt>
                <c:pt idx="40">
                  <c:v>419.89239253282386</c:v>
                </c:pt>
                <c:pt idx="41">
                  <c:v>325.83511614471871</c:v>
                </c:pt>
                <c:pt idx="42">
                  <c:v>341.21974267416618</c:v>
                </c:pt>
                <c:pt idx="43">
                  <c:v>356.58912057242401</c:v>
                </c:pt>
                <c:pt idx="44">
                  <c:v>371.94399954059327</c:v>
                </c:pt>
                <c:pt idx="45">
                  <c:v>387.28506233326408</c:v>
                </c:pt>
                <c:pt idx="46">
                  <c:v>400.61572997207281</c:v>
                </c:pt>
                <c:pt idx="47">
                  <c:v>413.9368001118296</c:v>
                </c:pt>
                <c:pt idx="48">
                  <c:v>427.24862511853593</c:v>
                </c:pt>
                <c:pt idx="49">
                  <c:v>440.55153361033672</c:v>
                </c:pt>
                <c:pt idx="50">
                  <c:v>453.84583274186275</c:v>
                </c:pt>
                <c:pt idx="51">
                  <c:v>398.15013483461621</c:v>
                </c:pt>
                <c:pt idx="52">
                  <c:v>409.63265752074312</c:v>
                </c:pt>
                <c:pt idx="53">
                  <c:v>421.10823125259907</c:v>
                </c:pt>
                <c:pt idx="54">
                  <c:v>432.57707211284247</c:v>
                </c:pt>
                <c:pt idx="55">
                  <c:v>444.03938378997123</c:v>
                </c:pt>
                <c:pt idx="56">
                  <c:v>453.81470838209202</c:v>
                </c:pt>
                <c:pt idx="57">
                  <c:v>463.58553297341928</c:v>
                </c:pt>
                <c:pt idx="58">
                  <c:v>473.35196580283736</c:v>
                </c:pt>
                <c:pt idx="59">
                  <c:v>483.1141102774788</c:v>
                </c:pt>
                <c:pt idx="60">
                  <c:v>492.8720652837838</c:v>
                </c:pt>
                <c:pt idx="61">
                  <c:v>454.06370198273868</c:v>
                </c:pt>
                <c:pt idx="62">
                  <c:v>462.21663985035343</c:v>
                </c:pt>
                <c:pt idx="63">
                  <c:v>470.36650984219659</c:v>
                </c:pt>
                <c:pt idx="64">
                  <c:v>478.51337263187162</c:v>
                </c:pt>
                <c:pt idx="65">
                  <c:v>486.65728665769001</c:v>
                </c:pt>
                <c:pt idx="66">
                  <c:v>493.64879532061622</c:v>
                </c:pt>
                <c:pt idx="67">
                  <c:v>500.63820532506929</c:v>
                </c:pt>
                <c:pt idx="68">
                  <c:v>507.62555011613114</c:v>
                </c:pt>
                <c:pt idx="69">
                  <c:v>514.61086214265538</c:v>
                </c:pt>
                <c:pt idx="70">
                  <c:v>521.59417290035935</c:v>
                </c:pt>
                <c:pt idx="71">
                  <c:v>487.8693000072526</c:v>
                </c:pt>
                <c:pt idx="72">
                  <c:v>494.36336407119035</c:v>
                </c:pt>
                <c:pt idx="73">
                  <c:v>500.85562034073132</c:v>
                </c:pt>
                <c:pt idx="74">
                  <c:v>507.34609556638321</c:v>
                </c:pt>
                <c:pt idx="75">
                  <c:v>513.83481575804865</c:v>
                </c:pt>
                <c:pt idx="76">
                  <c:v>519.35972931464255</c:v>
                </c:pt>
                <c:pt idx="77">
                  <c:v>524.88340345718075</c:v>
                </c:pt>
                <c:pt idx="78">
                  <c:v>530.40585307590879</c:v>
                </c:pt>
                <c:pt idx="79">
                  <c:v>535.9270927255476</c:v>
                </c:pt>
                <c:pt idx="80">
                  <c:v>541.44713663630864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82959184"/>
        <c:axId val="-1482957008"/>
      </c:scatterChart>
      <c:valAx>
        <c:axId val="-1482959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57008"/>
        <c:crosses val="autoZero"/>
        <c:crossBetween val="midCat"/>
      </c:valAx>
      <c:valAx>
        <c:axId val="-148295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59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82966800"/>
        <c:axId val="-1482967888"/>
      </c:scatterChart>
      <c:valAx>
        <c:axId val="-1482966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67888"/>
        <c:crosses val="autoZero"/>
        <c:crossBetween val="midCat"/>
      </c:valAx>
      <c:valAx>
        <c:axId val="-148296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66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2.5739702149710419</c:v>
                </c:pt>
                <c:pt idx="2">
                  <c:v>3.2459194465110297</c:v>
                </c:pt>
                <c:pt idx="3">
                  <c:v>4.0939710189489533</c:v>
                </c:pt>
                <c:pt idx="4">
                  <c:v>5.1644468142220035</c:v>
                </c:pt>
                <c:pt idx="5">
                  <c:v>6.5158949204199574</c:v>
                </c:pt>
                <c:pt idx="6">
                  <c:v>8.2223268474483628</c:v>
                </c:pt>
                <c:pt idx="7">
                  <c:v>10.377314381529446</c:v>
                </c:pt>
                <c:pt idx="8">
                  <c:v>13.0991749633718</c:v>
                </c:pt>
                <c:pt idx="9">
                  <c:v>16.5375355648608</c:v>
                </c:pt>
                <c:pt idx="10">
                  <c:v>20.881642470054704</c:v>
                </c:pt>
                <c:pt idx="11">
                  <c:v>40.158707029353486</c:v>
                </c:pt>
                <c:pt idx="12">
                  <c:v>59.175912716477491</c:v>
                </c:pt>
                <c:pt idx="13">
                  <c:v>78.031511845010769</c:v>
                </c:pt>
                <c:pt idx="14">
                  <c:v>96.770620064133439</c:v>
                </c:pt>
                <c:pt idx="15">
                  <c:v>115.41913240124948</c:v>
                </c:pt>
                <c:pt idx="16">
                  <c:v>139.33857382377983</c:v>
                </c:pt>
                <c:pt idx="17">
                  <c:v>163.15917370613849</c:v>
                </c:pt>
                <c:pt idx="18">
                  <c:v>186.89742338047495</c:v>
                </c:pt>
                <c:pt idx="19">
                  <c:v>210.56526416532461</c:v>
                </c:pt>
                <c:pt idx="20">
                  <c:v>234.1717261002126</c:v>
                </c:pt>
                <c:pt idx="21">
                  <c:v>145.0249982538752</c:v>
                </c:pt>
                <c:pt idx="22">
                  <c:v>170.51654323504027</c:v>
                </c:pt>
                <c:pt idx="23">
                  <c:v>195.91822647250351</c:v>
                </c:pt>
                <c:pt idx="24">
                  <c:v>221.24334918385946</c:v>
                </c:pt>
                <c:pt idx="25">
                  <c:v>246.5019100362974</c:v>
                </c:pt>
                <c:pt idx="26">
                  <c:v>270.88192908271884</c:v>
                </c:pt>
                <c:pt idx="27">
                  <c:v>295.21258396391971</c:v>
                </c:pt>
                <c:pt idx="28">
                  <c:v>319.49851297916712</c:v>
                </c:pt>
                <c:pt idx="29">
                  <c:v>343.7435916472391</c:v>
                </c:pt>
                <c:pt idx="30">
                  <c:v>367.95110424042514</c:v>
                </c:pt>
                <c:pt idx="31">
                  <c:v>270.81361334976526</c:v>
                </c:pt>
                <c:pt idx="32">
                  <c:v>292.86002684671388</c:v>
                </c:pt>
                <c:pt idx="33">
                  <c:v>314.86939629706029</c:v>
                </c:pt>
                <c:pt idx="34">
                  <c:v>336.84467386393629</c:v>
                </c:pt>
                <c:pt idx="35">
                  <c:v>358.78839513118515</c:v>
                </c:pt>
                <c:pt idx="36">
                  <c:v>378.02433866846064</c:v>
                </c:pt>
                <c:pt idx="37">
                  <c:v>397.23898298464991</c:v>
                </c:pt>
                <c:pt idx="38">
                  <c:v>416.43350276675238</c:v>
                </c:pt>
                <c:pt idx="39">
                  <c:v>435.60895562573</c:v>
                </c:pt>
                <c:pt idx="40">
                  <c:v>454.7662985108031</c:v>
                </c:pt>
                <c:pt idx="41">
                  <c:v>352.88083208106292</c:v>
                </c:pt>
                <c:pt idx="42">
                  <c:v>369.54558155288436</c:v>
                </c:pt>
                <c:pt idx="43">
                  <c:v>386.19394120407043</c:v>
                </c:pt>
                <c:pt idx="44">
                  <c:v>402.82671684246179</c:v>
                </c:pt>
                <c:pt idx="45">
                  <c:v>419.44464231919113</c:v>
                </c:pt>
                <c:pt idx="46">
                  <c:v>433.88493422762093</c:v>
                </c:pt>
                <c:pt idx="47">
                  <c:v>448.31491037156951</c:v>
                </c:pt>
                <c:pt idx="48">
                  <c:v>462.73494948769138</c:v>
                </c:pt>
                <c:pt idx="49">
                  <c:v>477.14540478752315</c:v>
                </c:pt>
                <c:pt idx="50">
                  <c:v>491.5466064127836</c:v>
                </c:pt>
                <c:pt idx="51">
                  <c:v>431.21410057407803</c:v>
                </c:pt>
                <c:pt idx="52">
                  <c:v>443.65246288624508</c:v>
                </c:pt>
                <c:pt idx="53">
                  <c:v>456.08335619265745</c:v>
                </c:pt>
                <c:pt idx="54">
                  <c:v>468.50701274734303</c:v>
                </c:pt>
                <c:pt idx="55">
                  <c:v>480.92365148260507</c:v>
                </c:pt>
                <c:pt idx="56">
                  <c:v>491.51289051119289</c:v>
                </c:pt>
                <c:pt idx="57">
                  <c:v>502.09729276427265</c:v>
                </c:pt>
                <c:pt idx="58">
                  <c:v>512.67697458119881</c:v>
                </c:pt>
                <c:pt idx="59">
                  <c:v>523.25204710797016</c:v>
                </c:pt>
                <c:pt idx="60">
                  <c:v>533.8226166315709</c:v>
                </c:pt>
                <c:pt idx="61">
                  <c:v>491.78261635079099</c:v>
                </c:pt>
                <c:pt idx="62">
                  <c:v>500.61441511086258</c:v>
                </c:pt>
                <c:pt idx="63">
                  <c:v>509.44291639898364</c:v>
                </c:pt>
                <c:pt idx="64">
                  <c:v>518.2681854294982</c:v>
                </c:pt>
                <c:pt idx="65">
                  <c:v>527.09028501417185</c:v>
                </c:pt>
                <c:pt idx="66">
                  <c:v>534.66403201436515</c:v>
                </c:pt>
                <c:pt idx="67">
                  <c:v>542.23552329497863</c:v>
                </c:pt>
                <c:pt idx="68">
                  <c:v>549.80479480408326</c:v>
                </c:pt>
                <c:pt idx="69">
                  <c:v>557.37188141896718</c:v>
                </c:pt>
                <c:pt idx="70">
                  <c:v>564.93681699244883</c:v>
                </c:pt>
                <c:pt idx="71">
                  <c:v>528.40323103965056</c:v>
                </c:pt>
                <c:pt idx="72">
                  <c:v>535.43810957066455</c:v>
                </c:pt>
                <c:pt idx="73">
                  <c:v>542.47104501409672</c:v>
                </c:pt>
                <c:pt idx="74">
                  <c:v>549.50206612243039</c:v>
                </c:pt>
                <c:pt idx="75">
                  <c:v>556.53120085211901</c:v>
                </c:pt>
                <c:pt idx="76">
                  <c:v>562.51626962014586</c:v>
                </c:pt>
                <c:pt idx="77">
                  <c:v>568.50000621784136</c:v>
                </c:pt>
                <c:pt idx="78">
                  <c:v>574.48242664981956</c:v>
                </c:pt>
                <c:pt idx="79">
                  <c:v>580.46354656005849</c:v>
                </c:pt>
                <c:pt idx="80">
                  <c:v>586.44338124374281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82954288"/>
        <c:axId val="-1482968976"/>
      </c:scatterChart>
      <c:valAx>
        <c:axId val="-1482954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68976"/>
        <c:crosses val="autoZero"/>
        <c:crossBetween val="midCat"/>
      </c:valAx>
      <c:valAx>
        <c:axId val="-148296897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2954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208" zoomScale="90" zoomScaleNormal="90" workbookViewId="0">
      <selection activeCell="A36" sqref="A36:H5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f>2.26+1.53</f>
        <v>3.79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0.24640000000000001</v>
      </c>
      <c r="D9" s="36">
        <f t="shared" ref="D9:D18" si="0">C9*$C$5</f>
        <v>0.93385600000000002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</v>
      </c>
      <c r="C10" s="35">
        <v>0.1191</v>
      </c>
      <c r="D10" s="36">
        <f t="shared" si="0"/>
        <v>0.45138899999999998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25</v>
      </c>
      <c r="C11" s="35">
        <v>0.1081</v>
      </c>
      <c r="D11" s="36">
        <f t="shared" si="0"/>
        <v>0.40969900000000004</v>
      </c>
      <c r="E11" s="37">
        <v>99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4</v>
      </c>
      <c r="C12" s="35">
        <v>9.9199999999999997E-2</v>
      </c>
      <c r="D12" s="36">
        <f t="shared" si="0"/>
        <v>0.37596799999999997</v>
      </c>
      <c r="E12" s="37">
        <v>90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5</v>
      </c>
      <c r="C13" s="35">
        <v>9.5000000000000001E-2</v>
      </c>
      <c r="D13" s="36">
        <f t="shared" si="0"/>
        <v>0.36004999999999998</v>
      </c>
      <c r="E13" s="37">
        <v>60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6</v>
      </c>
      <c r="C14" s="35">
        <v>9.5000000000000001E-2</v>
      </c>
      <c r="D14" s="36">
        <f t="shared" si="0"/>
        <v>0.36004999999999998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8</v>
      </c>
      <c r="C15" s="35">
        <v>8.4699999999999998E-2</v>
      </c>
      <c r="D15" s="36">
        <f t="shared" si="0"/>
        <v>0.32101299999999999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29</v>
      </c>
      <c r="C16" s="35">
        <v>5.4300000000000001E-2</v>
      </c>
      <c r="D16" s="36">
        <f t="shared" si="0"/>
        <v>0.20579700000000001</v>
      </c>
      <c r="E16" s="37">
        <v>69</v>
      </c>
      <c r="F16" s="38" t="str">
        <f t="array" ref="F16">IF(E16="","",IF(INDEX(A:A,MAX(IF(ISNUMBER($A$218:$A$237),ROW($A$218:$A$237),"")))&lt;&gt;E16,"Corrigez : révolution incorrecte","OK"))</f>
        <v>OK</v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23</v>
      </c>
      <c r="C17" s="35">
        <v>5.4100000000000002E-2</v>
      </c>
      <c r="D17" s="36">
        <f t="shared" si="0"/>
        <v>0.205039</v>
      </c>
      <c r="E17" s="37">
        <v>80</v>
      </c>
      <c r="F17" s="38" t="str">
        <f t="array" ref="F17">IF(E17="","",IF(INDEX(A:A,MAX(IF(ISNUMBER($A$244:$A$263),ROW($A$244:$A$263),"")))&lt;&gt;E17,"Corrigez : révolution incorrecte","OK"))</f>
        <v>OK</v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50</v>
      </c>
      <c r="C18" s="35">
        <v>3.9300000000000002E-2</v>
      </c>
      <c r="D18" s="36">
        <f t="shared" si="0"/>
        <v>0.148947</v>
      </c>
      <c r="E18" s="37">
        <v>110</v>
      </c>
      <c r="F18" s="38" t="str">
        <f t="array" ref="F18">IF(E18="","",IF(INDEX(A:A,MAX(IF(ISNUMBER($A$270:$A$289),ROW($A$270:$A$289),"")))&lt;&gt;E18,"Corrigez : révolution incorrecte","OK"))</f>
        <v>OK</v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0.99519999999999997</v>
      </c>
      <c r="D19" s="41">
        <f>SUM(D9:D18)</f>
        <v>3.771808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f>67+6</f>
        <v>73</v>
      </c>
      <c r="C36" s="63"/>
      <c r="D36" s="63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f>75+6+28</f>
        <v>109</v>
      </c>
      <c r="C37" s="63">
        <v>1</v>
      </c>
      <c r="D37" s="63">
        <f>6+28</f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f>93+28</f>
        <v>121</v>
      </c>
      <c r="C38" s="63"/>
      <c r="D38" s="63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f>119+28+28</f>
        <v>175</v>
      </c>
      <c r="C39" s="63">
        <v>2</v>
      </c>
      <c r="D39" s="63">
        <f>28+28</f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f>147+28</f>
        <v>175</v>
      </c>
      <c r="C40" s="63"/>
      <c r="D40" s="63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f>176+28+28</f>
        <v>232</v>
      </c>
      <c r="C41" s="63">
        <v>3</v>
      </c>
      <c r="D41" s="63">
        <f>28+28</f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f>203+28</f>
        <v>231</v>
      </c>
      <c r="C42" s="63"/>
      <c r="D42" s="63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2">
        <v>55</v>
      </c>
      <c r="B43" s="63">
        <f>226+28+28</f>
        <v>282</v>
      </c>
      <c r="C43" s="63">
        <v>4</v>
      </c>
      <c r="D43" s="63">
        <f>28+28</f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2">
        <v>60</v>
      </c>
      <c r="B44" s="63">
        <f>245+28</f>
        <v>273</v>
      </c>
      <c r="C44" s="63"/>
      <c r="D44" s="63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2">
        <v>65</v>
      </c>
      <c r="B45" s="63">
        <f>261+28+28</f>
        <v>317</v>
      </c>
      <c r="C45" s="63">
        <v>5</v>
      </c>
      <c r="D45" s="63">
        <f>28+28</f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2">
        <v>70</v>
      </c>
      <c r="B46" s="63">
        <f>274+28</f>
        <v>302</v>
      </c>
      <c r="C46" s="63"/>
      <c r="D46" s="63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2">
        <v>75</v>
      </c>
      <c r="B47" s="63">
        <f>284+28+28</f>
        <v>340</v>
      </c>
      <c r="C47" s="63">
        <v>6</v>
      </c>
      <c r="D47" s="63">
        <f>28+28</f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2">
        <v>80</v>
      </c>
      <c r="B48" s="63">
        <f>292+28</f>
        <v>320</v>
      </c>
      <c r="C48" s="63"/>
      <c r="D48" s="63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2">
        <v>90</v>
      </c>
      <c r="B49" s="63">
        <f>302+28+28+28</f>
        <v>386</v>
      </c>
      <c r="C49" s="63">
        <v>7</v>
      </c>
      <c r="D49" s="63">
        <f>28+28+28</f>
        <v>84</v>
      </c>
      <c r="E49" s="54"/>
      <c r="F49" s="54"/>
      <c r="G49" s="54"/>
      <c r="H49" s="54"/>
      <c r="I49" s="52">
        <f t="shared" si="1"/>
        <v>6.6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2">
        <v>100</v>
      </c>
      <c r="B50" s="53">
        <v>361</v>
      </c>
      <c r="C50" s="53"/>
      <c r="D50" s="53"/>
      <c r="E50" s="54"/>
      <c r="F50" s="54"/>
      <c r="G50" s="54"/>
      <c r="H50" s="54"/>
      <c r="I50" s="52">
        <f t="shared" si="1"/>
        <v>5.9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2">
        <v>110</v>
      </c>
      <c r="B51" s="53">
        <v>413</v>
      </c>
      <c r="C51" s="53">
        <v>8</v>
      </c>
      <c r="D51" s="53">
        <v>106</v>
      </c>
      <c r="E51" s="54"/>
      <c r="F51" s="54"/>
      <c r="G51" s="54"/>
      <c r="H51" s="54"/>
      <c r="I51" s="52">
        <f t="shared" si="1"/>
        <v>5.2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2">
        <v>120</v>
      </c>
      <c r="B52" s="53">
        <v>352</v>
      </c>
      <c r="C52" s="53"/>
      <c r="D52" s="53"/>
      <c r="E52" s="54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2">
        <v>130</v>
      </c>
      <c r="B53" s="53">
        <v>394</v>
      </c>
      <c r="C53" s="53">
        <v>9</v>
      </c>
      <c r="D53" s="53">
        <v>91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2">
        <v>140</v>
      </c>
      <c r="B54" s="53">
        <v>341</v>
      </c>
      <c r="C54" s="53"/>
      <c r="D54" s="53"/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2">
        <v>150</v>
      </c>
      <c r="B55" s="53">
        <v>376</v>
      </c>
      <c r="C55" s="53">
        <v>10</v>
      </c>
      <c r="D55" s="53">
        <v>376</v>
      </c>
      <c r="E55" s="54"/>
      <c r="F55" s="54"/>
      <c r="G55" s="54"/>
      <c r="H55" s="54"/>
      <c r="I55" s="52">
        <f t="shared" si="1"/>
        <v>3.5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pédonculé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f>67+6</f>
        <v>73</v>
      </c>
      <c r="C62" s="63"/>
      <c r="D62" s="63"/>
      <c r="E62" s="54"/>
      <c r="F62" s="54"/>
      <c r="G62" s="54"/>
      <c r="H62" s="54"/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f>75+6+28</f>
        <v>109</v>
      </c>
      <c r="C63" s="63">
        <v>1</v>
      </c>
      <c r="D63" s="63">
        <f>6+28</f>
        <v>34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f>93+28</f>
        <v>121</v>
      </c>
      <c r="C64" s="63"/>
      <c r="D64" s="63"/>
      <c r="E64" s="54"/>
      <c r="F64" s="54"/>
      <c r="G64" s="54"/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f>119+28+28</f>
        <v>175</v>
      </c>
      <c r="C65" s="63">
        <v>2</v>
      </c>
      <c r="D65" s="63">
        <f>28+28</f>
        <v>56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f>147+28</f>
        <v>175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f>176+28+28</f>
        <v>232</v>
      </c>
      <c r="C67" s="63">
        <v>3</v>
      </c>
      <c r="D67" s="63">
        <f>28+28</f>
        <v>56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f>203+28</f>
        <v>231</v>
      </c>
      <c r="C68" s="63"/>
      <c r="D68" s="63"/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2">
        <v>55</v>
      </c>
      <c r="B69" s="63">
        <f>226+28+28</f>
        <v>282</v>
      </c>
      <c r="C69" s="63">
        <v>4</v>
      </c>
      <c r="D69" s="63">
        <f>28+28</f>
        <v>56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2">
        <v>60</v>
      </c>
      <c r="B70" s="63">
        <f>245+28</f>
        <v>273</v>
      </c>
      <c r="C70" s="63"/>
      <c r="D70" s="63"/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2">
        <v>65</v>
      </c>
      <c r="B71" s="63">
        <f>261+28+28</f>
        <v>317</v>
      </c>
      <c r="C71" s="63">
        <v>5</v>
      </c>
      <c r="D71" s="63">
        <f>28+28</f>
        <v>56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2">
        <v>70</v>
      </c>
      <c r="B72" s="63">
        <f>274+28</f>
        <v>302</v>
      </c>
      <c r="C72" s="63"/>
      <c r="D72" s="63"/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2">
        <v>75</v>
      </c>
      <c r="B73" s="63">
        <f>284+28+28</f>
        <v>340</v>
      </c>
      <c r="C73" s="63">
        <v>6</v>
      </c>
      <c r="D73" s="63">
        <f>28+28</f>
        <v>56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2">
        <v>80</v>
      </c>
      <c r="B74" s="63">
        <f>292+28</f>
        <v>320</v>
      </c>
      <c r="C74" s="63"/>
      <c r="D74" s="63"/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2">
        <v>90</v>
      </c>
      <c r="B75" s="63">
        <f>302+28+28+28</f>
        <v>386</v>
      </c>
      <c r="C75" s="63">
        <v>7</v>
      </c>
      <c r="D75" s="63">
        <f>28+28+28</f>
        <v>84</v>
      </c>
      <c r="E75" s="54"/>
      <c r="F75" s="54"/>
      <c r="G75" s="54"/>
      <c r="H75" s="54"/>
      <c r="I75" s="52">
        <f t="shared" si="2"/>
        <v>6.6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2">
        <v>100</v>
      </c>
      <c r="B76" s="53">
        <v>361</v>
      </c>
      <c r="C76" s="53"/>
      <c r="D76" s="53"/>
      <c r="E76" s="54"/>
      <c r="F76" s="54"/>
      <c r="G76" s="54"/>
      <c r="H76" s="54"/>
      <c r="I76" s="52">
        <f t="shared" si="2"/>
        <v>5.9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2">
        <v>110</v>
      </c>
      <c r="B77" s="53">
        <v>413</v>
      </c>
      <c r="C77" s="53">
        <v>8</v>
      </c>
      <c r="D77" s="53">
        <v>106</v>
      </c>
      <c r="E77" s="54"/>
      <c r="F77" s="54"/>
      <c r="G77" s="54"/>
      <c r="H77" s="54"/>
      <c r="I77" s="52">
        <f t="shared" si="2"/>
        <v>5.2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282">
        <v>120</v>
      </c>
      <c r="B78" s="53">
        <v>352</v>
      </c>
      <c r="C78" s="53"/>
      <c r="D78" s="53"/>
      <c r="E78" s="54"/>
      <c r="F78" s="54"/>
      <c r="G78" s="54"/>
      <c r="H78" s="54"/>
      <c r="I78" s="52">
        <f t="shared" si="2"/>
        <v>4.5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282">
        <v>130</v>
      </c>
      <c r="B79" s="53">
        <v>394</v>
      </c>
      <c r="C79" s="53">
        <v>9</v>
      </c>
      <c r="D79" s="53">
        <v>91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282">
        <v>140</v>
      </c>
      <c r="B80" s="53">
        <v>341</v>
      </c>
      <c r="C80" s="53"/>
      <c r="D80" s="53"/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282">
        <v>150</v>
      </c>
      <c r="B81" s="53">
        <v>376</v>
      </c>
      <c r="C81" s="53">
        <v>10</v>
      </c>
      <c r="D81" s="53">
        <v>376</v>
      </c>
      <c r="E81" s="54"/>
      <c r="F81" s="54"/>
      <c r="G81" s="54"/>
      <c r="H81" s="54"/>
      <c r="I81" s="52">
        <f t="shared" si="2"/>
        <v>3.5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Hêtre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27</v>
      </c>
      <c r="B88" s="63">
        <v>77</v>
      </c>
      <c r="C88" s="53">
        <v>1</v>
      </c>
      <c r="D88" s="63">
        <v>12</v>
      </c>
      <c r="E88" s="54"/>
      <c r="F88" s="54"/>
      <c r="G88" s="54"/>
      <c r="H88" s="54">
        <v>1</v>
      </c>
      <c r="I88" s="56">
        <f>IFERROR(B88/A88,"")</f>
        <v>2.8518518518518516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102</v>
      </c>
      <c r="C89" s="53">
        <v>2</v>
      </c>
      <c r="D89" s="63">
        <v>13</v>
      </c>
      <c r="E89" s="54"/>
      <c r="F89" s="54"/>
      <c r="G89" s="54"/>
      <c r="H89" s="54">
        <v>1</v>
      </c>
      <c r="I89" s="56">
        <f t="shared" ref="I89:I107" si="3">IF(A89&lt;&gt;0,(B89-(B88-D88))/(A89-A88),"")</f>
        <v>12.333333333333334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36</v>
      </c>
      <c r="B90" s="63">
        <v>174</v>
      </c>
      <c r="C90" s="53">
        <v>3</v>
      </c>
      <c r="D90" s="63">
        <v>60</v>
      </c>
      <c r="E90" s="54"/>
      <c r="F90" s="54"/>
      <c r="G90" s="54"/>
      <c r="H90" s="54"/>
      <c r="I90" s="56">
        <f t="shared" si="3"/>
        <v>14.166666666666666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42</v>
      </c>
      <c r="B91" s="63">
        <v>205</v>
      </c>
      <c r="C91" s="53">
        <v>4</v>
      </c>
      <c r="D91" s="63">
        <v>59</v>
      </c>
      <c r="E91" s="54"/>
      <c r="F91" s="54"/>
      <c r="G91" s="54"/>
      <c r="H91" s="54"/>
      <c r="I91" s="56">
        <f t="shared" si="3"/>
        <v>15.166666666666666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48</v>
      </c>
      <c r="B92" s="63">
        <v>240</v>
      </c>
      <c r="C92" s="53">
        <v>5</v>
      </c>
      <c r="D92" s="63">
        <v>63</v>
      </c>
      <c r="E92" s="54"/>
      <c r="F92" s="54"/>
      <c r="G92" s="54"/>
      <c r="H92" s="54"/>
      <c r="I92" s="56">
        <f t="shared" si="3"/>
        <v>15.666666666666666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54</v>
      </c>
      <c r="B93" s="63">
        <v>270</v>
      </c>
      <c r="C93" s="53">
        <v>6</v>
      </c>
      <c r="D93" s="63">
        <v>64</v>
      </c>
      <c r="E93" s="54"/>
      <c r="F93" s="54"/>
      <c r="G93" s="54"/>
      <c r="H93" s="54"/>
      <c r="I93" s="56">
        <f t="shared" si="3"/>
        <v>15.5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60</v>
      </c>
      <c r="B94" s="63">
        <v>295</v>
      </c>
      <c r="C94" s="53">
        <v>7</v>
      </c>
      <c r="D94" s="63">
        <v>61</v>
      </c>
      <c r="E94" s="54"/>
      <c r="F94" s="54"/>
      <c r="G94" s="54"/>
      <c r="H94" s="54"/>
      <c r="I94" s="56">
        <f t="shared" si="3"/>
        <v>14.833333333333334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69</v>
      </c>
      <c r="B95" s="63">
        <v>358</v>
      </c>
      <c r="C95" s="53">
        <v>8</v>
      </c>
      <c r="D95" s="63">
        <v>84</v>
      </c>
      <c r="E95" s="54"/>
      <c r="F95" s="54"/>
      <c r="G95" s="54"/>
      <c r="H95" s="54"/>
      <c r="I95" s="56">
        <f t="shared" si="3"/>
        <v>13.777777777777779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78</v>
      </c>
      <c r="B96" s="63">
        <v>387</v>
      </c>
      <c r="C96" s="53">
        <v>9</v>
      </c>
      <c r="D96" s="63">
        <v>39</v>
      </c>
      <c r="E96" s="54"/>
      <c r="F96" s="54"/>
      <c r="G96" s="54"/>
      <c r="H96" s="54"/>
      <c r="I96" s="56">
        <f t="shared" si="3"/>
        <v>12.555555555555555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84</v>
      </c>
      <c r="B97" s="63">
        <v>420</v>
      </c>
      <c r="C97" s="53"/>
      <c r="D97" s="63"/>
      <c r="E97" s="54"/>
      <c r="F97" s="54"/>
      <c r="G97" s="54"/>
      <c r="H97" s="54"/>
      <c r="I97" s="56">
        <f t="shared" si="3"/>
        <v>12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90</v>
      </c>
      <c r="B98" s="63">
        <v>489</v>
      </c>
      <c r="C98" s="53"/>
      <c r="D98" s="63"/>
      <c r="E98" s="54"/>
      <c r="F98" s="54"/>
      <c r="G98" s="54"/>
      <c r="H98" s="54"/>
      <c r="I98" s="56">
        <f t="shared" si="3"/>
        <v>11.5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96</v>
      </c>
      <c r="B99" s="63">
        <v>557</v>
      </c>
      <c r="C99" s="53"/>
      <c r="D99" s="63"/>
      <c r="E99" s="54"/>
      <c r="F99" s="54"/>
      <c r="G99" s="54"/>
      <c r="H99" s="54"/>
      <c r="I99" s="56">
        <f t="shared" si="3"/>
        <v>11.333333333333334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99</v>
      </c>
      <c r="B100" s="63">
        <v>591</v>
      </c>
      <c r="C100" s="53">
        <v>10</v>
      </c>
      <c r="D100" s="63">
        <f>B100</f>
        <v>591</v>
      </c>
      <c r="E100" s="57"/>
      <c r="F100" s="57"/>
      <c r="G100" s="57"/>
      <c r="H100" s="57"/>
      <c r="I100" s="56">
        <f t="shared" si="3"/>
        <v>11.333333333333334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/>
      <c r="B101" s="63"/>
      <c r="C101" s="53"/>
      <c r="D101" s="63"/>
      <c r="E101" s="57"/>
      <c r="F101" s="57"/>
      <c r="G101" s="57"/>
      <c r="H101" s="57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8"/>
      <c r="B102" s="59"/>
      <c r="C102" s="5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8"/>
      <c r="B103" s="59"/>
      <c r="C103" s="5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8"/>
      <c r="B104" s="59"/>
      <c r="C104" s="53"/>
      <c r="D104" s="61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Aulne glutineux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f>10+1</f>
        <v>11</v>
      </c>
      <c r="C114" s="53"/>
      <c r="D114" s="63"/>
      <c r="E114" s="54"/>
      <c r="F114" s="54"/>
      <c r="G114" s="54"/>
      <c r="H114" s="54"/>
      <c r="I114" s="56">
        <f>IFERROR(B114/A114,"")</f>
        <v>1.1000000000000001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f>40+1+4</f>
        <v>45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6.8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63">
        <f>90+1+4+10</f>
        <v>105</v>
      </c>
      <c r="C116" s="53"/>
      <c r="D116" s="63"/>
      <c r="E116" s="54"/>
      <c r="F116" s="54"/>
      <c r="G116" s="54"/>
      <c r="H116" s="54"/>
      <c r="I116" s="56">
        <f t="shared" si="4"/>
        <v>12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63">
        <f>117+1+4+10+21</f>
        <v>153</v>
      </c>
      <c r="C117" s="53">
        <v>1</v>
      </c>
      <c r="D117" s="63">
        <f>1+4+10+21</f>
        <v>36</v>
      </c>
      <c r="E117" s="54"/>
      <c r="F117" s="54"/>
      <c r="G117" s="54"/>
      <c r="H117" s="54">
        <v>1</v>
      </c>
      <c r="I117" s="56">
        <f t="shared" si="4"/>
        <v>9.6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63">
        <f>138+23</f>
        <v>161</v>
      </c>
      <c r="C118" s="53"/>
      <c r="D118" s="63"/>
      <c r="E118" s="54"/>
      <c r="F118" s="54"/>
      <c r="G118" s="54"/>
      <c r="H118" s="54"/>
      <c r="I118" s="56">
        <f t="shared" si="4"/>
        <v>8.8000000000000007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f>156+23+25</f>
        <v>204</v>
      </c>
      <c r="C119" s="53">
        <v>2</v>
      </c>
      <c r="D119" s="63">
        <f>23+25</f>
        <v>48</v>
      </c>
      <c r="E119" s="54"/>
      <c r="F119" s="54"/>
      <c r="G119" s="54"/>
      <c r="H119" s="54"/>
      <c r="I119" s="56">
        <f t="shared" si="4"/>
        <v>8.6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40</v>
      </c>
      <c r="B120" s="63">
        <f>170+25</f>
        <v>195</v>
      </c>
      <c r="C120" s="53"/>
      <c r="D120" s="63"/>
      <c r="E120" s="54"/>
      <c r="F120" s="54"/>
      <c r="G120" s="54"/>
      <c r="H120" s="54"/>
      <c r="I120" s="56">
        <f t="shared" si="4"/>
        <v>7.8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45</v>
      </c>
      <c r="B121" s="63">
        <f>182+25+25</f>
        <v>232</v>
      </c>
      <c r="C121" s="53">
        <v>3</v>
      </c>
      <c r="D121" s="63">
        <f>25+25</f>
        <v>50</v>
      </c>
      <c r="E121" s="54"/>
      <c r="F121" s="54"/>
      <c r="G121" s="54"/>
      <c r="H121" s="54"/>
      <c r="I121" s="56">
        <f t="shared" si="4"/>
        <v>7.4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50</v>
      </c>
      <c r="B122" s="63">
        <f>191+24</f>
        <v>215</v>
      </c>
      <c r="C122" s="53"/>
      <c r="D122" s="63"/>
      <c r="E122" s="54"/>
      <c r="F122" s="54"/>
      <c r="G122" s="54"/>
      <c r="H122" s="54"/>
      <c r="I122" s="56">
        <f t="shared" si="4"/>
        <v>6.6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55</v>
      </c>
      <c r="B123" s="63">
        <f>200+24+23</f>
        <v>247</v>
      </c>
      <c r="C123" s="53">
        <v>4</v>
      </c>
      <c r="D123" s="63">
        <f>24+23</f>
        <v>47</v>
      </c>
      <c r="E123" s="54"/>
      <c r="F123" s="54"/>
      <c r="G123" s="54"/>
      <c r="H123" s="54"/>
      <c r="I123" s="56">
        <f t="shared" si="4"/>
        <v>6.4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60</v>
      </c>
      <c r="B124" s="63">
        <f>207+22</f>
        <v>229</v>
      </c>
      <c r="C124" s="53"/>
      <c r="D124" s="63"/>
      <c r="E124" s="54"/>
      <c r="F124" s="54"/>
      <c r="G124" s="54"/>
      <c r="H124" s="54"/>
      <c r="I124" s="56">
        <f t="shared" si="4"/>
        <v>5.8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65</v>
      </c>
      <c r="B125" s="63">
        <f>213+22+20</f>
        <v>255</v>
      </c>
      <c r="C125" s="53">
        <v>5</v>
      </c>
      <c r="D125" s="63">
        <f>22+20</f>
        <v>42</v>
      </c>
      <c r="E125" s="54"/>
      <c r="F125" s="54"/>
      <c r="G125" s="54"/>
      <c r="H125" s="54"/>
      <c r="I125" s="56">
        <f t="shared" si="4"/>
        <v>5.2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70</v>
      </c>
      <c r="B126" s="63">
        <f>218+19</f>
        <v>237</v>
      </c>
      <c r="C126" s="53"/>
      <c r="D126" s="63"/>
      <c r="E126" s="57"/>
      <c r="F126" s="57"/>
      <c r="G126" s="57"/>
      <c r="H126" s="57"/>
      <c r="I126" s="56">
        <f t="shared" si="4"/>
        <v>4.8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75</v>
      </c>
      <c r="B127" s="63">
        <f>223+19+18</f>
        <v>260</v>
      </c>
      <c r="C127" s="53">
        <v>6</v>
      </c>
      <c r="D127" s="63">
        <f>19+18</f>
        <v>37</v>
      </c>
      <c r="E127" s="57"/>
      <c r="F127" s="57"/>
      <c r="G127" s="57"/>
      <c r="H127" s="57"/>
      <c r="I127" s="56">
        <f t="shared" si="4"/>
        <v>4.5999999999999996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8">
        <v>80</v>
      </c>
      <c r="B128" s="59">
        <f>228+16</f>
        <v>244</v>
      </c>
      <c r="C128" s="53"/>
      <c r="D128" s="53"/>
      <c r="E128" s="57"/>
      <c r="F128" s="57"/>
      <c r="G128" s="57"/>
      <c r="H128" s="57"/>
      <c r="I128" s="56">
        <f t="shared" si="4"/>
        <v>4.2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8">
        <v>85</v>
      </c>
      <c r="B129" s="59">
        <f>232+16+15</f>
        <v>263</v>
      </c>
      <c r="C129" s="53"/>
      <c r="D129" s="53"/>
      <c r="E129" s="57"/>
      <c r="F129" s="57"/>
      <c r="G129" s="57"/>
      <c r="H129" s="57"/>
      <c r="I129" s="56">
        <f t="shared" si="4"/>
        <v>3.8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8">
        <v>90</v>
      </c>
      <c r="B130" s="59">
        <f>236+16+15+14</f>
        <v>281</v>
      </c>
      <c r="C130" s="53">
        <v>7</v>
      </c>
      <c r="D130" s="61">
        <f>B130</f>
        <v>281</v>
      </c>
      <c r="E130" s="57"/>
      <c r="F130" s="57"/>
      <c r="G130" s="57"/>
      <c r="H130" s="57"/>
      <c r="I130" s="56">
        <f t="shared" si="4"/>
        <v>3.6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Bouleau verruqueux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10</v>
      </c>
      <c r="B140" s="63">
        <v>9</v>
      </c>
      <c r="C140" s="63"/>
      <c r="D140" s="63"/>
      <c r="E140" s="54"/>
      <c r="F140" s="54"/>
      <c r="G140" s="54"/>
      <c r="H140" s="54"/>
      <c r="I140" s="60">
        <f>IFERROR(B140/A140,"")</f>
        <v>0.9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15</v>
      </c>
      <c r="B141" s="63">
        <v>49</v>
      </c>
      <c r="C141" s="63"/>
      <c r="D141" s="63"/>
      <c r="E141" s="54"/>
      <c r="F141" s="54"/>
      <c r="G141" s="54"/>
      <c r="H141" s="54"/>
      <c r="I141" s="60">
        <f t="shared" ref="I141:I159" si="5">IF(A141&lt;&gt;0,(B141-(B140-D140))/(A141-A140),"")</f>
        <v>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20</v>
      </c>
      <c r="B142" s="63">
        <v>99</v>
      </c>
      <c r="C142" s="63">
        <v>1</v>
      </c>
      <c r="D142" s="63">
        <v>40</v>
      </c>
      <c r="E142" s="54"/>
      <c r="F142" s="54"/>
      <c r="G142" s="54"/>
      <c r="H142" s="54">
        <v>1</v>
      </c>
      <c r="I142" s="60">
        <f t="shared" si="5"/>
        <v>10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25</v>
      </c>
      <c r="B143" s="63">
        <v>102</v>
      </c>
      <c r="C143" s="63"/>
      <c r="D143" s="63"/>
      <c r="E143" s="54"/>
      <c r="F143" s="54"/>
      <c r="G143" s="54"/>
      <c r="H143" s="54"/>
      <c r="I143" s="60">
        <f t="shared" si="5"/>
        <v>8.6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30</v>
      </c>
      <c r="B144" s="63">
        <v>146</v>
      </c>
      <c r="C144" s="63"/>
      <c r="D144" s="63"/>
      <c r="E144" s="54"/>
      <c r="F144" s="54"/>
      <c r="G144" s="54"/>
      <c r="H144" s="54"/>
      <c r="I144" s="60">
        <f t="shared" si="5"/>
        <v>8.8000000000000007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35</v>
      </c>
      <c r="B145" s="63">
        <v>190</v>
      </c>
      <c r="C145" s="63">
        <v>2</v>
      </c>
      <c r="D145" s="63">
        <v>76</v>
      </c>
      <c r="E145" s="54"/>
      <c r="F145" s="54"/>
      <c r="G145" s="54"/>
      <c r="H145" s="54"/>
      <c r="I145" s="60">
        <f t="shared" si="5"/>
        <v>8.8000000000000007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40</v>
      </c>
      <c r="B146" s="63">
        <v>152</v>
      </c>
      <c r="C146" s="63"/>
      <c r="D146" s="63"/>
      <c r="E146" s="54"/>
      <c r="F146" s="54"/>
      <c r="G146" s="54"/>
      <c r="H146" s="54"/>
      <c r="I146" s="60">
        <f t="shared" si="5"/>
        <v>7.6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45</v>
      </c>
      <c r="B147" s="53">
        <v>190</v>
      </c>
      <c r="C147" s="53"/>
      <c r="D147" s="53"/>
      <c r="E147" s="54"/>
      <c r="F147" s="54"/>
      <c r="G147" s="54"/>
      <c r="H147" s="54"/>
      <c r="I147" s="60">
        <f>IF(A147&lt;&gt;0,(B147-(B146-D146))/(A147-A146),"")</f>
        <v>7.6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50</v>
      </c>
      <c r="B148" s="53">
        <v>228</v>
      </c>
      <c r="C148" s="53"/>
      <c r="D148" s="53"/>
      <c r="E148" s="54"/>
      <c r="F148" s="54"/>
      <c r="G148" s="54"/>
      <c r="H148" s="54"/>
      <c r="I148" s="60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55</v>
      </c>
      <c r="B149" s="53">
        <v>266</v>
      </c>
      <c r="C149" s="53"/>
      <c r="D149" s="53"/>
      <c r="E149" s="54"/>
      <c r="F149" s="54"/>
      <c r="G149" s="54"/>
      <c r="H149" s="54"/>
      <c r="I149" s="60">
        <f t="shared" si="5"/>
        <v>7.6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60</v>
      </c>
      <c r="B150" s="53">
        <v>303</v>
      </c>
      <c r="C150" s="53">
        <v>3</v>
      </c>
      <c r="D150" s="53">
        <v>303</v>
      </c>
      <c r="E150" s="54"/>
      <c r="F150" s="54"/>
      <c r="G150" s="54"/>
      <c r="H150" s="54"/>
      <c r="I150" s="60">
        <f t="shared" si="5"/>
        <v>7.4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53"/>
      <c r="C151" s="53"/>
      <c r="D151" s="5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53"/>
      <c r="C152" s="53"/>
      <c r="D152" s="53"/>
      <c r="E152" s="54"/>
      <c r="F152" s="54"/>
      <c r="G152" s="54"/>
      <c r="H152" s="54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53"/>
      <c r="C153" s="53"/>
      <c r="D153" s="53"/>
      <c r="E153" s="54"/>
      <c r="F153" s="54"/>
      <c r="G153" s="54"/>
      <c r="H153" s="54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/>
      <c r="B154" s="53"/>
      <c r="C154" s="53"/>
      <c r="D154" s="53"/>
      <c r="E154" s="54"/>
      <c r="F154" s="54"/>
      <c r="G154" s="54"/>
      <c r="H154" s="54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/>
      <c r="B155" s="53"/>
      <c r="C155" s="53"/>
      <c r="D155" s="53"/>
      <c r="E155" s="54"/>
      <c r="F155" s="54"/>
      <c r="G155" s="54"/>
      <c r="H155" s="54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/>
      <c r="B156" s="53"/>
      <c r="C156" s="53"/>
      <c r="D156" s="53"/>
      <c r="E156" s="54"/>
      <c r="F156" s="54"/>
      <c r="G156" s="54"/>
      <c r="H156" s="54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/>
      <c r="B157" s="53"/>
      <c r="C157" s="53"/>
      <c r="D157" s="53"/>
      <c r="E157" s="54"/>
      <c r="F157" s="54"/>
      <c r="G157" s="54"/>
      <c r="H157" s="54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/>
      <c r="B158" s="53"/>
      <c r="C158" s="53"/>
      <c r="D158" s="53"/>
      <c r="E158" s="54"/>
      <c r="F158" s="54"/>
      <c r="G158" s="54"/>
      <c r="H158" s="54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/>
      <c r="B159" s="53"/>
      <c r="C159" s="53"/>
      <c r="D159" s="53"/>
      <c r="E159" s="54"/>
      <c r="F159" s="54"/>
      <c r="G159" s="54"/>
      <c r="H159" s="54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Charme</v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3">
        <f>74/1.56</f>
        <v>47.435897435897431</v>
      </c>
      <c r="C166" s="63"/>
      <c r="D166" s="63"/>
      <c r="E166" s="54"/>
      <c r="F166" s="54"/>
      <c r="G166" s="54"/>
      <c r="H166" s="54"/>
      <c r="I166" s="52">
        <f>IFERROR(B166/A166,"")</f>
        <v>3.1623931623931623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20</v>
      </c>
      <c r="B167" s="63">
        <f>(118+14)/1.56</f>
        <v>84.615384615384613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7.4358974358974361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25</v>
      </c>
      <c r="B168" s="63">
        <f>(158+14+19)/1.56</f>
        <v>122.43589743589743</v>
      </c>
      <c r="C168" s="63">
        <v>1</v>
      </c>
      <c r="D168" s="63">
        <f>(14+19+23)/1.56</f>
        <v>35.897435897435898</v>
      </c>
      <c r="E168" s="54"/>
      <c r="F168" s="54"/>
      <c r="G168" s="54"/>
      <c r="H168" s="54">
        <v>1</v>
      </c>
      <c r="I168" s="52">
        <f t="shared" si="6"/>
        <v>7.5641025641025639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30</v>
      </c>
      <c r="B169" s="63">
        <f>193/1.56</f>
        <v>123.71794871794872</v>
      </c>
      <c r="C169" s="63"/>
      <c r="D169" s="63"/>
      <c r="E169" s="54"/>
      <c r="F169" s="54"/>
      <c r="G169" s="54"/>
      <c r="H169" s="54"/>
      <c r="I169" s="52">
        <f t="shared" si="6"/>
        <v>7.4358974358974361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35</v>
      </c>
      <c r="B170" s="63">
        <f>(224+25)/1.56</f>
        <v>159.61538461538461</v>
      </c>
      <c r="C170" s="63">
        <v>2</v>
      </c>
      <c r="D170" s="63">
        <f>(25+27)/1.56</f>
        <v>33.333333333333336</v>
      </c>
      <c r="E170" s="54"/>
      <c r="F170" s="54"/>
      <c r="G170" s="54"/>
      <c r="H170" s="54"/>
      <c r="I170" s="52">
        <f t="shared" si="6"/>
        <v>7.1794871794871797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40</v>
      </c>
      <c r="B171" s="63">
        <f>250/1.56</f>
        <v>160.25641025641025</v>
      </c>
      <c r="C171" s="63"/>
      <c r="D171" s="63"/>
      <c r="E171" s="54"/>
      <c r="F171" s="54"/>
      <c r="G171" s="54"/>
      <c r="H171" s="54"/>
      <c r="I171" s="52">
        <f t="shared" si="6"/>
        <v>6.7948717948717956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45</v>
      </c>
      <c r="B172" s="63">
        <f>(272+27)/1.56</f>
        <v>191.66666666666666</v>
      </c>
      <c r="C172" s="63">
        <v>3</v>
      </c>
      <c r="D172" s="63">
        <f>(27+27)/1.56</f>
        <v>34.615384615384613</v>
      </c>
      <c r="E172" s="54"/>
      <c r="F172" s="54"/>
      <c r="G172" s="54"/>
      <c r="H172" s="54"/>
      <c r="I172" s="52">
        <f t="shared" si="6"/>
        <v>6.2820512820512819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50</v>
      </c>
      <c r="B173" s="53">
        <v>187.17948717948718</v>
      </c>
      <c r="C173" s="53"/>
      <c r="D173" s="53"/>
      <c r="E173" s="54"/>
      <c r="F173" s="54"/>
      <c r="G173" s="54"/>
      <c r="H173" s="54"/>
      <c r="I173" s="52">
        <f t="shared" si="6"/>
        <v>6.0256410256410273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55</v>
      </c>
      <c r="B174" s="53">
        <v>215.38461538461539</v>
      </c>
      <c r="C174" s="53">
        <v>4</v>
      </c>
      <c r="D174" s="53">
        <v>34.615384615384613</v>
      </c>
      <c r="E174" s="54"/>
      <c r="F174" s="54"/>
      <c r="G174" s="54"/>
      <c r="H174" s="54"/>
      <c r="I174" s="52">
        <f t="shared" si="6"/>
        <v>5.6410256410256405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60</v>
      </c>
      <c r="B175" s="53">
        <v>207.69230769230768</v>
      </c>
      <c r="C175" s="53"/>
      <c r="D175" s="53"/>
      <c r="E175" s="54"/>
      <c r="F175" s="54"/>
      <c r="G175" s="54"/>
      <c r="H175" s="54"/>
      <c r="I175" s="52">
        <f t="shared" si="6"/>
        <v>5.3846153846153815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65</v>
      </c>
      <c r="B176" s="53">
        <v>232.69230769230768</v>
      </c>
      <c r="C176" s="53">
        <v>5</v>
      </c>
      <c r="D176" s="53">
        <v>32.692307692307693</v>
      </c>
      <c r="E176" s="54"/>
      <c r="F176" s="54"/>
      <c r="G176" s="54"/>
      <c r="H176" s="54"/>
      <c r="I176" s="52">
        <f t="shared" si="6"/>
        <v>5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70</v>
      </c>
      <c r="B177" s="53">
        <v>223.7179487179487</v>
      </c>
      <c r="C177" s="53"/>
      <c r="D177" s="53"/>
      <c r="E177" s="54"/>
      <c r="F177" s="54"/>
      <c r="G177" s="54"/>
      <c r="H177" s="54"/>
      <c r="I177" s="52">
        <f t="shared" si="6"/>
        <v>4.7435897435897401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75</v>
      </c>
      <c r="B178" s="53">
        <v>246.15384615384613</v>
      </c>
      <c r="C178" s="53">
        <v>6</v>
      </c>
      <c r="D178" s="53">
        <v>30.769230769230766</v>
      </c>
      <c r="E178" s="54"/>
      <c r="F178" s="54"/>
      <c r="G178" s="54"/>
      <c r="H178" s="54"/>
      <c r="I178" s="52">
        <f t="shared" si="6"/>
        <v>4.4871794871794863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80</v>
      </c>
      <c r="B179" s="53">
        <v>237.17948717948718</v>
      </c>
      <c r="C179" s="53"/>
      <c r="D179" s="53"/>
      <c r="E179" s="54"/>
      <c r="F179" s="54"/>
      <c r="G179" s="54"/>
      <c r="H179" s="54"/>
      <c r="I179" s="52">
        <f t="shared" si="6"/>
        <v>4.3589743589743648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85</v>
      </c>
      <c r="B180" s="53">
        <v>258.33333333333331</v>
      </c>
      <c r="C180" s="53">
        <v>7</v>
      </c>
      <c r="D180" s="53">
        <v>28.846153846153847</v>
      </c>
      <c r="E180" s="54"/>
      <c r="F180" s="54"/>
      <c r="G180" s="54"/>
      <c r="H180" s="54"/>
      <c r="I180" s="52">
        <f t="shared" si="6"/>
        <v>4.2307692307692264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90</v>
      </c>
      <c r="B181" s="53">
        <v>248.7179487179487</v>
      </c>
      <c r="C181" s="53"/>
      <c r="D181" s="53"/>
      <c r="E181" s="54"/>
      <c r="F181" s="54"/>
      <c r="G181" s="54"/>
      <c r="H181" s="54"/>
      <c r="I181" s="52">
        <f t="shared" si="6"/>
        <v>3.8461538461538454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95</v>
      </c>
      <c r="B182" s="53">
        <v>267.94871794871796</v>
      </c>
      <c r="C182" s="53">
        <v>8</v>
      </c>
      <c r="D182" s="53">
        <v>27.564102564102562</v>
      </c>
      <c r="E182" s="54"/>
      <c r="F182" s="54"/>
      <c r="G182" s="54"/>
      <c r="H182" s="54"/>
      <c r="I182" s="52">
        <f t="shared" si="6"/>
        <v>3.8461538461538511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100</v>
      </c>
      <c r="B183" s="53">
        <v>258.33333333333331</v>
      </c>
      <c r="C183" s="53"/>
      <c r="D183" s="53"/>
      <c r="E183" s="54"/>
      <c r="F183" s="54"/>
      <c r="G183" s="54"/>
      <c r="H183" s="54"/>
      <c r="I183" s="52">
        <f t="shared" si="6"/>
        <v>3.5897435897435854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110</v>
      </c>
      <c r="B184" s="53">
        <v>292.30769230769232</v>
      </c>
      <c r="C184" s="53">
        <v>9</v>
      </c>
      <c r="D184" s="53">
        <v>37.820512820512818</v>
      </c>
      <c r="E184" s="54"/>
      <c r="F184" s="54"/>
      <c r="G184" s="54"/>
      <c r="H184" s="54"/>
      <c r="I184" s="52">
        <f t="shared" si="6"/>
        <v>3.3974358974359005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120</v>
      </c>
      <c r="B185" s="53">
        <v>285.89743589743591</v>
      </c>
      <c r="C185" s="53">
        <v>10</v>
      </c>
      <c r="D185" s="53">
        <v>285.89743589743591</v>
      </c>
      <c r="E185" s="54"/>
      <c r="F185" s="54"/>
      <c r="G185" s="54"/>
      <c r="H185" s="54"/>
      <c r="I185" s="52">
        <f t="shared" si="6"/>
        <v>3.141025641025641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Châtaignier</v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10</v>
      </c>
      <c r="B192" s="63">
        <f>11.1</f>
        <v>11.1</v>
      </c>
      <c r="C192" s="63"/>
      <c r="D192" s="63"/>
      <c r="E192" s="54"/>
      <c r="F192" s="54"/>
      <c r="G192" s="54"/>
      <c r="H192" s="93"/>
      <c r="I192" s="52">
        <f>IFERROR(B192/A192,"")</f>
        <v>1.1099999999999999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15</v>
      </c>
      <c r="B193" s="63">
        <f>33+31.5</f>
        <v>64.5</v>
      </c>
      <c r="C193" s="63"/>
      <c r="D193" s="63"/>
      <c r="E193" s="54"/>
      <c r="F193" s="54"/>
      <c r="G193" s="54"/>
      <c r="H193" s="93"/>
      <c r="I193" s="52">
        <f t="shared" ref="I193:I211" si="7">IF(A193&lt;&gt;0,(B193-(B192-D192))/(A193-A192),"")</f>
        <v>10.68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20</v>
      </c>
      <c r="B194" s="63">
        <f>66.8+31.5+35</f>
        <v>133.30000000000001</v>
      </c>
      <c r="C194" s="63">
        <v>1</v>
      </c>
      <c r="D194" s="63">
        <f>31.5+35</f>
        <v>66.5</v>
      </c>
      <c r="E194" s="93"/>
      <c r="F194" s="93"/>
      <c r="G194" s="93"/>
      <c r="H194" s="93">
        <v>1</v>
      </c>
      <c r="I194" s="52">
        <f t="shared" si="7"/>
        <v>13.760000000000002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25</v>
      </c>
      <c r="B195" s="63">
        <f>105.5+35</f>
        <v>140.5</v>
      </c>
      <c r="C195" s="63"/>
      <c r="D195" s="63"/>
      <c r="E195" s="93"/>
      <c r="F195" s="93"/>
      <c r="G195" s="93"/>
      <c r="H195" s="93"/>
      <c r="I195" s="52">
        <f t="shared" si="7"/>
        <v>14.739999999999998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30</v>
      </c>
      <c r="B196" s="63">
        <f>141.8+35+35</f>
        <v>211.8</v>
      </c>
      <c r="C196" s="63">
        <v>2</v>
      </c>
      <c r="D196" s="63">
        <f>35+35</f>
        <v>70</v>
      </c>
      <c r="E196" s="93"/>
      <c r="F196" s="93"/>
      <c r="G196" s="93"/>
      <c r="H196" s="93">
        <v>1</v>
      </c>
      <c r="I196" s="52">
        <f t="shared" si="7"/>
        <v>14.260000000000002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35</v>
      </c>
      <c r="B197" s="63">
        <f>171.4+35</f>
        <v>206.4</v>
      </c>
      <c r="C197" s="63"/>
      <c r="D197" s="63"/>
      <c r="E197" s="93"/>
      <c r="F197" s="93"/>
      <c r="G197" s="93"/>
      <c r="H197" s="93"/>
      <c r="I197" s="52">
        <f t="shared" si="7"/>
        <v>12.919999999999998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40</v>
      </c>
      <c r="B198" s="63">
        <f>193.1+35+35</f>
        <v>263.10000000000002</v>
      </c>
      <c r="C198" s="63">
        <v>3</v>
      </c>
      <c r="D198" s="63">
        <f>35+35</f>
        <v>70</v>
      </c>
      <c r="E198" s="93"/>
      <c r="F198" s="93"/>
      <c r="G198" s="93"/>
      <c r="H198" s="93"/>
      <c r="I198" s="52">
        <f t="shared" si="7"/>
        <v>11.340000000000003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63">
        <v>45</v>
      </c>
      <c r="B199" s="63">
        <f>218+24.2</f>
        <v>242.2</v>
      </c>
      <c r="C199" s="63"/>
      <c r="D199" s="63"/>
      <c r="E199" s="93"/>
      <c r="F199" s="93"/>
      <c r="G199" s="93"/>
      <c r="H199" s="93"/>
      <c r="I199" s="52">
        <f t="shared" si="7"/>
        <v>9.8199999999999932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63">
        <v>50</v>
      </c>
      <c r="B200" s="63">
        <f>241.8+24.2+18.9</f>
        <v>284.89999999999998</v>
      </c>
      <c r="C200" s="63">
        <v>4</v>
      </c>
      <c r="D200" s="63">
        <f>24.2+18.9</f>
        <v>43.099999999999994</v>
      </c>
      <c r="E200" s="93"/>
      <c r="F200" s="93"/>
      <c r="G200" s="93"/>
      <c r="H200" s="93"/>
      <c r="I200" s="52">
        <f t="shared" si="7"/>
        <v>8.5399999999999974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63">
        <v>55</v>
      </c>
      <c r="B201" s="63">
        <f>262.6+16</f>
        <v>278.60000000000002</v>
      </c>
      <c r="C201" s="63"/>
      <c r="D201" s="63"/>
      <c r="E201" s="93"/>
      <c r="F201" s="93"/>
      <c r="G201" s="93"/>
      <c r="H201" s="93"/>
      <c r="I201" s="52">
        <f t="shared" si="7"/>
        <v>7.3600000000000083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63">
        <v>60</v>
      </c>
      <c r="B202" s="63">
        <f>279.8+16+14.2</f>
        <v>310</v>
      </c>
      <c r="C202" s="63">
        <v>5</v>
      </c>
      <c r="D202" s="63">
        <f>16+14.2</f>
        <v>30.2</v>
      </c>
      <c r="E202" s="93"/>
      <c r="F202" s="93"/>
      <c r="G202" s="93"/>
      <c r="H202" s="93"/>
      <c r="I202" s="52">
        <f t="shared" si="7"/>
        <v>6.2799999999999958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63">
        <v>65</v>
      </c>
      <c r="B203" s="63">
        <f>292.6+13.4</f>
        <v>306</v>
      </c>
      <c r="C203" s="63"/>
      <c r="D203" s="63"/>
      <c r="E203" s="93"/>
      <c r="F203" s="93"/>
      <c r="G203" s="93"/>
      <c r="H203" s="93"/>
      <c r="I203" s="52">
        <f t="shared" si="7"/>
        <v>5.2399999999999975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63">
        <v>70</v>
      </c>
      <c r="B204" s="63">
        <f>302.6+13.4+12.5</f>
        <v>328.5</v>
      </c>
      <c r="C204" s="63">
        <v>6</v>
      </c>
      <c r="D204" s="63">
        <f>13.4+12.5</f>
        <v>25.9</v>
      </c>
      <c r="E204" s="68"/>
      <c r="F204" s="68"/>
      <c r="G204" s="68"/>
      <c r="H204" s="68"/>
      <c r="I204" s="52">
        <f t="shared" si="7"/>
        <v>4.5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63">
        <v>75</v>
      </c>
      <c r="B205" s="63">
        <f>311.9+11.6</f>
        <v>323.5</v>
      </c>
      <c r="C205" s="63"/>
      <c r="D205" s="63"/>
      <c r="E205" s="68"/>
      <c r="F205" s="68"/>
      <c r="G205" s="68"/>
      <c r="H205" s="68"/>
      <c r="I205" s="52">
        <f t="shared" si="7"/>
        <v>4.1799999999999953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63">
        <v>80</v>
      </c>
      <c r="B206" s="53">
        <v>341.3</v>
      </c>
      <c r="C206" s="63">
        <v>7</v>
      </c>
      <c r="D206" s="53">
        <v>341.3</v>
      </c>
      <c r="E206" s="57"/>
      <c r="F206" s="57"/>
      <c r="G206" s="57"/>
      <c r="H206" s="57"/>
      <c r="I206" s="52">
        <f t="shared" si="7"/>
        <v>3.5600000000000023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Merisier</v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15</v>
      </c>
      <c r="B218" s="63">
        <v>40</v>
      </c>
      <c r="C218" s="53"/>
      <c r="D218" s="63"/>
      <c r="E218" s="66"/>
      <c r="F218" s="66"/>
      <c r="G218" s="66"/>
      <c r="H218" s="66"/>
      <c r="I218" s="56">
        <f>IFERROR(B218/A218,"")</f>
        <v>2.6666666666666665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20</v>
      </c>
      <c r="B219" s="63">
        <f>85+3</f>
        <v>88</v>
      </c>
      <c r="C219" s="53"/>
      <c r="D219" s="63"/>
      <c r="E219" s="66"/>
      <c r="F219" s="66"/>
      <c r="G219" s="66"/>
      <c r="H219" s="66"/>
      <c r="I219" s="56">
        <f t="shared" ref="I219:I237" si="8">IF(A219&lt;&gt;0,(B219-(B218-D218))/(A219-A218),"")</f>
        <v>9.6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25</v>
      </c>
      <c r="B220" s="63">
        <f>113+3+25</f>
        <v>141</v>
      </c>
      <c r="C220" s="53">
        <v>1</v>
      </c>
      <c r="D220" s="63">
        <f>3+25+27</f>
        <v>55</v>
      </c>
      <c r="E220" s="66"/>
      <c r="F220" s="66"/>
      <c r="G220" s="66"/>
      <c r="H220" s="66">
        <v>1</v>
      </c>
      <c r="I220" s="56">
        <f t="shared" si="8"/>
        <v>10.6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>
        <v>31</v>
      </c>
      <c r="B221" s="58">
        <v>155</v>
      </c>
      <c r="C221" s="58">
        <v>2</v>
      </c>
      <c r="D221" s="58">
        <v>36</v>
      </c>
      <c r="E221" s="66"/>
      <c r="F221" s="66"/>
      <c r="G221" s="66"/>
      <c r="H221" s="66"/>
      <c r="I221" s="56">
        <f t="shared" si="8"/>
        <v>11.5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>
        <v>37</v>
      </c>
      <c r="B222" s="58">
        <v>188</v>
      </c>
      <c r="C222" s="58">
        <v>3</v>
      </c>
      <c r="D222" s="58">
        <v>36</v>
      </c>
      <c r="E222" s="66"/>
      <c r="F222" s="66"/>
      <c r="G222" s="66"/>
      <c r="H222" s="66"/>
      <c r="I222" s="56">
        <f t="shared" si="8"/>
        <v>11.5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>
        <v>44</v>
      </c>
      <c r="B223" s="58">
        <v>230</v>
      </c>
      <c r="C223" s="58">
        <v>4</v>
      </c>
      <c r="D223" s="58">
        <v>43</v>
      </c>
      <c r="E223" s="66"/>
      <c r="F223" s="66"/>
      <c r="G223" s="66"/>
      <c r="H223" s="66"/>
      <c r="I223" s="56">
        <f t="shared" si="8"/>
        <v>11.142857142857142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>
        <v>52</v>
      </c>
      <c r="B224" s="58">
        <v>270</v>
      </c>
      <c r="C224" s="58">
        <v>5</v>
      </c>
      <c r="D224" s="58">
        <v>48</v>
      </c>
      <c r="E224" s="66"/>
      <c r="F224" s="66"/>
      <c r="G224" s="66"/>
      <c r="H224" s="66"/>
      <c r="I224" s="56">
        <f t="shared" si="8"/>
        <v>10.375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>
        <v>60</v>
      </c>
      <c r="B225" s="58">
        <v>297</v>
      </c>
      <c r="C225" s="58">
        <v>6</v>
      </c>
      <c r="D225" s="58">
        <v>47</v>
      </c>
      <c r="E225" s="66"/>
      <c r="F225" s="66"/>
      <c r="G225" s="66"/>
      <c r="H225" s="66"/>
      <c r="I225" s="56">
        <f t="shared" si="8"/>
        <v>9.375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>
        <v>69</v>
      </c>
      <c r="B226" s="58">
        <v>328</v>
      </c>
      <c r="C226" s="58">
        <v>7</v>
      </c>
      <c r="D226" s="58">
        <v>328</v>
      </c>
      <c r="E226" s="66"/>
      <c r="F226" s="66"/>
      <c r="G226" s="66"/>
      <c r="H226" s="66"/>
      <c r="I226" s="56">
        <f t="shared" si="8"/>
        <v>8.6666666666666661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63"/>
      <c r="B227" s="63"/>
      <c r="C227" s="63"/>
      <c r="D227" s="63"/>
      <c r="E227" s="93"/>
      <c r="F227" s="93"/>
      <c r="G227" s="93"/>
      <c r="H227" s="93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63"/>
      <c r="B228" s="63"/>
      <c r="C228" s="63"/>
      <c r="D228" s="63"/>
      <c r="E228" s="93"/>
      <c r="F228" s="93"/>
      <c r="G228" s="93"/>
      <c r="H228" s="93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63"/>
      <c r="B229" s="63"/>
      <c r="C229" s="63"/>
      <c r="D229" s="63"/>
      <c r="E229" s="93"/>
      <c r="F229" s="93"/>
      <c r="G229" s="93"/>
      <c r="H229" s="93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63"/>
      <c r="B230" s="63"/>
      <c r="C230" s="63"/>
      <c r="D230" s="63"/>
      <c r="E230" s="68"/>
      <c r="F230" s="68"/>
      <c r="G230" s="68"/>
      <c r="H230" s="68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63"/>
      <c r="B231" s="63"/>
      <c r="C231" s="63"/>
      <c r="D231" s="63"/>
      <c r="E231" s="68"/>
      <c r="F231" s="68"/>
      <c r="G231" s="68"/>
      <c r="H231" s="68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63"/>
      <c r="B232" s="53"/>
      <c r="C232" s="6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Erable sycomore</v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10</v>
      </c>
      <c r="B244" s="63">
        <f>11.1</f>
        <v>11.1</v>
      </c>
      <c r="C244" s="63"/>
      <c r="D244" s="63"/>
      <c r="E244" s="54"/>
      <c r="F244" s="54"/>
      <c r="G244" s="54"/>
      <c r="H244" s="93"/>
      <c r="I244" s="56">
        <f>IFERROR(B244/A244,"")</f>
        <v>1.1099999999999999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15</v>
      </c>
      <c r="B245" s="63">
        <f>33+31.5</f>
        <v>64.5</v>
      </c>
      <c r="C245" s="63"/>
      <c r="D245" s="63"/>
      <c r="E245" s="54"/>
      <c r="F245" s="54"/>
      <c r="G245" s="54"/>
      <c r="H245" s="93"/>
      <c r="I245" s="56">
        <f>IF(A245&lt;&gt;0,(B245-(B244-D244))/(A245-A244),"")</f>
        <v>10.68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20</v>
      </c>
      <c r="B246" s="63">
        <f>66.8+31.5+35</f>
        <v>133.30000000000001</v>
      </c>
      <c r="C246" s="63">
        <v>1</v>
      </c>
      <c r="D246" s="63">
        <f>31.5+35</f>
        <v>66.5</v>
      </c>
      <c r="E246" s="93"/>
      <c r="F246" s="93"/>
      <c r="G246" s="93"/>
      <c r="H246" s="93">
        <v>1</v>
      </c>
      <c r="I246" s="56">
        <f>IF(A246&lt;&gt;0,(B246-(B245-D245))/(A246-A245),"")</f>
        <v>13.760000000000002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25</v>
      </c>
      <c r="B247" s="63">
        <f>105.5+35</f>
        <v>140.5</v>
      </c>
      <c r="C247" s="63"/>
      <c r="D247" s="63"/>
      <c r="E247" s="93"/>
      <c r="F247" s="93"/>
      <c r="G247" s="93"/>
      <c r="H247" s="93"/>
      <c r="I247" s="56">
        <f t="shared" ref="I247:I263" si="9">IF(A247&lt;&gt;0,(B247-(B246-D246))/(A247-A246),"")</f>
        <v>14.739999999999998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30</v>
      </c>
      <c r="B248" s="63">
        <f>141.8+35+35</f>
        <v>211.8</v>
      </c>
      <c r="C248" s="63">
        <v>2</v>
      </c>
      <c r="D248" s="63">
        <f>35+35</f>
        <v>70</v>
      </c>
      <c r="E248" s="93"/>
      <c r="F248" s="93"/>
      <c r="G248" s="93"/>
      <c r="H248" s="93">
        <v>1</v>
      </c>
      <c r="I248" s="56">
        <f t="shared" si="9"/>
        <v>14.260000000000002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35</v>
      </c>
      <c r="B249" s="63">
        <f>171.4+35</f>
        <v>206.4</v>
      </c>
      <c r="C249" s="63"/>
      <c r="D249" s="63"/>
      <c r="E249" s="93"/>
      <c r="F249" s="93"/>
      <c r="G249" s="93"/>
      <c r="H249" s="93"/>
      <c r="I249" s="56">
        <f t="shared" si="9"/>
        <v>12.919999999999998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40</v>
      </c>
      <c r="B250" s="63">
        <f>193.1+35+35</f>
        <v>263.10000000000002</v>
      </c>
      <c r="C250" s="63">
        <v>3</v>
      </c>
      <c r="D250" s="63">
        <f>35+35</f>
        <v>70</v>
      </c>
      <c r="E250" s="93"/>
      <c r="F250" s="93"/>
      <c r="G250" s="93"/>
      <c r="H250" s="93"/>
      <c r="I250" s="56">
        <f t="shared" si="9"/>
        <v>11.340000000000003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63">
        <v>45</v>
      </c>
      <c r="B251" s="63">
        <f>218+24.2</f>
        <v>242.2</v>
      </c>
      <c r="C251" s="63"/>
      <c r="D251" s="63"/>
      <c r="E251" s="93"/>
      <c r="F251" s="93"/>
      <c r="G251" s="93"/>
      <c r="H251" s="93"/>
      <c r="I251" s="56">
        <f t="shared" si="9"/>
        <v>9.8199999999999932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63">
        <v>50</v>
      </c>
      <c r="B252" s="63">
        <f>241.8+24.2+18.9</f>
        <v>284.89999999999998</v>
      </c>
      <c r="C252" s="63">
        <v>4</v>
      </c>
      <c r="D252" s="63">
        <f>24.2+18.9</f>
        <v>43.099999999999994</v>
      </c>
      <c r="E252" s="93"/>
      <c r="F252" s="93"/>
      <c r="G252" s="93"/>
      <c r="H252" s="93"/>
      <c r="I252" s="56">
        <f t="shared" si="9"/>
        <v>8.5399999999999974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63">
        <v>55</v>
      </c>
      <c r="B253" s="63">
        <f>262.6+16</f>
        <v>278.60000000000002</v>
      </c>
      <c r="C253" s="63"/>
      <c r="D253" s="63"/>
      <c r="E253" s="93"/>
      <c r="F253" s="93"/>
      <c r="G253" s="93"/>
      <c r="H253" s="93"/>
      <c r="I253" s="56">
        <f t="shared" si="9"/>
        <v>7.3600000000000083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63">
        <v>60</v>
      </c>
      <c r="B254" s="63">
        <f>279.8+16+14.2</f>
        <v>310</v>
      </c>
      <c r="C254" s="63">
        <v>5</v>
      </c>
      <c r="D254" s="63">
        <f>16+14.2</f>
        <v>30.2</v>
      </c>
      <c r="E254" s="93"/>
      <c r="F254" s="93"/>
      <c r="G254" s="93"/>
      <c r="H254" s="93"/>
      <c r="I254" s="56">
        <f t="shared" si="9"/>
        <v>6.2799999999999958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63">
        <v>65</v>
      </c>
      <c r="B255" s="63">
        <f>292.6+13.4</f>
        <v>306</v>
      </c>
      <c r="C255" s="63"/>
      <c r="D255" s="63"/>
      <c r="E255" s="93"/>
      <c r="F255" s="93"/>
      <c r="G255" s="93"/>
      <c r="H255" s="93"/>
      <c r="I255" s="56">
        <f t="shared" si="9"/>
        <v>5.2399999999999975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63">
        <v>70</v>
      </c>
      <c r="B256" s="63">
        <f>302.6+13.4+12.5</f>
        <v>328.5</v>
      </c>
      <c r="C256" s="63">
        <v>6</v>
      </c>
      <c r="D256" s="63">
        <f>13.4+12.5</f>
        <v>25.9</v>
      </c>
      <c r="E256" s="68"/>
      <c r="F256" s="68"/>
      <c r="G256" s="68"/>
      <c r="H256" s="68"/>
      <c r="I256" s="56">
        <f t="shared" si="9"/>
        <v>4.5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63">
        <v>75</v>
      </c>
      <c r="B257" s="63">
        <f>311.9+11.6</f>
        <v>323.5</v>
      </c>
      <c r="C257" s="63"/>
      <c r="D257" s="63"/>
      <c r="E257" s="68"/>
      <c r="F257" s="68"/>
      <c r="G257" s="68"/>
      <c r="H257" s="68"/>
      <c r="I257" s="56">
        <f t="shared" si="9"/>
        <v>4.1799999999999953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63">
        <v>80</v>
      </c>
      <c r="B258" s="53">
        <v>341.3</v>
      </c>
      <c r="C258" s="63">
        <v>7</v>
      </c>
      <c r="D258" s="53">
        <v>341.3</v>
      </c>
      <c r="E258" s="57"/>
      <c r="F258" s="57"/>
      <c r="G258" s="57"/>
      <c r="H258" s="57"/>
      <c r="I258" s="56">
        <f t="shared" si="9"/>
        <v>3.5600000000000023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>Tilleul</v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>
        <v>15</v>
      </c>
      <c r="B270" s="63">
        <f>78/1.56</f>
        <v>50</v>
      </c>
      <c r="C270" s="63"/>
      <c r="D270" s="63"/>
      <c r="E270" s="54"/>
      <c r="F270" s="54"/>
      <c r="G270" s="54"/>
      <c r="H270" s="66"/>
      <c r="I270" s="56">
        <f>IFERROR(B270/A270,"")</f>
        <v>3.3333333333333335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>
        <v>20</v>
      </c>
      <c r="B271" s="63">
        <f>(126+16)/1.56</f>
        <v>91.025641025641022</v>
      </c>
      <c r="C271" s="63">
        <v>1</v>
      </c>
      <c r="D271" s="63">
        <f>(16+22)/1.56</f>
        <v>24.358974358974358</v>
      </c>
      <c r="E271" s="66"/>
      <c r="F271" s="66"/>
      <c r="G271" s="66"/>
      <c r="H271" s="66"/>
      <c r="I271" s="56">
        <f>IF(A271&lt;&gt;0,(B271-(B270-D270))/(A271-A270),"")</f>
        <v>8.2051282051282044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>
        <v>25</v>
      </c>
      <c r="B272" s="63">
        <f>170/1.56</f>
        <v>108.97435897435896</v>
      </c>
      <c r="C272" s="63"/>
      <c r="D272" s="63"/>
      <c r="E272" s="66"/>
      <c r="F272" s="66"/>
      <c r="G272" s="66"/>
      <c r="H272" s="66"/>
      <c r="I272" s="56">
        <f t="shared" ref="I272:I289" si="10">IF(A272&lt;&gt;0,(B272-(B271-D271))/(A272-A271),"")</f>
        <v>8.4615384615384617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>
        <v>30</v>
      </c>
      <c r="B273" s="63">
        <f>(208+25)/1.56</f>
        <v>149.35897435897436</v>
      </c>
      <c r="C273" s="63">
        <v>2</v>
      </c>
      <c r="D273" s="63">
        <f>(25+26)/1.56</f>
        <v>32.692307692307693</v>
      </c>
      <c r="E273" s="66"/>
      <c r="F273" s="66"/>
      <c r="G273" s="66"/>
      <c r="H273" s="66"/>
      <c r="I273" s="56">
        <f t="shared" si="10"/>
        <v>8.0769230769230802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>
        <v>35</v>
      </c>
      <c r="B274" s="63">
        <f>242/1.56</f>
        <v>155.12820512820511</v>
      </c>
      <c r="C274" s="63"/>
      <c r="D274" s="63"/>
      <c r="E274" s="66"/>
      <c r="F274" s="66"/>
      <c r="G274" s="66"/>
      <c r="H274" s="66"/>
      <c r="I274" s="56">
        <f t="shared" si="10"/>
        <v>7.6923076923076881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>
        <v>40</v>
      </c>
      <c r="B275" s="63">
        <f>(271+27)/1.56</f>
        <v>191.02564102564102</v>
      </c>
      <c r="C275" s="63">
        <v>3</v>
      </c>
      <c r="D275" s="63">
        <f>(27+27)/1.56</f>
        <v>34.615384615384613</v>
      </c>
      <c r="E275" s="66"/>
      <c r="F275" s="66"/>
      <c r="G275" s="66"/>
      <c r="H275" s="66"/>
      <c r="I275" s="56">
        <f t="shared" si="10"/>
        <v>7.1794871794871824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>
        <v>45</v>
      </c>
      <c r="B276" s="63">
        <f>297/1.56</f>
        <v>190.38461538461539</v>
      </c>
      <c r="C276" s="63"/>
      <c r="D276" s="63"/>
      <c r="E276" s="66"/>
      <c r="F276" s="66"/>
      <c r="G276" s="66"/>
      <c r="H276" s="66"/>
      <c r="I276" s="56">
        <f t="shared" si="10"/>
        <v>6.7948717948717956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>
        <v>50</v>
      </c>
      <c r="B277" s="58">
        <v>221.7948717948718</v>
      </c>
      <c r="C277" s="58">
        <v>4</v>
      </c>
      <c r="D277" s="58">
        <v>32.692307692307693</v>
      </c>
      <c r="E277" s="66"/>
      <c r="F277" s="66"/>
      <c r="G277" s="66"/>
      <c r="H277" s="66"/>
      <c r="I277" s="56">
        <f t="shared" si="10"/>
        <v>6.2820512820512819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>
        <v>55</v>
      </c>
      <c r="B278" s="58">
        <v>217.94871794871793</v>
      </c>
      <c r="C278" s="58"/>
      <c r="D278" s="58"/>
      <c r="E278" s="66"/>
      <c r="F278" s="66"/>
      <c r="G278" s="66"/>
      <c r="H278" s="66"/>
      <c r="I278" s="56">
        <f t="shared" si="10"/>
        <v>5.7692307692307683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>
        <v>60</v>
      </c>
      <c r="B279" s="58">
        <v>244.87179487179486</v>
      </c>
      <c r="C279" s="58">
        <v>5</v>
      </c>
      <c r="D279" s="58">
        <v>30.128205128205128</v>
      </c>
      <c r="E279" s="66"/>
      <c r="F279" s="66"/>
      <c r="G279" s="66"/>
      <c r="H279" s="66"/>
      <c r="I279" s="56">
        <f t="shared" si="10"/>
        <v>5.3846153846153868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>
        <v>65</v>
      </c>
      <c r="B280" s="58">
        <v>240.38461538461539</v>
      </c>
      <c r="C280" s="58"/>
      <c r="D280" s="58"/>
      <c r="E280" s="66"/>
      <c r="F280" s="66"/>
      <c r="G280" s="66"/>
      <c r="H280" s="66"/>
      <c r="I280" s="56">
        <f t="shared" si="10"/>
        <v>5.1282051282051331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>
        <v>70</v>
      </c>
      <c r="B281" s="58">
        <v>265.38461538461536</v>
      </c>
      <c r="C281" s="58">
        <v>6</v>
      </c>
      <c r="D281" s="58">
        <v>27.564102564102562</v>
      </c>
      <c r="E281" s="66"/>
      <c r="F281" s="66"/>
      <c r="G281" s="66"/>
      <c r="H281" s="66"/>
      <c r="I281" s="56">
        <f t="shared" si="10"/>
        <v>4.9999999999999947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>
        <v>75</v>
      </c>
      <c r="B282" s="58">
        <v>260.89743589743591</v>
      </c>
      <c r="C282" s="58"/>
      <c r="D282" s="58"/>
      <c r="E282" s="67"/>
      <c r="F282" s="67"/>
      <c r="G282" s="67"/>
      <c r="H282" s="67"/>
      <c r="I282" s="56">
        <f t="shared" si="10"/>
        <v>4.6153846153846247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>
        <v>80</v>
      </c>
      <c r="B283" s="63">
        <f>(419+21)/1.56</f>
        <v>282.05128205128204</v>
      </c>
      <c r="C283" s="94">
        <v>7</v>
      </c>
      <c r="D283" s="63">
        <f>(21+20)/1.56</f>
        <v>26.282051282051281</v>
      </c>
      <c r="E283" s="57"/>
      <c r="F283" s="57"/>
      <c r="G283" s="57"/>
      <c r="H283" s="57"/>
      <c r="I283" s="56">
        <f t="shared" si="10"/>
        <v>4.2307692307692264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>
        <v>85</v>
      </c>
      <c r="B284" s="53">
        <v>276.28205128205127</v>
      </c>
      <c r="C284" s="53"/>
      <c r="D284" s="53"/>
      <c r="E284" s="57"/>
      <c r="F284" s="57"/>
      <c r="G284" s="57"/>
      <c r="H284" s="57"/>
      <c r="I284" s="56">
        <f t="shared" si="10"/>
        <v>4.1025641025640995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>
        <v>90</v>
      </c>
      <c r="B285" s="53">
        <v>295.5128205128205</v>
      </c>
      <c r="C285" s="53">
        <v>8</v>
      </c>
      <c r="D285" s="53">
        <v>24.358974358974358</v>
      </c>
      <c r="E285" s="57"/>
      <c r="F285" s="57"/>
      <c r="G285" s="57"/>
      <c r="H285" s="57"/>
      <c r="I285" s="56">
        <f t="shared" si="10"/>
        <v>3.8461538461538454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>
        <v>95</v>
      </c>
      <c r="B286" s="53">
        <v>289.74358974358972</v>
      </c>
      <c r="C286" s="53"/>
      <c r="D286" s="53"/>
      <c r="E286" s="57"/>
      <c r="F286" s="57"/>
      <c r="G286" s="57"/>
      <c r="H286" s="57"/>
      <c r="I286" s="56">
        <f t="shared" si="10"/>
        <v>3.7179487179487181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>
        <v>100</v>
      </c>
      <c r="B287" s="53">
        <f>(462+18)/1.56</f>
        <v>307.69230769230768</v>
      </c>
      <c r="C287" s="53">
        <v>9</v>
      </c>
      <c r="D287" s="53">
        <v>22.435897435897434</v>
      </c>
      <c r="E287" s="57"/>
      <c r="F287" s="57"/>
      <c r="G287" s="57"/>
      <c r="H287" s="57"/>
      <c r="I287" s="56">
        <f t="shared" si="10"/>
        <v>3.5897435897435912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>
        <v>105</v>
      </c>
      <c r="B288" s="53">
        <f>470/1.56</f>
        <v>301.28205128205127</v>
      </c>
      <c r="C288" s="53"/>
      <c r="D288" s="53"/>
      <c r="E288" s="57"/>
      <c r="F288" s="57"/>
      <c r="G288" s="57"/>
      <c r="H288" s="57"/>
      <c r="I288" s="56">
        <f t="shared" si="10"/>
        <v>3.2051282051282102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>
        <v>110</v>
      </c>
      <c r="B289" s="53">
        <f>(479+17)/1.56</f>
        <v>317.94871794871796</v>
      </c>
      <c r="C289" s="53">
        <v>10</v>
      </c>
      <c r="D289" s="53">
        <f>B289</f>
        <v>317.94871794871796</v>
      </c>
      <c r="E289" s="57"/>
      <c r="F289" s="57"/>
      <c r="G289" s="57"/>
      <c r="H289" s="57"/>
      <c r="I289" s="56">
        <f t="shared" si="10"/>
        <v>3.333333333333337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7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0.54900000000000004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0.45100000000000001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pédonculé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Hêtre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Aulne glutineux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Bouleau verruqueux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Charme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Châtaignier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>Merisier</v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>Erable sycomore</v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>Tilleul</v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2.7450000000000001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10.065</v>
      </c>
      <c r="H3" s="70">
        <f>(B3+E3+F3)*44/12+(C3+D3)*0.475*44/12</f>
        <v>216.40666666666667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56.275000000000006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206.3416666666667</v>
      </c>
      <c r="S3" s="62">
        <f ca="1">AVERAGE(OFFSET($R$3,0,0,'Données projet'!$E$9+1,1))-AVERAGE(OFFSET($H$3,0,0,'Données projet'!$E$9+1,1))</f>
        <v>551.67307965706379</v>
      </c>
      <c r="T3" s="62">
        <f>IF('Données projet'!E9&gt;30,$R$33-$H$33,LOOKUP('Données projet'!$E$9,$A$3:$A$203,R3:R203)-LOOKUP('Données projet'!$E$9,$A$3:$A$203,$H$3:$H$203))</f>
        <v>288.70738860523943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56.275000000000006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206.3416666666667</v>
      </c>
      <c r="AN3" s="62">
        <f ca="1">AVERAGE(OFFSET($AM$3,0,0,'Données projet'!$E$10+1,1))-AVERAGE(OFFSET($H$3,0,0,'Données projet'!$E$10+1,1))</f>
        <v>518.18933270904506</v>
      </c>
      <c r="AO3" s="62">
        <f>IF('Données projet'!E10&gt;30,$AM$33-$H$33,LOOKUP('Données projet'!$E$10,$A$3:$A$203,AM3:AM203)-LOOKUP('Données projet'!$E$10,$A$3:$A$203,$H$3:$H$203))</f>
        <v>272.44431899810411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56.275000000000006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206.3416666666667</v>
      </c>
      <c r="BI3" s="62">
        <f ca="1">AVERAGE(OFFSET($BH$3,0,0,'Données projet'!$E$11+1,1))-AVERAGE(OFFSET($H$3,0,0,'Données projet'!$E$11+1,1))</f>
        <v>464.73160475167867</v>
      </c>
      <c r="BJ3" s="62">
        <f>IF('Données projet'!E11&gt;30,$BH$33-$H$33,LOOKUP('Données projet'!$E$11,$A$3:$A$203,BH3:BH203)-LOOKUP('Données projet'!$E$11,$A$3:$A$203,$H$3:$H$203))</f>
        <v>241.31968359962227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56.275000000000006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206.3416666666667</v>
      </c>
      <c r="CD3" s="62">
        <f ca="1">AVERAGE(OFFSET($CC$3,0,0,'Données projet'!$E$12+1,1))-AVERAGE(OFFSET($H$3,0,0,'Données projet'!$E$12+1,1))</f>
        <v>292.13851489852607</v>
      </c>
      <c r="CE3" s="62">
        <f>IF('Données projet'!E12&gt;30,$CC$33-$H$33,LOOKUP('Données projet'!$E$12,$A$3:$A$203,CC3:CC203)-LOOKUP('Données projet'!$E$12,$A$3:$A$203,$H$3:$H$203))</f>
        <v>280.10866188737418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56.275000000000006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206.3416666666667</v>
      </c>
      <c r="CY3" s="62">
        <f ca="1">AVERAGE(OFFSET($CX$3,0,0,'Données projet'!$E$13+1,1))-AVERAGE(OFFSET($H$3,0,0,'Données projet'!$E$13+1,1))</f>
        <v>265.25572936607409</v>
      </c>
      <c r="CZ3" s="62">
        <f>IF('Données projet'!E13&gt;30,$CX$33-$H$33,LOOKUP('Données projet'!$E$13,$A$3:$A$203,CX3:CX203)-LOOKUP('Données projet'!$E$13,$A$3:$A$203,$H$3:$H$203))</f>
        <v>307.96244316129071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56.275000000000006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206.3416666666667</v>
      </c>
      <c r="DT3" s="62">
        <f ca="1">AVERAGE(OFFSET($DS$3,0,0,'Données projet'!$E$14+1,1))-AVERAGE(OFFSET($H$3,0,0,'Données projet'!$E$14+1,1))</f>
        <v>425.41154182732936</v>
      </c>
      <c r="DU3" s="62">
        <f>IF('Données projet'!E14&gt;30,$DS$33-$H$33,LOOKUP('Données projet'!$E$14,$A$3:$A$203,DS3:DS203)-LOOKUP('Données projet'!$E$14,$A$3:$A$203,$H$3:$H$203))</f>
        <v>306.44721925744591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56.275000000000006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206.3416666666667</v>
      </c>
      <c r="EO3" s="62">
        <f ca="1">AVERAGE(OFFSET($EN$3,0,0,'Données projet'!$E$15+1,1))-AVERAGE(OFFSET($H$3,0,0,'Données projet'!$E$15+1,1))</f>
        <v>357.57626046668958</v>
      </c>
      <c r="EP3" s="62">
        <f>IF('Données projet'!E15&gt;30,$EN$33-$H$33,LOOKUP('Données projet'!$E$15,$A$3:$A$203,EN3:EN203)-LOOKUP('Données projet'!$E$15,$A$3:$A$203,$H$3:$H$203))</f>
        <v>386.90439522046199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56.275000000000006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206.3416666666667</v>
      </c>
      <c r="FJ3" s="62">
        <f ca="1">AVERAGE(OFFSET($FI$3,0,0,'Données projet'!$E$16+1,1))-AVERAGE(OFFSET($H$3,0,0,'Données projet'!$E$16+1,1))</f>
        <v>303.56663121833833</v>
      </c>
      <c r="FK3" s="62">
        <f>IF('Données projet'!E16&gt;30,$FI$33-$H$33,LOOKUP('Données projet'!$E$16,$A$3:$A$203,FI3:FI203)-LOOKUP('Données projet'!$E$16,$A$3:$A$203,$H$3:$H$203))</f>
        <v>293.97736357938038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56.275000000000006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206.3416666666667</v>
      </c>
      <c r="GE3" s="62">
        <f ca="1">AVERAGE(OFFSET($GD$3,0,0,'Données projet'!$E$17+1,1))-AVERAGE(OFFSET($H$3,0,0,'Données projet'!$E$17+1,1))</f>
        <v>383.71724511025587</v>
      </c>
      <c r="GF3" s="62">
        <f>IF('Données projet'!E17&gt;30,$GD$33-$H$33,LOOKUP('Données projet'!$E$17,$A$3:$A$203,GD3:GD203)-LOOKUP('Données projet'!$E$17,$A$3:$A$203,$H$3:$H$203))</f>
        <v>415.10774719533185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56.275000000000006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206.3416666666667</v>
      </c>
      <c r="GZ3" s="62">
        <f ca="1">AVERAGE(OFFSET($GY$3,0,0,'Données projet'!$E$18+1,1))-AVERAGE(OFFSET($H$3,0,0,'Données projet'!$E$18+1,1))</f>
        <v>329.93956600482801</v>
      </c>
      <c r="HA3" s="62">
        <f>IF('Données projet'!E18&gt;30,$GY$33-$H$33,LOOKUP('Données projet'!$E$18,$A$3:$A$203,GY3:GY203)-LOOKUP('Données projet'!$E$18,$A$3:$A$203,$H$3:$H$203))</f>
        <v>268.69186630599165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2.7450000000000001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10.065</v>
      </c>
      <c r="H4" s="70">
        <f t="shared" ref="H4:H67" si="1">(B4+E4+F4)*44/12+(C4+D4)*0.475*44/12</f>
        <v>216.40666666666667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56.51309806549687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211.27790490121708</v>
      </c>
      <c r="S4" s="62">
        <f ca="1">AVERAGE(OFFSET($R$3,0,0,'Données projet'!$E$9+1,1))-AVERAGE(OFFSET($H$3,0,0,'Données projet'!$E$9+1,1))</f>
        <v>551.67307965706379</v>
      </c>
      <c r="T4" s="62">
        <f>$T$3</f>
        <v>288.70738860523943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56.51309806549687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1.0439615443779955</v>
      </c>
      <c r="AK4" s="14">
        <f>EXP(-1.0587+0.8836*LN(AJ4)+0.284)</f>
        <v>0.478698084995758</v>
      </c>
      <c r="AL4" s="22">
        <f t="shared" ref="AL4:AL67" si="4">(AJ4+AK4)*0.475*44/12</f>
        <v>2.6519655211592874</v>
      </c>
      <c r="AM4" s="62">
        <f t="shared" ref="AM4:AM67" si="5">AL4+(AD4+AE4)*44/12</f>
        <v>211.08888065020338</v>
      </c>
      <c r="AN4" s="62">
        <f ca="1">AVERAGE(OFFSET($AM$3,0,0,'Données projet'!$E$10+1,1))-AVERAGE(OFFSET($H$3,0,0,'Données projet'!$E$10+1,1))</f>
        <v>518.18933270904506</v>
      </c>
      <c r="AO4" s="62">
        <f>$AO$3</f>
        <v>272.44431899810411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56.51309806549687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2.8518518518518516</v>
      </c>
      <c r="BD4" s="13">
        <f>IF('Données projet'!$A$88&gt;35,BD3+BC4-BL3,IF(A4&lt;'Données projet'!$A$88,$BA$205^A4,IF(A4='Données projet'!$A$88,'Données projet'!$B$88,BD3+BC4-BL3)))</f>
        <v>1.1745459910013509</v>
      </c>
      <c r="BE4" s="14">
        <f>BD4*VLOOKUP('Données projet'!$B$11,Paramètres!$A$1:$I$89,3,0)*VLOOKUP('Données projet'!$B$11,Paramètres!$A$1:$I$89,5,0)</f>
        <v>1.0077604602791592</v>
      </c>
      <c r="BF4" s="14">
        <f>EXP(-1.0587+0.8836*LN(BE4)+0.284)</f>
        <v>0.46400064914900446</v>
      </c>
      <c r="BG4" s="22">
        <f t="shared" ref="BG4:BG67" si="7">(BE4+BF4)*0.475*44/12</f>
        <v>2.563317265587385</v>
      </c>
      <c r="BH4" s="62">
        <f t="shared" ref="BH4:BH67" si="8">BG4+(AY4+AZ4)*44/12</f>
        <v>211.00023239463147</v>
      </c>
      <c r="BI4" s="62">
        <f ca="1">AVERAGE(OFFSET($BH$3,0,0,'Données projet'!$E$11+1,1))-AVERAGE(OFFSET($H$3,0,0,'Données projet'!$E$11+1,1))</f>
        <v>464.73160475167867</v>
      </c>
      <c r="BJ4" s="62">
        <f>$BJ$3</f>
        <v>241.31968359962227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56.51309806549687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1.1000000000000001</v>
      </c>
      <c r="BY4" s="13">
        <f>IF('Données projet'!$A$114&gt;35,BY3+BX4-CG3,IF(A4&lt;'Données projet'!$A$114,$BV$205^A4,IF(A4='Données projet'!$A$114,'Données projet'!$B$114,BY3+BX4-CG3)))</f>
        <v>1.2709816152101407</v>
      </c>
      <c r="BZ4" s="14">
        <f>BY4*VLOOKUP('Données projet'!$B$12,Paramètres!$A$1:$I$89,3,0)*VLOOKUP('Données projet'!$B$12,Paramètres!$A$1:$I$89,5,0)</f>
        <v>0.83274715428568413</v>
      </c>
      <c r="CA4" s="14">
        <f>EXP(-1.0587+0.8836*LN(BZ4)+0.284)</f>
        <v>0.39202836439738087</v>
      </c>
      <c r="CB4" s="22">
        <f t="shared" ref="CB4:CB67" si="10">(BZ4+CA4)*0.475*44/12</f>
        <v>2.1331506950396717</v>
      </c>
      <c r="CC4" s="62">
        <f t="shared" ref="CC4:CC67" si="11">CB4+(BT4+BU4)*44/12</f>
        <v>210.57006582408374</v>
      </c>
      <c r="CD4" s="62">
        <f ca="1">AVERAGE(OFFSET($CC$3,0,0,'Données projet'!$E$12+1,1))-AVERAGE(OFFSET($H$3,0,0,'Données projet'!$E$12+1,1))</f>
        <v>292.13851489852607</v>
      </c>
      <c r="CE4" s="62">
        <f>$CE$3</f>
        <v>280.10866188737418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56.51309806549687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0.9</v>
      </c>
      <c r="CT4" s="13">
        <f>IF('Données projet'!$A$140&gt;35,CT3+CS4-DB3,IF(A4&lt;'Données projet'!$A$140,$CQ$205^A4,IF(A4='Données projet'!$A$140,'Données projet'!$B$140,CT3+CS4-DB3)))</f>
        <v>1.2457309396155174</v>
      </c>
      <c r="CU4" s="18">
        <f>CT4*VLOOKUP('Données projet'!$B$13,Paramètres!$A$1:$I$89,3,0)*VLOOKUP('Données projet'!$B$13,Paramètres!$A$1:$I$89,5,0)</f>
        <v>1.0105369382161078</v>
      </c>
      <c r="CV4" s="14">
        <f>EXP(-1.0587+0.8836*LN(CU4)+0.284)</f>
        <v>0.46513003316107315</v>
      </c>
      <c r="CW4" s="22">
        <f t="shared" ref="CW4:CW67" si="13">(CU4+CV4)*0.475*44/12</f>
        <v>2.5701199751485899</v>
      </c>
      <c r="CX4" s="62">
        <f t="shared" ref="CX4:CX67" si="14">CW4+(CO4+CP4)*44/12</f>
        <v>211.00703510419268</v>
      </c>
      <c r="CY4" s="62">
        <f ca="1">AVERAGE(OFFSET($CX$3,0,0,'Données projet'!$E$13+1,1))-AVERAGE(OFFSET($H$3,0,0,'Données projet'!$E$13+1,1))</f>
        <v>265.25572936607409</v>
      </c>
      <c r="CZ4" s="62">
        <f>$CZ$3</f>
        <v>307.96244316129071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56.51309806549687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3.1623931623931623</v>
      </c>
      <c r="DO4" s="13">
        <f>IF('Données projet'!$A$166&gt;35,DO3+DN4-DW3,IF(A4&lt;'Données projet'!$A$166,$DL$205^A4,IF(A4='Données projet'!$A$166,'Données projet'!$B$166,DO3+DN4-DW3)))</f>
        <v>1.2934226882877784</v>
      </c>
      <c r="DP4" s="18">
        <f>DO4*VLOOKUP('Données projet'!$B$14,Paramètres!$A$1:$I$89,3,0)*VLOOKUP('Données projet'!$B$14,Paramètres!$A$1:$I$89,5,0)</f>
        <v>1.2308210301746498</v>
      </c>
      <c r="DQ4" s="14">
        <f>EXP(-1.0587+0.8836*LN(DP4)+0.284)</f>
        <v>0.55366654932289705</v>
      </c>
      <c r="DR4" s="22">
        <f t="shared" ref="DR4:DR67" si="16">(DP4+DQ4)*0.475*44/12</f>
        <v>3.1079825342915606</v>
      </c>
      <c r="DS4" s="62">
        <f t="shared" ref="DS4:DS67" si="17">DR4+(DJ4+DK4)*44/12</f>
        <v>211.54489766333563</v>
      </c>
      <c r="DT4" s="62">
        <f ca="1">AVERAGE(OFFSET($DS$3,0,0,'Données projet'!$E$14+1,1))-AVERAGE(OFFSET($H$3,0,0,'Données projet'!$E$14+1,1))</f>
        <v>425.41154182732936</v>
      </c>
      <c r="DU4" s="62">
        <f>$DU$3</f>
        <v>306.44721925744591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56.51309806549687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1.1099999999999999</v>
      </c>
      <c r="EJ4" s="13">
        <f>IF('Données projet'!$A$192&gt;35,EJ3+EI4-ER3,IF(A4&lt;'Données projet'!$A$192,$EG$205^A4,IF(A4='Données projet'!$A$192,'Données projet'!$B$192,EJ3+EI4-ER3)))</f>
        <v>1.2721323532877689</v>
      </c>
      <c r="EK4" s="18">
        <f>EJ4*VLOOKUP('Données projet'!$B$15,Paramètres!$A$1:$I$89,3,0)*VLOOKUP('Données projet'!$B$15,Paramètres!$A$1:$I$89,5,0)</f>
        <v>0.93272744143059216</v>
      </c>
      <c r="EL4" s="14">
        <f>EXP(-1.0587+0.8836*LN(EK4)+0.284)</f>
        <v>0.43333858977228618</v>
      </c>
      <c r="EM4" s="22">
        <f t="shared" ref="EM4:EM67" si="19">(EK4+EL4)*0.475*44/12</f>
        <v>2.3792316710116794</v>
      </c>
      <c r="EN4" s="62">
        <f t="shared" ref="EN4:EN67" si="20">EM4+(EE4+EF4)*44/12</f>
        <v>210.81614680005575</v>
      </c>
      <c r="EO4" s="62">
        <f ca="1">AVERAGE(OFFSET($EN$3,0,0,'Données projet'!$E$15+1,1))-AVERAGE(OFFSET($H$3,0,0,'Données projet'!$E$15+1,1))</f>
        <v>357.57626046668958</v>
      </c>
      <c r="EP4" s="62">
        <f>$EP$3</f>
        <v>386.90439522046199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56.51309806549687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2.6666666666666665</v>
      </c>
      <c r="FE4" s="13">
        <f>IF('Données projet'!$A$218&gt;35,FE3+FD4-FM3,IF(A4&lt;'Données projet'!$A$218,$FB$205^A4,IF(A4='Données projet'!$A$218,'Données projet'!$B$218,FE3+FD4-FM3)))</f>
        <v>1.2788040393997409</v>
      </c>
      <c r="FF4" s="18">
        <f>FE4*VLOOKUP('Données projet'!$B$16,Paramètres!$A$1:$I$89,3,0)*VLOOKUP('Données projet'!$B$16,Paramètres!$A$1:$I$89,5,0)</f>
        <v>0.99746715073179792</v>
      </c>
      <c r="FG4" s="14">
        <f>EXP(-1.0587+0.8836*LN(FF4)+0.284)</f>
        <v>0.45981048445793882</v>
      </c>
      <c r="FH4" s="22">
        <f t="shared" ref="FH4:FH67" si="22">(FF4+FG4)*0.475*44/12</f>
        <v>2.5380918812887914</v>
      </c>
      <c r="FI4" s="62">
        <f t="shared" ref="FI4:FI67" si="23">FH4+(EZ4+FA4)*44/12</f>
        <v>210.97500701033286</v>
      </c>
      <c r="FJ4" s="62">
        <f ca="1">AVERAGE(OFFSET($FI$3,0,0,'Données projet'!$E$16+1,1))-AVERAGE(OFFSET($H$3,0,0,'Données projet'!$E$16+1,1))</f>
        <v>303.56663121833833</v>
      </c>
      <c r="FK4" s="62">
        <f>$FK$3</f>
        <v>293.97736357938038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56.51309806549687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1.1099999999999999</v>
      </c>
      <c r="FZ4" s="13">
        <f>IF('Données projet'!$A$244&gt;35,FZ3+FY4-GH3,IF(A4&lt;'Données projet'!$A$244,$FW$205^A4,IF(A4='Données projet'!$A$244,'Données projet'!$B$244,FZ3+FY4-GH3)))</f>
        <v>1.2721323532877689</v>
      </c>
      <c r="GA4" s="18">
        <f>FZ4*VLOOKUP('Données projet'!$B$17,Paramètres!$A$1:$I$89,3,0)*VLOOKUP('Données projet'!$B$17,Paramètres!$A$1:$I$89,5,0)</f>
        <v>1.0121085002757488</v>
      </c>
      <c r="GB4" s="14">
        <f>EXP(-1.0587+0.8836*LN(GA4)+0.284)</f>
        <v>0.46576913511432322</v>
      </c>
      <c r="GC4" s="22">
        <f t="shared" ref="GC4:GC67" si="25">(GA4+GB4)*0.475*44/12</f>
        <v>2.5739702149710419</v>
      </c>
      <c r="GD4" s="62">
        <f t="shared" ref="GD4:GD67" si="26">GC4+(FU4+FV4)*44/12</f>
        <v>211.01088534401512</v>
      </c>
      <c r="GE4" s="62">
        <f ca="1">AVERAGE(OFFSET($GD$3,0,0,'Données projet'!$E$17+1,1))-AVERAGE(OFFSET($H$3,0,0,'Données projet'!$E$17+1,1))</f>
        <v>383.71724511025587</v>
      </c>
      <c r="GF4" s="62">
        <f>$GF$3</f>
        <v>415.10774719533185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56.51309806549687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3.3333333333333335</v>
      </c>
      <c r="GU4" s="13">
        <f>IF('Données projet'!$A$270&gt;35,GU3+GT4-HC3,IF(A4&lt;'Données projet'!$A$270,$GR$205^A4,IF(A4='Données projet'!$A$270,'Données projet'!$B$270,GU3+GT4-HC3)))</f>
        <v>1.2979700365523266</v>
      </c>
      <c r="GV4" s="18">
        <f>GU4*VLOOKUP('Données projet'!$B$18,Paramètres!$A$1:$I$89,3,0)*VLOOKUP('Données projet'!$B$18,Paramètres!$A$1:$I$89,5,0)</f>
        <v>0.87067830051930062</v>
      </c>
      <c r="GW4" s="14">
        <f>EXP(-1.0587+0.8836*LN(GV4)+0.284)</f>
        <v>0.40776537662742923</v>
      </c>
      <c r="GX4" s="22">
        <f t="shared" ref="GX4:GX67" si="28">(GV4+GW4)*0.475*44/12</f>
        <v>2.226622737697221</v>
      </c>
      <c r="GY4" s="62">
        <f t="shared" ref="GY4:GY67" si="29">GX4+(GP4+GQ4)*44/12</f>
        <v>210.66353786674131</v>
      </c>
      <c r="GZ4" s="62">
        <f ca="1">AVERAGE(OFFSET($GY$3,0,0,'Données projet'!$E$18+1,1))-AVERAGE(OFFSET($H$3,0,0,'Données projet'!$E$18+1,1))</f>
        <v>329.93956600482801</v>
      </c>
      <c r="HA4" s="62">
        <f>$HA$3</f>
        <v>268.69186630599165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2.7450000000000001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10.065</v>
      </c>
      <c r="H5" s="70">
        <f t="shared" si="1"/>
        <v>216.40666666666667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56.747065661864902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214.01063231471474</v>
      </c>
      <c r="S5" s="62">
        <f ca="1">AVERAGE(OFFSET($R$3,0,0,'Données projet'!$E$9+1,1))-AVERAGE(OFFSET($H$3,0,0,'Données projet'!$E$9+1,1))</f>
        <v>551.67307965706379</v>
      </c>
      <c r="T5" s="62">
        <f t="shared" ref="T5:T68" si="34">$T$3</f>
        <v>288.70738860523943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56.747065661864902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1.2937508382479692</v>
      </c>
      <c r="AK5" s="14">
        <f t="shared" ref="AK5:AK68" si="35">EXP(-1.0587+0.8836*LN(AJ5)+0.284)</f>
        <v>0.57860648124254321</v>
      </c>
      <c r="AL5" s="22">
        <f t="shared" si="4"/>
        <v>3.2610223314459752</v>
      </c>
      <c r="AM5" s="62">
        <f t="shared" si="5"/>
        <v>213.77804086939506</v>
      </c>
      <c r="AN5" s="62">
        <f ca="1">AVERAGE(OFFSET($AM$3,0,0,'Données projet'!$E$10+1,1))-AVERAGE(OFFSET($H$3,0,0,'Données projet'!$E$10+1,1))</f>
        <v>518.18933270904506</v>
      </c>
      <c r="AO5" s="62">
        <f t="shared" ref="AO5:AO68" si="36">$AO$3</f>
        <v>272.44431899810411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56.747065661864902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2.8518518518518516</v>
      </c>
      <c r="BD5" s="13">
        <f>IF('Données projet'!$A$88&gt;35,BD4+BC5-BL4,IF(A5&lt;'Données projet'!$A$88,$BA$205^A5,IF(A5='Données projet'!$A$88,'Données projet'!$B$88,BD4+BC5-BL4)))</f>
        <v>1.3795582849773456</v>
      </c>
      <c r="BE5" s="14">
        <f>BD5*VLOOKUP('Données projet'!$B$11,Paramètres!$A$1:$I$89,3,0)*VLOOKUP('Données projet'!$B$11,Paramètres!$A$1:$I$89,5,0)</f>
        <v>1.1836610085105626</v>
      </c>
      <c r="BF5" s="14">
        <f t="shared" ref="BF5:BF68" si="37">EXP(-1.0587+0.8836*LN(BE5)+0.284)</f>
        <v>0.53487924210431825</v>
      </c>
      <c r="BG5" s="22">
        <f t="shared" si="7"/>
        <v>2.9931242698209175</v>
      </c>
      <c r="BH5" s="62">
        <f t="shared" si="8"/>
        <v>213.51014280776999</v>
      </c>
      <c r="BI5" s="62">
        <f ca="1">AVERAGE(OFFSET($BH$3,0,0,'Données projet'!$E$11+1,1))-AVERAGE(OFFSET($H$3,0,0,'Données projet'!$E$11+1,1))</f>
        <v>464.73160475167867</v>
      </c>
      <c r="BJ5" s="62">
        <f t="shared" ref="BJ5:BJ68" si="38">$BJ$3</f>
        <v>241.31968359962227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56.747065661864902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1.1000000000000001</v>
      </c>
      <c r="BY5" s="13">
        <f>IF('Données projet'!$A$114&gt;35,BY4+BX5-CG4,IF(A5&lt;'Données projet'!$A$114,$BV$205^A5,IF(A5='Données projet'!$A$114,'Données projet'!$B$114,BY4+BX5-CG4)))</f>
        <v>1.6153942662021783</v>
      </c>
      <c r="BZ5" s="14">
        <f>BY5*VLOOKUP('Données projet'!$B$12,Paramètres!$A$1:$I$89,3,0)*VLOOKUP('Données projet'!$B$12,Paramètres!$A$1:$I$89,5,0)</f>
        <v>1.0584063232156671</v>
      </c>
      <c r="CA5" s="14">
        <f t="shared" ref="CA5:CA68" si="39">EXP(-1.0587+0.8836*LN(BZ5)+0.284)</f>
        <v>0.48454592807852009</v>
      </c>
      <c r="CB5" s="22">
        <f t="shared" si="10"/>
        <v>2.6873085043373757</v>
      </c>
      <c r="CC5" s="62">
        <f t="shared" si="11"/>
        <v>213.20432704228645</v>
      </c>
      <c r="CD5" s="62">
        <f ca="1">AVERAGE(OFFSET($CC$3,0,0,'Données projet'!$E$12+1,1))-AVERAGE(OFFSET($H$3,0,0,'Données projet'!$E$12+1,1))</f>
        <v>292.13851489852607</v>
      </c>
      <c r="CE5" s="62">
        <f t="shared" ref="CE5:CE68" si="40">$CE$3</f>
        <v>280.10866188737418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56.747065661864902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0.9</v>
      </c>
      <c r="CT5" s="13">
        <f>IF('Données projet'!$A$140&gt;35,CT4+CS5-DB4,IF(A5&lt;'Données projet'!$A$140,$CQ$205^A5,IF(A5='Données projet'!$A$140,'Données projet'!$B$140,CT4+CS5-DB4)))</f>
        <v>1.5518455739153598</v>
      </c>
      <c r="CU5" s="18">
        <f>CT5*VLOOKUP('Données projet'!$B$13,Paramètres!$A$1:$I$89,3,0)*VLOOKUP('Données projet'!$B$13,Paramètres!$A$1:$I$89,5,0)</f>
        <v>1.2588571295601401</v>
      </c>
      <c r="CV5" s="14">
        <f t="shared" ref="CV5:CV68" si="41">EXP(-1.0587+0.8836*LN(CU5)+0.284)</f>
        <v>0.56479552972512193</v>
      </c>
      <c r="CW5" s="22">
        <f t="shared" si="13"/>
        <v>3.1761950482551646</v>
      </c>
      <c r="CX5" s="62">
        <f t="shared" si="14"/>
        <v>213.69321358620422</v>
      </c>
      <c r="CY5" s="62">
        <f ca="1">AVERAGE(OFFSET($CX$3,0,0,'Données projet'!$E$13+1,1))-AVERAGE(OFFSET($H$3,0,0,'Données projet'!$E$13+1,1))</f>
        <v>265.25572936607409</v>
      </c>
      <c r="CZ5" s="62">
        <f t="shared" ref="CZ5:CZ68" si="42">$CZ$3</f>
        <v>307.96244316129071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56.747065661864902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3.1623931623931623</v>
      </c>
      <c r="DO5" s="13">
        <f>IF('Données projet'!$A$166&gt;35,DO4+DN5-DW4,IF(A5&lt;'Données projet'!$A$166,$DL$205^A5,IF(A5='Données projet'!$A$166,'Données projet'!$B$166,DO4+DN5-DW4)))</f>
        <v>1.6729422505775835</v>
      </c>
      <c r="DP5" s="18">
        <f>DO5*VLOOKUP('Données projet'!$B$14,Paramètres!$A$1:$I$89,3,0)*VLOOKUP('Données projet'!$B$14,Paramètres!$A$1:$I$89,5,0)</f>
        <v>1.5919718456496286</v>
      </c>
      <c r="DQ5" s="14">
        <f t="shared" ref="DQ5:DQ68" si="43">EXP(-1.0587+0.8836*LN(DP5)+0.284)</f>
        <v>0.69499578258152339</v>
      </c>
      <c r="DR5" s="22">
        <f t="shared" si="16"/>
        <v>3.9831352858359232</v>
      </c>
      <c r="DS5" s="62">
        <f t="shared" si="17"/>
        <v>214.50015382378498</v>
      </c>
      <c r="DT5" s="62">
        <f ca="1">AVERAGE(OFFSET($DS$3,0,0,'Données projet'!$E$14+1,1))-AVERAGE(OFFSET($H$3,0,0,'Données projet'!$E$14+1,1))</f>
        <v>425.41154182732936</v>
      </c>
      <c r="DU5" s="62">
        <f t="shared" ref="DU5:DU68" si="44">$DU$3</f>
        <v>306.44721925744591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56.747065661864902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1.1099999999999999</v>
      </c>
      <c r="EJ5" s="13">
        <f>IF('Données projet'!$A$192&gt;35,EJ4+EI5-ER4,IF(A5&lt;'Données projet'!$A$192,$EG$205^A5,IF(A5='Données projet'!$A$192,'Données projet'!$B$192,EJ4+EI5-ER4)))</f>
        <v>1.6183207242814768</v>
      </c>
      <c r="EK5" s="18">
        <f>EJ5*VLOOKUP('Données projet'!$B$15,Paramètres!$A$1:$I$89,3,0)*VLOOKUP('Données projet'!$B$15,Paramètres!$A$1:$I$89,5,0)</f>
        <v>1.1865527550431787</v>
      </c>
      <c r="EL5" s="14">
        <f t="shared" ref="EL5:EL68" si="45">EXP(-1.0587+0.8836*LN(EK5)+0.284)</f>
        <v>0.53603371205753736</v>
      </c>
      <c r="EM5" s="22">
        <f t="shared" si="19"/>
        <v>3.0001714302004134</v>
      </c>
      <c r="EN5" s="62">
        <f t="shared" si="20"/>
        <v>213.51718996814949</v>
      </c>
      <c r="EO5" s="62">
        <f ca="1">AVERAGE(OFFSET($EN$3,0,0,'Données projet'!$E$15+1,1))-AVERAGE(OFFSET($H$3,0,0,'Données projet'!$E$15+1,1))</f>
        <v>357.57626046668958</v>
      </c>
      <c r="EP5" s="62">
        <f t="shared" ref="EP5:EP68" si="46">$EP$3</f>
        <v>386.90439522046199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56.747065661864902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2.6666666666666665</v>
      </c>
      <c r="FE5" s="13">
        <f>IF('Données projet'!$A$218&gt;35,FE4+FD5-FM4,IF(A5&lt;'Données projet'!$A$218,$FB$205^A5,IF(A5='Données projet'!$A$218,'Données projet'!$B$218,FE4+FD5-FM4)))</f>
        <v>1.6353397711850939</v>
      </c>
      <c r="FF5" s="18">
        <f>FE5*VLOOKUP('Données projet'!$B$16,Paramètres!$A$1:$I$89,3,0)*VLOOKUP('Données projet'!$B$16,Paramètres!$A$1:$I$89,5,0)</f>
        <v>1.2755650215243732</v>
      </c>
      <c r="FG5" s="14">
        <f t="shared" ref="FG5:FG68" si="47">EXP(-1.0587+0.8836*LN(FF5)+0.284)</f>
        <v>0.57141400910743001</v>
      </c>
      <c r="FH5" s="22">
        <f t="shared" si="22"/>
        <v>3.2168218116837237</v>
      </c>
      <c r="FI5" s="62">
        <f t="shared" si="23"/>
        <v>213.7338403496328</v>
      </c>
      <c r="FJ5" s="62">
        <f ca="1">AVERAGE(OFFSET($FI$3,0,0,'Données projet'!$E$16+1,1))-AVERAGE(OFFSET($H$3,0,0,'Données projet'!$E$16+1,1))</f>
        <v>303.56663121833833</v>
      </c>
      <c r="FK5" s="62">
        <f t="shared" ref="FK5:FK68" si="48">$FK$3</f>
        <v>293.97736357938038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56.747065661864902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1.1099999999999999</v>
      </c>
      <c r="FZ5" s="13">
        <f>IF('Données projet'!$A$244&gt;35,FZ4+FY5-GH4,IF(A5&lt;'Données projet'!$A$244,$FW$205^A5,IF(A5='Données projet'!$A$244,'Données projet'!$B$244,FZ4+FY5-GH4)))</f>
        <v>1.6183207242814768</v>
      </c>
      <c r="GA5" s="18">
        <f>FZ5*VLOOKUP('Données projet'!$B$17,Paramètres!$A$1:$I$89,3,0)*VLOOKUP('Données projet'!$B$17,Paramètres!$A$1:$I$89,5,0)</f>
        <v>1.2875359682383429</v>
      </c>
      <c r="GB5" s="14">
        <f t="shared" ref="GB5:GB68" si="49">EXP(-1.0587+0.8836*LN(GA5)+0.284)</f>
        <v>0.57614983837086087</v>
      </c>
      <c r="GC5" s="22">
        <f t="shared" si="25"/>
        <v>3.2459194465110297</v>
      </c>
      <c r="GD5" s="62">
        <f t="shared" si="26"/>
        <v>213.76293798446011</v>
      </c>
      <c r="GE5" s="62">
        <f ca="1">AVERAGE(OFFSET($GD$3,0,0,'Données projet'!$E$17+1,1))-AVERAGE(OFFSET($H$3,0,0,'Données projet'!$E$17+1,1))</f>
        <v>383.71724511025587</v>
      </c>
      <c r="GF5" s="62">
        <f t="shared" ref="GF5:GF68" si="50">$GF$3</f>
        <v>415.10774719533185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56.747065661864902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3.3333333333333335</v>
      </c>
      <c r="GU5" s="13">
        <f>IF('Données projet'!$A$270&gt;35,GU4+GT5-HC4,IF(A5&lt;'Données projet'!$A$270,$GR$205^A5,IF(A5='Données projet'!$A$270,'Données projet'!$B$270,GU4+GT5-HC4)))</f>
        <v>1.6847262157876479</v>
      </c>
      <c r="GV5" s="18">
        <f>GU5*VLOOKUP('Données projet'!$B$18,Paramètres!$A$1:$I$89,3,0)*VLOOKUP('Données projet'!$B$18,Paramètres!$A$1:$I$89,5,0)</f>
        <v>1.1301143455503542</v>
      </c>
      <c r="GW5" s="14">
        <f t="shared" ref="GW5:GW68" si="51">EXP(-1.0587+0.8836*LN(GV5)+0.284)</f>
        <v>0.5134415452108555</v>
      </c>
      <c r="GX5" s="22">
        <f t="shared" si="28"/>
        <v>2.8625265097424397</v>
      </c>
      <c r="GY5" s="62">
        <f t="shared" si="29"/>
        <v>213.37954504769152</v>
      </c>
      <c r="GZ5" s="62">
        <f ca="1">AVERAGE(OFFSET($GY$3,0,0,'Données projet'!$E$18+1,1))-AVERAGE(OFFSET($H$3,0,0,'Données projet'!$E$18+1,1))</f>
        <v>329.93956600482801</v>
      </c>
      <c r="HA5" s="62">
        <f t="shared" ref="HA5:HA68" si="52">$HA$3</f>
        <v>268.69186630599165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2.7450000000000001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10.065</v>
      </c>
      <c r="H6" s="70">
        <f t="shared" si="1"/>
        <v>216.40666666666667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56.976974443509135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216.87896651720601</v>
      </c>
      <c r="S6" s="62">
        <f ca="1">AVERAGE(OFFSET($R$3,0,0,'Données projet'!$E$9+1,1))-AVERAGE(OFFSET($H$3,0,0,'Données projet'!$E$9+1,1))</f>
        <v>551.67307965706379</v>
      </c>
      <c r="T6" s="62">
        <f t="shared" si="34"/>
        <v>288.70738860523943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56.976974443509135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1.6033073636487132</v>
      </c>
      <c r="AK6" s="14">
        <f t="shared" si="35"/>
        <v>0.69936661672428513</v>
      </c>
      <c r="AL6" s="22">
        <f t="shared" si="4"/>
        <v>4.0104905158163051</v>
      </c>
      <c r="AM6" s="62">
        <f t="shared" si="5"/>
        <v>216.59273014201648</v>
      </c>
      <c r="AN6" s="62">
        <f ca="1">AVERAGE(OFFSET($AM$3,0,0,'Données projet'!$E$10+1,1))-AVERAGE(OFFSET($H$3,0,0,'Données projet'!$E$10+1,1))</f>
        <v>518.18933270904506</v>
      </c>
      <c r="AO6" s="62">
        <f t="shared" si="36"/>
        <v>272.44431899810411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56.976974443509135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2.8518518518518516</v>
      </c>
      <c r="BD6" s="13">
        <f>IF('Données projet'!$A$88&gt;35,BD5+BC6-BL5,IF(A6&lt;'Données projet'!$A$88,$BA$205^A6,IF(A6='Données projet'!$A$88,'Données projet'!$B$88,BD5+BC6-BL5)))</f>
        <v>1.6203546529728405</v>
      </c>
      <c r="BE6" s="14">
        <f>BD6*VLOOKUP('Données projet'!$B$11,Paramètres!$A$1:$I$89,3,0)*VLOOKUP('Données projet'!$B$11,Paramètres!$A$1:$I$89,5,0)</f>
        <v>1.3902642922506974</v>
      </c>
      <c r="BF6" s="14">
        <f t="shared" si="37"/>
        <v>0.61658492107457386</v>
      </c>
      <c r="BG6" s="22">
        <f t="shared" si="7"/>
        <v>3.495262379874847</v>
      </c>
      <c r="BH6" s="62">
        <f t="shared" si="8"/>
        <v>216.07750200607501</v>
      </c>
      <c r="BI6" s="62">
        <f ca="1">AVERAGE(OFFSET($BH$3,0,0,'Données projet'!$E$11+1,1))-AVERAGE(OFFSET($H$3,0,0,'Données projet'!$E$11+1,1))</f>
        <v>464.73160475167867</v>
      </c>
      <c r="BJ6" s="62">
        <f t="shared" si="38"/>
        <v>241.31968359962227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56.976974443509135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1.1000000000000001</v>
      </c>
      <c r="BY6" s="13">
        <f>IF('Données projet'!$A$114&gt;35,BY5+BX6-CG5,IF(A6&lt;'Données projet'!$A$114,$BV$205^A6,IF(A6='Données projet'!$A$114,'Données projet'!$B$114,BY5+BX6-CG5)))</f>
        <v>2.0531364136588448</v>
      </c>
      <c r="BZ6" s="14">
        <f>BY6*VLOOKUP('Données projet'!$B$12,Paramètres!$A$1:$I$89,3,0)*VLOOKUP('Données projet'!$B$12,Paramètres!$A$1:$I$89,5,0)</f>
        <v>1.3452149782292753</v>
      </c>
      <c r="CA6" s="14">
        <f t="shared" si="39"/>
        <v>0.59889737003693966</v>
      </c>
      <c r="CB6" s="22">
        <f t="shared" si="10"/>
        <v>3.3859956732303242</v>
      </c>
      <c r="CC6" s="62">
        <f t="shared" si="11"/>
        <v>215.96823529943049</v>
      </c>
      <c r="CD6" s="62">
        <f ca="1">AVERAGE(OFFSET($CC$3,0,0,'Données projet'!$E$12+1,1))-AVERAGE(OFFSET($H$3,0,0,'Données projet'!$E$12+1,1))</f>
        <v>292.13851489852607</v>
      </c>
      <c r="CE6" s="62">
        <f t="shared" si="40"/>
        <v>280.10866188737418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56.976974443509135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0.9</v>
      </c>
      <c r="CT6" s="13">
        <f>IF('Données projet'!$A$140&gt;35,CT5+CS6-DB5,IF(A6&lt;'Données projet'!$A$140,$CQ$205^A6,IF(A6='Données projet'!$A$140,'Données projet'!$B$140,CT5+CS6-DB5)))</f>
        <v>1.9331820449317632</v>
      </c>
      <c r="CU6" s="18">
        <f>CT6*VLOOKUP('Données projet'!$B$13,Paramètres!$A$1:$I$89,3,0)*VLOOKUP('Données projet'!$B$13,Paramètres!$A$1:$I$89,5,0)</f>
        <v>1.5681972748486466</v>
      </c>
      <c r="CV6" s="14">
        <f t="shared" si="41"/>
        <v>0.68581679886281277</v>
      </c>
      <c r="CW6" s="22">
        <f t="shared" si="13"/>
        <v>3.9257411783807914</v>
      </c>
      <c r="CX6" s="62">
        <f t="shared" si="14"/>
        <v>216.50798080458097</v>
      </c>
      <c r="CY6" s="62">
        <f ca="1">AVERAGE(OFFSET($CX$3,0,0,'Données projet'!$E$13+1,1))-AVERAGE(OFFSET($H$3,0,0,'Données projet'!$E$13+1,1))</f>
        <v>265.25572936607409</v>
      </c>
      <c r="CZ6" s="62">
        <f t="shared" si="42"/>
        <v>307.96244316129071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56.976974443509135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3.1623931623931623</v>
      </c>
      <c r="DO6" s="13">
        <f>IF('Données projet'!$A$166&gt;35,DO5+DN6-DW5,IF(A6&lt;'Données projet'!$A$166,$DL$205^A6,IF(A6='Données projet'!$A$166,'Données projet'!$B$166,DO5+DN6-DW5)))</f>
        <v>2.1638214630922641</v>
      </c>
      <c r="DP6" s="18">
        <f>DO6*VLOOKUP('Données projet'!$B$14,Paramètres!$A$1:$I$89,3,0)*VLOOKUP('Données projet'!$B$14,Paramètres!$A$1:$I$89,5,0)</f>
        <v>2.0590925042785986</v>
      </c>
      <c r="DQ6" s="14">
        <f t="shared" si="43"/>
        <v>0.87240079502149648</v>
      </c>
      <c r="DR6" s="22">
        <f t="shared" si="16"/>
        <v>5.1056841629476652</v>
      </c>
      <c r="DS6" s="62">
        <f t="shared" si="17"/>
        <v>217.68792378914782</v>
      </c>
      <c r="DT6" s="62">
        <f ca="1">AVERAGE(OFFSET($DS$3,0,0,'Données projet'!$E$14+1,1))-AVERAGE(OFFSET($H$3,0,0,'Données projet'!$E$14+1,1))</f>
        <v>425.41154182732936</v>
      </c>
      <c r="DU6" s="62">
        <f t="shared" si="44"/>
        <v>306.44721925744591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56.976974443509135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1.1099999999999999</v>
      </c>
      <c r="EJ6" s="13">
        <f>IF('Données projet'!$A$192&gt;35,EJ5+EI6-ER5,IF(A6&lt;'Données projet'!$A$192,$EG$205^A6,IF(A6='Données projet'!$A$192,'Données projet'!$B$192,EJ5+EI6-ER5)))</f>
        <v>2.0587181513545616</v>
      </c>
      <c r="EK6" s="18">
        <f>EJ6*VLOOKUP('Données projet'!$B$15,Paramètres!$A$1:$I$89,3,0)*VLOOKUP('Données projet'!$B$15,Paramètres!$A$1:$I$89,5,0)</f>
        <v>1.5094521485731647</v>
      </c>
      <c r="EL6" s="14">
        <f t="shared" si="45"/>
        <v>0.66306612714360913</v>
      </c>
      <c r="EM6" s="22">
        <f t="shared" si="19"/>
        <v>3.7838026635400475</v>
      </c>
      <c r="EN6" s="62">
        <f t="shared" si="20"/>
        <v>216.36604228974022</v>
      </c>
      <c r="EO6" s="62">
        <f ca="1">AVERAGE(OFFSET($EN$3,0,0,'Données projet'!$E$15+1,1))-AVERAGE(OFFSET($H$3,0,0,'Données projet'!$E$15+1,1))</f>
        <v>357.57626046668958</v>
      </c>
      <c r="EP6" s="62">
        <f t="shared" si="46"/>
        <v>386.90439522046199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56.976974443509135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2.6666666666666665</v>
      </c>
      <c r="FE6" s="13">
        <f>IF('Données projet'!$A$218&gt;35,FE5+FD6-FM5,IF(A6&lt;'Données projet'!$A$218,$FB$205^A6,IF(A6='Données projet'!$A$218,'Données projet'!$B$218,FE5+FD6-FM5)))</f>
        <v>2.0912791051825459</v>
      </c>
      <c r="FF6" s="18">
        <f>FE6*VLOOKUP('Données projet'!$B$16,Paramètres!$A$1:$I$89,3,0)*VLOOKUP('Données projet'!$B$16,Paramètres!$A$1:$I$89,5,0)</f>
        <v>1.6311977020423858</v>
      </c>
      <c r="FG6" s="14">
        <f t="shared" si="47"/>
        <v>0.71010553443370616</v>
      </c>
      <c r="FH6" s="22">
        <f t="shared" si="22"/>
        <v>4.0777698035291934</v>
      </c>
      <c r="FI6" s="62">
        <f t="shared" si="23"/>
        <v>216.66000942972937</v>
      </c>
      <c r="FJ6" s="62">
        <f ca="1">AVERAGE(OFFSET($FI$3,0,0,'Données projet'!$E$16+1,1))-AVERAGE(OFFSET($H$3,0,0,'Données projet'!$E$16+1,1))</f>
        <v>303.56663121833833</v>
      </c>
      <c r="FK6" s="62">
        <f t="shared" si="48"/>
        <v>293.97736357938038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56.976974443509135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1.1099999999999999</v>
      </c>
      <c r="FZ6" s="13">
        <f>IF('Données projet'!$A$244&gt;35,FZ5+FY6-GH5,IF(A6&lt;'Données projet'!$A$244,$FW$205^A6,IF(A6='Données projet'!$A$244,'Données projet'!$B$244,FZ5+FY6-GH5)))</f>
        <v>2.0587181513545616</v>
      </c>
      <c r="GA6" s="18">
        <f>FZ6*VLOOKUP('Données projet'!$B$17,Paramètres!$A$1:$I$89,3,0)*VLOOKUP('Données projet'!$B$17,Paramètres!$A$1:$I$89,5,0)</f>
        <v>1.6379161612176893</v>
      </c>
      <c r="GB6" s="14">
        <f t="shared" si="49"/>
        <v>0.71268920851376738</v>
      </c>
      <c r="GC6" s="22">
        <f t="shared" si="25"/>
        <v>4.0939710189489533</v>
      </c>
      <c r="GD6" s="62">
        <f t="shared" si="26"/>
        <v>216.67621064514913</v>
      </c>
      <c r="GE6" s="62">
        <f ca="1">AVERAGE(OFFSET($GD$3,0,0,'Données projet'!$E$17+1,1))-AVERAGE(OFFSET($H$3,0,0,'Données projet'!$E$17+1,1))</f>
        <v>383.71724511025587</v>
      </c>
      <c r="GF6" s="62">
        <f t="shared" si="50"/>
        <v>415.10774719533185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56.976974443509135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3.3333333333333335</v>
      </c>
      <c r="GU6" s="13">
        <f>IF('Données projet'!$A$270&gt;35,GU5+GT6-HC5,IF(A6&lt;'Données projet'!$A$270,$GR$205^A6,IF(A6='Données projet'!$A$270,'Données projet'!$B$270,GU5+GT6-HC5)))</f>
        <v>2.1867241478865562</v>
      </c>
      <c r="GV6" s="18">
        <f>GU6*VLOOKUP('Données projet'!$B$18,Paramètres!$A$1:$I$89,3,0)*VLOOKUP('Données projet'!$B$18,Paramètres!$A$1:$I$89,5,0)</f>
        <v>1.4668545584023018</v>
      </c>
      <c r="GW6" s="14">
        <f t="shared" si="51"/>
        <v>0.64650467023192038</v>
      </c>
      <c r="GX6" s="22">
        <f t="shared" si="28"/>
        <v>3.6807673232046039</v>
      </c>
      <c r="GY6" s="62">
        <f t="shared" si="29"/>
        <v>216.26300694940477</v>
      </c>
      <c r="GZ6" s="62">
        <f ca="1">AVERAGE(OFFSET($GY$3,0,0,'Données projet'!$E$18+1,1))-AVERAGE(OFFSET($H$3,0,0,'Données projet'!$E$18+1,1))</f>
        <v>329.93956600482801</v>
      </c>
      <c r="HA6" s="62">
        <f t="shared" si="52"/>
        <v>268.69186630599165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2.7450000000000001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10.065</v>
      </c>
      <c r="H7" s="70">
        <f t="shared" si="1"/>
        <v>216.40666666666667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57.202894821790863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219.91799104674021</v>
      </c>
      <c r="S7" s="62">
        <f ca="1">AVERAGE(OFFSET($R$3,0,0,'Données projet'!$E$9+1,1))-AVERAGE(OFFSET($H$3,0,0,'Données projet'!$E$9+1,1))</f>
        <v>551.67307965706379</v>
      </c>
      <c r="T7" s="62">
        <f t="shared" si="34"/>
        <v>288.70738860523943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57.202894821790863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1.9869316612859962</v>
      </c>
      <c r="AK7" s="14">
        <f t="shared" si="35"/>
        <v>0.84533042826968274</v>
      </c>
      <c r="AL7" s="22">
        <f t="shared" si="4"/>
        <v>4.9328564726428068</v>
      </c>
      <c r="AM7" s="62">
        <f t="shared" si="5"/>
        <v>219.56569304143156</v>
      </c>
      <c r="AN7" s="62">
        <f ca="1">AVERAGE(OFFSET($AM$3,0,0,'Données projet'!$E$10+1,1))-AVERAGE(OFFSET($H$3,0,0,'Données projet'!$E$10+1,1))</f>
        <v>518.18933270904506</v>
      </c>
      <c r="AO7" s="62">
        <f t="shared" si="36"/>
        <v>272.44431899810411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57.202894821790863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2.8518518518518516</v>
      </c>
      <c r="BD7" s="13">
        <f>IF('Données projet'!$A$88&gt;35,BD6+BC7-BL6,IF(A7&lt;'Données projet'!$A$88,$BA$205^A7,IF(A7='Données projet'!$A$88,'Données projet'!$B$88,BD6+BC7-BL6)))</f>
        <v>1.903181061649635</v>
      </c>
      <c r="BE7" s="14">
        <f>BD7*VLOOKUP('Données projet'!$B$11,Paramètres!$A$1:$I$89,3,0)*VLOOKUP('Données projet'!$B$11,Paramètres!$A$1:$I$89,5,0)</f>
        <v>1.632929350895387</v>
      </c>
      <c r="BF7" s="14">
        <f t="shared" si="37"/>
        <v>0.71077158163934118</v>
      </c>
      <c r="BG7" s="22">
        <f t="shared" si="7"/>
        <v>4.0819457908313188</v>
      </c>
      <c r="BH7" s="62">
        <f t="shared" si="8"/>
        <v>218.71478235962007</v>
      </c>
      <c r="BI7" s="62">
        <f ca="1">AVERAGE(OFFSET($BH$3,0,0,'Données projet'!$E$11+1,1))-AVERAGE(OFFSET($H$3,0,0,'Données projet'!$E$11+1,1))</f>
        <v>464.73160475167867</v>
      </c>
      <c r="BJ7" s="62">
        <f t="shared" si="38"/>
        <v>241.31968359962227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57.202894821790863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1.1000000000000001</v>
      </c>
      <c r="BY7" s="13">
        <f>IF('Données projet'!$A$114&gt;35,BY6+BX7-CG6,IF(A7&lt;'Données projet'!$A$114,$BV$205^A7,IF(A7='Données projet'!$A$114,'Données projet'!$B$114,BY6+BX7-CG6)))</f>
        <v>2.6094986352788743</v>
      </c>
      <c r="BZ7" s="14">
        <f>BY7*VLOOKUP('Données projet'!$B$12,Paramètres!$A$1:$I$89,3,0)*VLOOKUP('Données projet'!$B$12,Paramètres!$A$1:$I$89,5,0)</f>
        <v>1.7097435058347183</v>
      </c>
      <c r="CA7" s="14">
        <f t="shared" si="39"/>
        <v>0.74023542259349984</v>
      </c>
      <c r="CB7" s="22">
        <f t="shared" si="10"/>
        <v>4.2670466336791462</v>
      </c>
      <c r="CC7" s="62">
        <f t="shared" si="11"/>
        <v>218.89988320246789</v>
      </c>
      <c r="CD7" s="62">
        <f ca="1">AVERAGE(OFFSET($CC$3,0,0,'Données projet'!$E$12+1,1))-AVERAGE(OFFSET($H$3,0,0,'Données projet'!$E$12+1,1))</f>
        <v>292.13851489852607</v>
      </c>
      <c r="CE7" s="62">
        <f t="shared" si="40"/>
        <v>280.10866188737418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57.202894821790863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0.9</v>
      </c>
      <c r="CT7" s="13">
        <f>IF('Données projet'!$A$140&gt;35,CT6+CS7-DB6,IF(A7&lt;'Données projet'!$A$140,$CQ$205^A7,IF(A7='Données projet'!$A$140,'Données projet'!$B$140,CT6+CS7-DB6)))</f>
        <v>2.4082246852806923</v>
      </c>
      <c r="CU7" s="18">
        <f>CT7*VLOOKUP('Données projet'!$B$13,Paramètres!$A$1:$I$89,3,0)*VLOOKUP('Données projet'!$B$13,Paramètres!$A$1:$I$89,5,0)</f>
        <v>1.9535518646996977</v>
      </c>
      <c r="CV7" s="14">
        <f t="shared" si="41"/>
        <v>0.83276983766381052</v>
      </c>
      <c r="CW7" s="22">
        <f t="shared" si="13"/>
        <v>4.8528436316164436</v>
      </c>
      <c r="CX7" s="62">
        <f t="shared" si="14"/>
        <v>219.4856802004052</v>
      </c>
      <c r="CY7" s="62">
        <f ca="1">AVERAGE(OFFSET($CX$3,0,0,'Données projet'!$E$13+1,1))-AVERAGE(OFFSET($H$3,0,0,'Données projet'!$E$13+1,1))</f>
        <v>265.25572936607409</v>
      </c>
      <c r="CZ7" s="62">
        <f t="shared" si="42"/>
        <v>307.96244316129071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57.202894821790863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3.1623931623931623</v>
      </c>
      <c r="DO7" s="13">
        <f>IF('Données projet'!$A$166&gt;35,DO6+DN7-DW6,IF(A7&lt;'Données projet'!$A$166,$DL$205^A7,IF(A7='Données projet'!$A$166,'Données projet'!$B$166,DO6+DN7-DW6)))</f>
        <v>2.7987357737675902</v>
      </c>
      <c r="DP7" s="18">
        <f>DO7*VLOOKUP('Données projet'!$B$14,Paramètres!$A$1:$I$89,3,0)*VLOOKUP('Données projet'!$B$14,Paramètres!$A$1:$I$89,5,0)</f>
        <v>2.6632769623172385</v>
      </c>
      <c r="DQ7" s="14">
        <f t="shared" si="43"/>
        <v>1.0950903102276937</v>
      </c>
      <c r="DR7" s="22">
        <f t="shared" si="16"/>
        <v>6.5458229996824224</v>
      </c>
      <c r="DS7" s="62">
        <f t="shared" si="17"/>
        <v>221.17865956847118</v>
      </c>
      <c r="DT7" s="62">
        <f ca="1">AVERAGE(OFFSET($DS$3,0,0,'Données projet'!$E$14+1,1))-AVERAGE(OFFSET($H$3,0,0,'Données projet'!$E$14+1,1))</f>
        <v>425.41154182732936</v>
      </c>
      <c r="DU7" s="62">
        <f t="shared" si="44"/>
        <v>306.44721925744591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57.202894821790863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1.1099999999999999</v>
      </c>
      <c r="EJ7" s="13">
        <f>IF('Données projet'!$A$192&gt;35,EJ6+EI7-ER6,IF(A7&lt;'Données projet'!$A$192,$EG$205^A7,IF(A7='Données projet'!$A$192,'Données projet'!$B$192,EJ6+EI7-ER6)))</f>
        <v>2.6189619666389237</v>
      </c>
      <c r="EK7" s="18">
        <f>EJ7*VLOOKUP('Données projet'!$B$15,Paramètres!$A$1:$I$89,3,0)*VLOOKUP('Données projet'!$B$15,Paramètres!$A$1:$I$89,5,0)</f>
        <v>1.9202229139396587</v>
      </c>
      <c r="EL7" s="14">
        <f t="shared" si="45"/>
        <v>0.82020342951495628</v>
      </c>
      <c r="EM7" s="22">
        <f t="shared" si="19"/>
        <v>4.7729092148501211</v>
      </c>
      <c r="EN7" s="62">
        <f t="shared" si="20"/>
        <v>219.40574578363888</v>
      </c>
      <c r="EO7" s="62">
        <f ca="1">AVERAGE(OFFSET($EN$3,0,0,'Données projet'!$E$15+1,1))-AVERAGE(OFFSET($H$3,0,0,'Données projet'!$E$15+1,1))</f>
        <v>357.57626046668958</v>
      </c>
      <c r="EP7" s="62">
        <f t="shared" si="46"/>
        <v>386.90439522046199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57.202894821790863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2.6666666666666665</v>
      </c>
      <c r="FE7" s="13">
        <f>IF('Données projet'!$A$218&gt;35,FE6+FD7-FM6,IF(A7&lt;'Données projet'!$A$218,$FB$205^A7,IF(A7='Données projet'!$A$218,'Données projet'!$B$218,FE6+FD7-FM6)))</f>
        <v>2.6743361672197152</v>
      </c>
      <c r="FF7" s="18">
        <f>FE7*VLOOKUP('Données projet'!$B$16,Paramètres!$A$1:$I$89,3,0)*VLOOKUP('Données projet'!$B$16,Paramètres!$A$1:$I$89,5,0)</f>
        <v>2.0859822104313781</v>
      </c>
      <c r="FG7" s="14">
        <f t="shared" si="47"/>
        <v>0.88245976121767966</v>
      </c>
      <c r="FH7" s="22">
        <f t="shared" si="22"/>
        <v>5.1700364339554419</v>
      </c>
      <c r="FI7" s="62">
        <f t="shared" si="23"/>
        <v>219.80287300274418</v>
      </c>
      <c r="FJ7" s="62">
        <f ca="1">AVERAGE(OFFSET($FI$3,0,0,'Données projet'!$E$16+1,1))-AVERAGE(OFFSET($H$3,0,0,'Données projet'!$E$16+1,1))</f>
        <v>303.56663121833833</v>
      </c>
      <c r="FK7" s="62">
        <f t="shared" si="48"/>
        <v>293.97736357938038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57.202894821790863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1.1099999999999999</v>
      </c>
      <c r="FZ7" s="13">
        <f>IF('Données projet'!$A$244&gt;35,FZ6+FY7-GH6,IF(A7&lt;'Données projet'!$A$244,$FW$205^A7,IF(A7='Données projet'!$A$244,'Données projet'!$B$244,FZ6+FY7-GH6)))</f>
        <v>2.6189619666389237</v>
      </c>
      <c r="GA7" s="18">
        <f>FZ7*VLOOKUP('Données projet'!$B$17,Paramètres!$A$1:$I$89,3,0)*VLOOKUP('Données projet'!$B$17,Paramètres!$A$1:$I$89,5,0)</f>
        <v>2.0836461406579279</v>
      </c>
      <c r="GB7" s="14">
        <f t="shared" si="49"/>
        <v>0.88158647994800687</v>
      </c>
      <c r="GC7" s="22">
        <f t="shared" si="25"/>
        <v>5.1644468142220035</v>
      </c>
      <c r="GD7" s="62">
        <f t="shared" si="26"/>
        <v>219.79728338301075</v>
      </c>
      <c r="GE7" s="62">
        <f ca="1">AVERAGE(OFFSET($GD$3,0,0,'Données projet'!$E$17+1,1))-AVERAGE(OFFSET($H$3,0,0,'Données projet'!$E$17+1,1))</f>
        <v>383.71724511025587</v>
      </c>
      <c r="GF7" s="62">
        <f t="shared" si="50"/>
        <v>415.10774719533185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57.202894821790863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3.3333333333333335</v>
      </c>
      <c r="GU7" s="13">
        <f>IF('Données projet'!$A$270&gt;35,GU6+GT7-HC6,IF(A7&lt;'Données projet'!$A$270,$GR$205^A7,IF(A7='Données projet'!$A$270,'Données projet'!$B$270,GU6+GT7-HC6)))</f>
        <v>2.8383024221621684</v>
      </c>
      <c r="GV7" s="18">
        <f>GU7*VLOOKUP('Données projet'!$B$18,Paramètres!$A$1:$I$89,3,0)*VLOOKUP('Données projet'!$B$18,Paramètres!$A$1:$I$89,5,0)</f>
        <v>1.9039332647863827</v>
      </c>
      <c r="GW7" s="14">
        <f t="shared" si="51"/>
        <v>0.81405233474053373</v>
      </c>
      <c r="GX7" s="22">
        <f t="shared" si="28"/>
        <v>4.7338249191760466</v>
      </c>
      <c r="GY7" s="62">
        <f t="shared" si="29"/>
        <v>219.36666148796479</v>
      </c>
      <c r="GZ7" s="62">
        <f ca="1">AVERAGE(OFFSET($GY$3,0,0,'Données projet'!$E$18+1,1))-AVERAGE(OFFSET($H$3,0,0,'Données projet'!$E$18+1,1))</f>
        <v>329.93956600482801</v>
      </c>
      <c r="HA7" s="62">
        <f t="shared" si="52"/>
        <v>268.69186630599165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2.7450000000000001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10.065</v>
      </c>
      <c r="H8" s="70">
        <f t="shared" si="1"/>
        <v>216.40666666666667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57.424895986591707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223.17087090101282</v>
      </c>
      <c r="S8" s="62">
        <f ca="1">AVERAGE(OFFSET($R$3,0,0,'Données projet'!$E$9+1,1))-AVERAGE(OFFSET($H$3,0,0,'Données projet'!$E$9+1,1))</f>
        <v>551.67307965706379</v>
      </c>
      <c r="T8" s="62">
        <f t="shared" si="34"/>
        <v>288.70738860523943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57.424895986591707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2.462345970666743</v>
      </c>
      <c r="AK8" s="14">
        <f t="shared" si="35"/>
        <v>1.021758139251189</v>
      </c>
      <c r="AL8" s="22">
        <f t="shared" si="4"/>
        <v>6.068147991440398</v>
      </c>
      <c r="AM8" s="62">
        <f t="shared" si="5"/>
        <v>222.73721105338774</v>
      </c>
      <c r="AN8" s="62">
        <f ca="1">AVERAGE(OFFSET($AM$3,0,0,'Données projet'!$E$10+1,1))-AVERAGE(OFFSET($H$3,0,0,'Données projet'!$E$10+1,1))</f>
        <v>518.18933270904506</v>
      </c>
      <c r="AO8" s="62">
        <f t="shared" si="36"/>
        <v>272.44431899810411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57.424895986591707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2.8518518518518516</v>
      </c>
      <c r="BD8" s="13">
        <f>IF('Données projet'!$A$88&gt;35,BD7+BC8-BL7,IF(A8&lt;'Données projet'!$A$88,$BA$205^A8,IF(A8='Données projet'!$A$88,'Données projet'!$B$88,BD7+BC8-BL7)))</f>
        <v>2.2353736861102735</v>
      </c>
      <c r="BE8" s="14">
        <f>BD8*VLOOKUP('Données projet'!$B$11,Paramètres!$A$1:$I$89,3,0)*VLOOKUP('Données projet'!$B$11,Paramètres!$A$1:$I$89,5,0)</f>
        <v>1.9179506226826148</v>
      </c>
      <c r="BF8" s="14">
        <f t="shared" si="37"/>
        <v>0.81934576081692545</v>
      </c>
      <c r="BG8" s="22">
        <f t="shared" si="7"/>
        <v>4.767457867928365</v>
      </c>
      <c r="BH8" s="62">
        <f t="shared" si="8"/>
        <v>221.43652092987571</v>
      </c>
      <c r="BI8" s="62">
        <f ca="1">AVERAGE(OFFSET($BH$3,0,0,'Données projet'!$E$11+1,1))-AVERAGE(OFFSET($H$3,0,0,'Données projet'!$E$11+1,1))</f>
        <v>464.73160475167867</v>
      </c>
      <c r="BJ8" s="62">
        <f t="shared" si="38"/>
        <v>241.31968359962227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57.424895986591707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1.1000000000000001</v>
      </c>
      <c r="BY8" s="13">
        <f>IF('Données projet'!$A$114&gt;35,BY7+BX8-CG7,IF(A8&lt;'Données projet'!$A$114,$BV$205^A8,IF(A8='Données projet'!$A$114,'Données projet'!$B$114,BY7+BX8-CG7)))</f>
        <v>3.3166247903554016</v>
      </c>
      <c r="BZ8" s="14">
        <f>BY8*VLOOKUP('Données projet'!$B$12,Paramètres!$A$1:$I$89,3,0)*VLOOKUP('Données projet'!$B$12,Paramètres!$A$1:$I$89,5,0)</f>
        <v>2.173052562640859</v>
      </c>
      <c r="CA8" s="14">
        <f t="shared" si="39"/>
        <v>0.91492884804015795</v>
      </c>
      <c r="CB8" s="22">
        <f t="shared" si="10"/>
        <v>5.3782342902694369</v>
      </c>
      <c r="CC8" s="62">
        <f t="shared" si="11"/>
        <v>222.04729735221679</v>
      </c>
      <c r="CD8" s="62">
        <f ca="1">AVERAGE(OFFSET($CC$3,0,0,'Données projet'!$E$12+1,1))-AVERAGE(OFFSET($H$3,0,0,'Données projet'!$E$12+1,1))</f>
        <v>292.13851489852607</v>
      </c>
      <c r="CE8" s="62">
        <f t="shared" si="40"/>
        <v>280.10866188737418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57.424895986591707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0.9</v>
      </c>
      <c r="CT8" s="13">
        <f>IF('Données projet'!$A$140&gt;35,CT7+CS8-DB7,IF(A8&lt;'Données projet'!$A$140,$CQ$205^A8,IF(A8='Données projet'!$A$140,'Données projet'!$B$140,CT7+CS8-DB7)))</f>
        <v>3.0000000000000004</v>
      </c>
      <c r="CU8" s="18">
        <f>CT8*VLOOKUP('Données projet'!$B$13,Paramètres!$A$1:$I$89,3,0)*VLOOKUP('Données projet'!$B$13,Paramètres!$A$1:$I$89,5,0)</f>
        <v>2.4336000000000007</v>
      </c>
      <c r="CV8" s="14">
        <f t="shared" si="41"/>
        <v>1.0112111626203177</v>
      </c>
      <c r="CW8" s="22">
        <f t="shared" si="13"/>
        <v>5.9997127748970547</v>
      </c>
      <c r="CX8" s="62">
        <f t="shared" si="14"/>
        <v>222.66877583684442</v>
      </c>
      <c r="CY8" s="62">
        <f ca="1">AVERAGE(OFFSET($CX$3,0,0,'Données projet'!$E$13+1,1))-AVERAGE(OFFSET($H$3,0,0,'Données projet'!$E$13+1,1))</f>
        <v>265.25572936607409</v>
      </c>
      <c r="CZ8" s="62">
        <f t="shared" si="42"/>
        <v>307.96244316129071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57.424895986591707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3.1623931623931623</v>
      </c>
      <c r="DO8" s="13">
        <f>IF('Données projet'!$A$166&gt;35,DO7+DN8-DW7,IF(A8&lt;'Données projet'!$A$166,$DL$205^A8,IF(A8='Données projet'!$A$166,'Données projet'!$B$166,DO7+DN8-DW7)))</f>
        <v>3.6199483483136521</v>
      </c>
      <c r="DP8" s="18">
        <f>DO8*VLOOKUP('Données projet'!$B$14,Paramètres!$A$1:$I$89,3,0)*VLOOKUP('Données projet'!$B$14,Paramètres!$A$1:$I$89,5,0)</f>
        <v>3.4447428482552716</v>
      </c>
      <c r="DQ8" s="14">
        <f t="shared" si="43"/>
        <v>1.3746236757212458</v>
      </c>
      <c r="DR8" s="22">
        <f t="shared" si="16"/>
        <v>8.3937300292591015</v>
      </c>
      <c r="DS8" s="62">
        <f t="shared" si="17"/>
        <v>225.06279309120646</v>
      </c>
      <c r="DT8" s="62">
        <f ca="1">AVERAGE(OFFSET($DS$3,0,0,'Données projet'!$E$14+1,1))-AVERAGE(OFFSET($H$3,0,0,'Données projet'!$E$14+1,1))</f>
        <v>425.41154182732936</v>
      </c>
      <c r="DU8" s="62">
        <f t="shared" si="44"/>
        <v>306.44721925744591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57.424895986591707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1.1099999999999999</v>
      </c>
      <c r="EJ8" s="13">
        <f>IF('Données projet'!$A$192&gt;35,EJ7+EI8-ER7,IF(A8&lt;'Données projet'!$A$192,$EG$205^A8,IF(A8='Données projet'!$A$192,'Données projet'!$B$192,EJ7+EI8-ER7)))</f>
        <v>3.331666249791537</v>
      </c>
      <c r="EK8" s="18">
        <f>EJ8*VLOOKUP('Données projet'!$B$15,Paramètres!$A$1:$I$89,3,0)*VLOOKUP('Données projet'!$B$15,Paramètres!$A$1:$I$89,5,0)</f>
        <v>2.4427776943471549</v>
      </c>
      <c r="EL8" s="14">
        <f t="shared" si="45"/>
        <v>1.0145800520471964</v>
      </c>
      <c r="EM8" s="22">
        <f t="shared" si="19"/>
        <v>6.0215647416368272</v>
      </c>
      <c r="EN8" s="62">
        <f t="shared" si="20"/>
        <v>222.69062780358419</v>
      </c>
      <c r="EO8" s="62">
        <f ca="1">AVERAGE(OFFSET($EN$3,0,0,'Données projet'!$E$15+1,1))-AVERAGE(OFFSET($H$3,0,0,'Données projet'!$E$15+1,1))</f>
        <v>357.57626046668958</v>
      </c>
      <c r="EP8" s="62">
        <f t="shared" si="46"/>
        <v>386.90439522046199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57.424895986591707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2.6666666666666665</v>
      </c>
      <c r="FE8" s="13">
        <f>IF('Données projet'!$A$218&gt;35,FE7+FD8-FM7,IF(A8&lt;'Données projet'!$A$218,$FB$205^A8,IF(A8='Données projet'!$A$218,'Données projet'!$B$218,FE7+FD8-FM7)))</f>
        <v>3.4199518933533928</v>
      </c>
      <c r="FF8" s="18">
        <f>FE8*VLOOKUP('Données projet'!$B$16,Paramètres!$A$1:$I$89,3,0)*VLOOKUP('Données projet'!$B$16,Paramètres!$A$1:$I$89,5,0)</f>
        <v>2.6675624768156463</v>
      </c>
      <c r="FG8" s="14">
        <f t="shared" si="47"/>
        <v>1.0966471776471767</v>
      </c>
      <c r="FH8" s="22">
        <f t="shared" si="22"/>
        <v>6.5559984815227494</v>
      </c>
      <c r="FI8" s="62">
        <f t="shared" si="23"/>
        <v>223.2250615434701</v>
      </c>
      <c r="FJ8" s="62">
        <f ca="1">AVERAGE(OFFSET($FI$3,0,0,'Données projet'!$E$16+1,1))-AVERAGE(OFFSET($H$3,0,0,'Données projet'!$E$16+1,1))</f>
        <v>303.56663121833833</v>
      </c>
      <c r="FK8" s="62">
        <f t="shared" si="48"/>
        <v>293.97736357938038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57.424895986591707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1.1099999999999999</v>
      </c>
      <c r="FZ8" s="13">
        <f>IF('Données projet'!$A$244&gt;35,FZ7+FY8-GH7,IF(A8&lt;'Données projet'!$A$244,$FW$205^A8,IF(A8='Données projet'!$A$244,'Données projet'!$B$244,FZ7+FY8-GH7)))</f>
        <v>3.331666249791537</v>
      </c>
      <c r="GA8" s="18">
        <f>FZ8*VLOOKUP('Données projet'!$B$17,Paramètres!$A$1:$I$89,3,0)*VLOOKUP('Données projet'!$B$17,Paramètres!$A$1:$I$89,5,0)</f>
        <v>2.650673668334147</v>
      </c>
      <c r="GB8" s="14">
        <f t="shared" si="49"/>
        <v>1.0905100180313785</v>
      </c>
      <c r="GC8" s="22">
        <f t="shared" si="25"/>
        <v>6.5158949204199574</v>
      </c>
      <c r="GD8" s="62">
        <f t="shared" si="26"/>
        <v>223.18495798236731</v>
      </c>
      <c r="GE8" s="62">
        <f ca="1">AVERAGE(OFFSET($GD$3,0,0,'Données projet'!$E$17+1,1))-AVERAGE(OFFSET($H$3,0,0,'Données projet'!$E$17+1,1))</f>
        <v>383.71724511025587</v>
      </c>
      <c r="GF8" s="62">
        <f t="shared" si="50"/>
        <v>415.10774719533185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57.424895986591707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3.3333333333333335</v>
      </c>
      <c r="GU8" s="13">
        <f>IF('Données projet'!$A$270&gt;35,GU7+GT8-HC7,IF(A8&lt;'Données projet'!$A$270,$GR$205^A8,IF(A8='Données projet'!$A$270,'Données projet'!$B$270,GU7+GT8-HC7)))</f>
        <v>3.6840314986403868</v>
      </c>
      <c r="GV8" s="18">
        <f>GU8*VLOOKUP('Données projet'!$B$18,Paramètres!$A$1:$I$89,3,0)*VLOOKUP('Données projet'!$B$18,Paramètres!$A$1:$I$89,5,0)</f>
        <v>2.4712483292879717</v>
      </c>
      <c r="GW8" s="14">
        <f t="shared" si="51"/>
        <v>1.0250215260762008</v>
      </c>
      <c r="GX8" s="22">
        <f t="shared" si="28"/>
        <v>6.0893366647592657</v>
      </c>
      <c r="GY8" s="62">
        <f t="shared" si="29"/>
        <v>222.75839972670661</v>
      </c>
      <c r="GZ8" s="62">
        <f ca="1">AVERAGE(OFFSET($GY$3,0,0,'Données projet'!$E$18+1,1))-AVERAGE(OFFSET($H$3,0,0,'Données projet'!$E$18+1,1))</f>
        <v>329.93956600482801</v>
      </c>
      <c r="HA8" s="62">
        <f t="shared" si="52"/>
        <v>268.69186630599165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2.7450000000000001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10.065</v>
      </c>
      <c r="H9" s="70">
        <f t="shared" si="1"/>
        <v>216.40666666666667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57.643045927503508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226.69073584414897</v>
      </c>
      <c r="S9" s="62">
        <f ca="1">AVERAGE(OFFSET($R$3,0,0,'Données projet'!$E$9+1,1))-AVERAGE(OFFSET($H$3,0,0,'Données projet'!$E$9+1,1))</f>
        <v>551.67307965706379</v>
      </c>
      <c r="T9" s="62">
        <f t="shared" si="34"/>
        <v>288.70738860523943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57.643045927503508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3.0515129419874016</v>
      </c>
      <c r="AK9" s="14">
        <f t="shared" si="35"/>
        <v>1.2350078267772846</v>
      </c>
      <c r="AL9" s="22">
        <f t="shared" si="4"/>
        <v>7.4656903389318279</v>
      </c>
      <c r="AM9" s="62">
        <f t="shared" si="5"/>
        <v>226.15685873977804</v>
      </c>
      <c r="AN9" s="62">
        <f ca="1">AVERAGE(OFFSET($AM$3,0,0,'Données projet'!$E$10+1,1))-AVERAGE(OFFSET($H$3,0,0,'Données projet'!$E$10+1,1))</f>
        <v>518.18933270904506</v>
      </c>
      <c r="AO9" s="62">
        <f t="shared" si="36"/>
        <v>272.44431899810411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57.643045927503508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2.8518518518518516</v>
      </c>
      <c r="BD9" s="13">
        <f>IF('Données projet'!$A$88&gt;35,BD8+BC9-BL8,IF(A9&lt;'Données projet'!$A$88,$BA$205^A9,IF(A9='Données projet'!$A$88,'Données projet'!$B$88,BD8+BC9-BL8)))</f>
        <v>2.6255492014107342</v>
      </c>
      <c r="BE9" s="14">
        <f>BD9*VLOOKUP('Données projet'!$B$11,Paramètres!$A$1:$I$89,3,0)*VLOOKUP('Données projet'!$B$11,Paramètres!$A$1:$I$89,5,0)</f>
        <v>2.2527212148104101</v>
      </c>
      <c r="BF9" s="14">
        <f t="shared" si="37"/>
        <v>0.94450522940196935</v>
      </c>
      <c r="BG9" s="22">
        <f t="shared" si="7"/>
        <v>5.5685027236698934</v>
      </c>
      <c r="BH9" s="62">
        <f t="shared" si="8"/>
        <v>224.2596711245161</v>
      </c>
      <c r="BI9" s="62">
        <f ca="1">AVERAGE(OFFSET($BH$3,0,0,'Données projet'!$E$11+1,1))-AVERAGE(OFFSET($H$3,0,0,'Données projet'!$E$11+1,1))</f>
        <v>464.73160475167867</v>
      </c>
      <c r="BJ9" s="62">
        <f t="shared" si="38"/>
        <v>241.31968359962227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57.643045927503508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1.1000000000000001</v>
      </c>
      <c r="BY9" s="13">
        <f>IF('Données projet'!$A$114&gt;35,BY8+BX9-CG8,IF(A9&lt;'Données projet'!$A$114,$BV$205^A9,IF(A9='Données projet'!$A$114,'Données projet'!$B$114,BY8+BX9-CG8)))</f>
        <v>4.2153691330919028</v>
      </c>
      <c r="BZ9" s="14">
        <f>BY9*VLOOKUP('Données projet'!$B$12,Paramètres!$A$1:$I$89,3,0)*VLOOKUP('Données projet'!$B$12,Paramètres!$A$1:$I$89,5,0)</f>
        <v>2.7619098560018145</v>
      </c>
      <c r="CA9" s="14">
        <f t="shared" si="39"/>
        <v>1.1308494182070246</v>
      </c>
      <c r="CB9" s="22">
        <f t="shared" si="10"/>
        <v>6.7798890692470613</v>
      </c>
      <c r="CC9" s="62">
        <f t="shared" si="11"/>
        <v>225.47105747009326</v>
      </c>
      <c r="CD9" s="62">
        <f ca="1">AVERAGE(OFFSET($CC$3,0,0,'Données projet'!$E$12+1,1))-AVERAGE(OFFSET($H$3,0,0,'Données projet'!$E$12+1,1))</f>
        <v>292.13851489852607</v>
      </c>
      <c r="CE9" s="62">
        <f t="shared" si="40"/>
        <v>280.10866188737418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57.643045927503508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0.9</v>
      </c>
      <c r="CT9" s="13">
        <f>IF('Données projet'!$A$140&gt;35,CT8+CS9-DB8,IF(A9&lt;'Données projet'!$A$140,$CQ$205^A9,IF(A9='Données projet'!$A$140,'Données projet'!$B$140,CT8+CS9-DB8)))</f>
        <v>3.7371928188465526</v>
      </c>
      <c r="CU9" s="18">
        <f>CT9*VLOOKUP('Données projet'!$B$13,Paramètres!$A$1:$I$89,3,0)*VLOOKUP('Données projet'!$B$13,Paramètres!$A$1:$I$89,5,0)</f>
        <v>3.0316108146483236</v>
      </c>
      <c r="CV9" s="14">
        <f t="shared" si="41"/>
        <v>1.2278879099133964</v>
      </c>
      <c r="CW9" s="22">
        <f t="shared" si="13"/>
        <v>7.4186269452783291</v>
      </c>
      <c r="CX9" s="62">
        <f t="shared" si="14"/>
        <v>226.10979534612454</v>
      </c>
      <c r="CY9" s="62">
        <f ca="1">AVERAGE(OFFSET($CX$3,0,0,'Données projet'!$E$13+1,1))-AVERAGE(OFFSET($H$3,0,0,'Données projet'!$E$13+1,1))</f>
        <v>265.25572936607409</v>
      </c>
      <c r="CZ9" s="62">
        <f t="shared" si="42"/>
        <v>307.96244316129071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57.643045927503508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3.1623931623931623</v>
      </c>
      <c r="DO9" s="13">
        <f>IF('Données projet'!$A$166&gt;35,DO8+DN9-DW8,IF(A9&lt;'Données projet'!$A$166,$DL$205^A9,IF(A9='Données projet'!$A$166,'Données projet'!$B$166,DO8+DN9-DW8)))</f>
        <v>4.6821233241387468</v>
      </c>
      <c r="DP9" s="18">
        <f>DO9*VLOOKUP('Données projet'!$B$14,Paramètres!$A$1:$I$89,3,0)*VLOOKUP('Données projet'!$B$14,Paramètres!$A$1:$I$89,5,0)</f>
        <v>4.4555085552504314</v>
      </c>
      <c r="DQ9" s="14">
        <f t="shared" si="43"/>
        <v>1.7255108845411122</v>
      </c>
      <c r="DR9" s="22">
        <f t="shared" si="16"/>
        <v>10.765275524303604</v>
      </c>
      <c r="DS9" s="62">
        <f t="shared" si="17"/>
        <v>229.45644392514981</v>
      </c>
      <c r="DT9" s="62">
        <f ca="1">AVERAGE(OFFSET($DS$3,0,0,'Données projet'!$E$14+1,1))-AVERAGE(OFFSET($H$3,0,0,'Données projet'!$E$14+1,1))</f>
        <v>425.41154182732936</v>
      </c>
      <c r="DU9" s="62">
        <f t="shared" si="44"/>
        <v>306.44721925744591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57.643045927503508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1.1099999999999999</v>
      </c>
      <c r="EJ9" s="13">
        <f>IF('Données projet'!$A$192&gt;35,EJ8+EI9-ER8,IF(A9&lt;'Données projet'!$A$192,$EG$205^A9,IF(A9='Données projet'!$A$192,'Données projet'!$B$192,EJ8+EI9-ER8)))</f>
        <v>4.2383204267167436</v>
      </c>
      <c r="EK9" s="18">
        <f>EJ9*VLOOKUP('Données projet'!$B$15,Paramètres!$A$1:$I$89,3,0)*VLOOKUP('Données projet'!$B$15,Paramètres!$A$1:$I$89,5,0)</f>
        <v>3.1075365368687162</v>
      </c>
      <c r="EL9" s="14">
        <f t="shared" si="45"/>
        <v>1.2550211873910744</v>
      </c>
      <c r="EM9" s="22">
        <f t="shared" si="19"/>
        <v>7.5981213697524668</v>
      </c>
      <c r="EN9" s="62">
        <f t="shared" si="20"/>
        <v>226.28928977059869</v>
      </c>
      <c r="EO9" s="62">
        <f ca="1">AVERAGE(OFFSET($EN$3,0,0,'Données projet'!$E$15+1,1))-AVERAGE(OFFSET($H$3,0,0,'Données projet'!$E$15+1,1))</f>
        <v>357.57626046668958</v>
      </c>
      <c r="EP9" s="62">
        <f t="shared" si="46"/>
        <v>386.90439522046199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57.643045927503508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2.6666666666666665</v>
      </c>
      <c r="FE9" s="13">
        <f>IF('Données projet'!$A$218&gt;35,FE8+FD9-FM8,IF(A9&lt;'Données projet'!$A$218,$FB$205^A9,IF(A9='Données projet'!$A$218,'Données projet'!$B$218,FE8+FD9-FM8)))</f>
        <v>4.3734482957731098</v>
      </c>
      <c r="FF9" s="18">
        <f>FE9*VLOOKUP('Données projet'!$B$16,Paramètres!$A$1:$I$89,3,0)*VLOOKUP('Données projet'!$B$16,Paramètres!$A$1:$I$89,5,0)</f>
        <v>3.4112896707030256</v>
      </c>
      <c r="FG9" s="14">
        <f t="shared" si="47"/>
        <v>1.3628213830192535</v>
      </c>
      <c r="FH9" s="22">
        <f t="shared" si="22"/>
        <v>8.3149100852329703</v>
      </c>
      <c r="FI9" s="62">
        <f t="shared" si="23"/>
        <v>227.00607848607919</v>
      </c>
      <c r="FJ9" s="62">
        <f ca="1">AVERAGE(OFFSET($FI$3,0,0,'Données projet'!$E$16+1,1))-AVERAGE(OFFSET($H$3,0,0,'Données projet'!$E$16+1,1))</f>
        <v>303.56663121833833</v>
      </c>
      <c r="FK9" s="62">
        <f t="shared" si="48"/>
        <v>293.97736357938038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57.643045927503508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1.1099999999999999</v>
      </c>
      <c r="FZ9" s="13">
        <f>IF('Données projet'!$A$244&gt;35,FZ8+FY9-GH8,IF(A9&lt;'Données projet'!$A$244,$FW$205^A9,IF(A9='Données projet'!$A$244,'Données projet'!$B$244,FZ8+FY9-GH8)))</f>
        <v>4.2383204267167436</v>
      </c>
      <c r="GA9" s="18">
        <f>FZ9*VLOOKUP('Données projet'!$B$17,Paramètres!$A$1:$I$89,3,0)*VLOOKUP('Données projet'!$B$17,Paramètres!$A$1:$I$89,5,0)</f>
        <v>3.3720077314958417</v>
      </c>
      <c r="GB9" s="14">
        <f t="shared" si="49"/>
        <v>1.3489454823501079</v>
      </c>
      <c r="GC9" s="22">
        <f t="shared" si="25"/>
        <v>8.2223268474483628</v>
      </c>
      <c r="GD9" s="62">
        <f t="shared" si="26"/>
        <v>226.91349524829457</v>
      </c>
      <c r="GE9" s="62">
        <f ca="1">AVERAGE(OFFSET($GD$3,0,0,'Données projet'!$E$17+1,1))-AVERAGE(OFFSET($H$3,0,0,'Données projet'!$E$17+1,1))</f>
        <v>383.71724511025587</v>
      </c>
      <c r="GF9" s="62">
        <f t="shared" si="50"/>
        <v>415.10774719533185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57.643045927503508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3.3333333333333335</v>
      </c>
      <c r="GU9" s="13">
        <f>IF('Données projet'!$A$270&gt;35,GU8+GT9-HC8,IF(A9&lt;'Données projet'!$A$270,$GR$205^A9,IF(A9='Données projet'!$A$270,'Données projet'!$B$270,GU8+GT9-HC8)))</f>
        <v>4.7817624989501848</v>
      </c>
      <c r="GV9" s="18">
        <f>GU9*VLOOKUP('Données projet'!$B$18,Paramètres!$A$1:$I$89,3,0)*VLOOKUP('Données projet'!$B$18,Paramètres!$A$1:$I$89,5,0)</f>
        <v>3.2076062842957844</v>
      </c>
      <c r="GW9" s="14">
        <f t="shared" si="51"/>
        <v>1.2906653345014574</v>
      </c>
      <c r="GX9" s="22">
        <f t="shared" si="28"/>
        <v>7.8344897360718626</v>
      </c>
      <c r="GY9" s="62">
        <f t="shared" si="29"/>
        <v>226.52565813691808</v>
      </c>
      <c r="GZ9" s="62">
        <f ca="1">AVERAGE(OFFSET($GY$3,0,0,'Données projet'!$E$18+1,1))-AVERAGE(OFFSET($H$3,0,0,'Données projet'!$E$18+1,1))</f>
        <v>329.93956600482801</v>
      </c>
      <c r="HA9" s="62">
        <f t="shared" si="52"/>
        <v>268.69186630599165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2.7450000000000001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10.065</v>
      </c>
      <c r="H10" s="70">
        <f t="shared" si="1"/>
        <v>216.40666666666667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57.857411454650688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230.54300356536424</v>
      </c>
      <c r="S10" s="62">
        <f ca="1">AVERAGE(OFFSET($R$3,0,0,'Données projet'!$E$9+1,1))-AVERAGE(OFFSET($H$3,0,0,'Données projet'!$E$9+1,1))</f>
        <v>551.67307965706379</v>
      </c>
      <c r="T10" s="62">
        <f t="shared" si="34"/>
        <v>288.70738860523943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57.857411454650688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3.7816502416982529</v>
      </c>
      <c r="AK10" s="14">
        <f t="shared" si="35"/>
        <v>1.492764553183741</v>
      </c>
      <c r="AL10" s="22">
        <f t="shared" si="4"/>
        <v>9.1862724344194735</v>
      </c>
      <c r="AM10" s="62">
        <f t="shared" si="5"/>
        <v>229.8856699903609</v>
      </c>
      <c r="AN10" s="62">
        <f ca="1">AVERAGE(OFFSET($AM$3,0,0,'Données projet'!$E$10+1,1))-AVERAGE(OFFSET($H$3,0,0,'Données projet'!$E$10+1,1))</f>
        <v>518.18933270904506</v>
      </c>
      <c r="AO10" s="62">
        <f t="shared" si="36"/>
        <v>272.44431899810411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57.857411454650688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2.8518518518518516</v>
      </c>
      <c r="BD10" s="13">
        <f>IF('Données projet'!$A$88&gt;35,BD9+BC10-BL9,IF(A10&lt;'Données projet'!$A$88,$BA$205^A10,IF(A10='Données projet'!$A$88,'Données projet'!$B$88,BD9+BC10-BL9)))</f>
        <v>3.0838282886937765</v>
      </c>
      <c r="BE10" s="14">
        <f>BD10*VLOOKUP('Données projet'!$B$11,Paramètres!$A$1:$I$89,3,0)*VLOOKUP('Données projet'!$B$11,Paramètres!$A$1:$I$89,5,0)</f>
        <v>2.6459246716992606</v>
      </c>
      <c r="BF10" s="14">
        <f t="shared" si="37"/>
        <v>1.0887834794900406</v>
      </c>
      <c r="BG10" s="22">
        <f t="shared" si="7"/>
        <v>6.5046166966546997</v>
      </c>
      <c r="BH10" s="62">
        <f t="shared" si="8"/>
        <v>227.20401425259612</v>
      </c>
      <c r="BI10" s="62">
        <f ca="1">AVERAGE(OFFSET($BH$3,0,0,'Données projet'!$E$11+1,1))-AVERAGE(OFFSET($H$3,0,0,'Données projet'!$E$11+1,1))</f>
        <v>464.73160475167867</v>
      </c>
      <c r="BJ10" s="62">
        <f t="shared" si="38"/>
        <v>241.31968359962227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57.857411454650688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1.1000000000000001</v>
      </c>
      <c r="BY10" s="13">
        <f>IF('Données projet'!$A$114&gt;35,BY9+BX10-CG9,IF(A10&lt;'Données projet'!$A$114,$BV$205^A10,IF(A10='Données projet'!$A$114,'Données projet'!$B$114,BY9+BX10-CG9)))</f>
        <v>5.3576566694841175</v>
      </c>
      <c r="BZ10" s="14">
        <f>BY10*VLOOKUP('Données projet'!$B$12,Paramètres!$A$1:$I$89,3,0)*VLOOKUP('Données projet'!$B$12,Paramètres!$A$1:$I$89,5,0)</f>
        <v>3.510336649845994</v>
      </c>
      <c r="CA10" s="14">
        <f t="shared" si="39"/>
        <v>1.397726620379814</v>
      </c>
      <c r="CB10" s="22">
        <f t="shared" si="10"/>
        <v>8.5482101956432839</v>
      </c>
      <c r="CC10" s="62">
        <f t="shared" si="11"/>
        <v>229.24760775158472</v>
      </c>
      <c r="CD10" s="62">
        <f ca="1">AVERAGE(OFFSET($CC$3,0,0,'Données projet'!$E$12+1,1))-AVERAGE(OFFSET($H$3,0,0,'Données projet'!$E$12+1,1))</f>
        <v>292.13851489852607</v>
      </c>
      <c r="CE10" s="62">
        <f t="shared" si="40"/>
        <v>280.10866188737418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57.857411454650688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0.9</v>
      </c>
      <c r="CT10" s="13">
        <f>IF('Données projet'!$A$140&gt;35,CT9+CS10-DB9,IF(A10&lt;'Données projet'!$A$140,$CQ$205^A10,IF(A10='Données projet'!$A$140,'Données projet'!$B$140,CT9+CS10-DB9)))</f>
        <v>4.6555367217460804</v>
      </c>
      <c r="CU10" s="18">
        <f>CT10*VLOOKUP('Données projet'!$B$13,Paramètres!$A$1:$I$89,3,0)*VLOOKUP('Données projet'!$B$13,Paramètres!$A$1:$I$89,5,0)</f>
        <v>3.7765713886804204</v>
      </c>
      <c r="CV10" s="14">
        <f t="shared" si="41"/>
        <v>1.490992954829151</v>
      </c>
      <c r="CW10" s="22">
        <f t="shared" si="13"/>
        <v>9.1743412316125035</v>
      </c>
      <c r="CX10" s="62">
        <f t="shared" si="14"/>
        <v>229.87373878755395</v>
      </c>
      <c r="CY10" s="62">
        <f ca="1">AVERAGE(OFFSET($CX$3,0,0,'Données projet'!$E$13+1,1))-AVERAGE(OFFSET($H$3,0,0,'Données projet'!$E$13+1,1))</f>
        <v>265.25572936607409</v>
      </c>
      <c r="CZ10" s="62">
        <f t="shared" si="42"/>
        <v>307.96244316129071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57.857411454650688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3.1623931623931623</v>
      </c>
      <c r="DO10" s="13">
        <f>IF('Données projet'!$A$166&gt;35,DO9+DN10-DW9,IF(A10&lt;'Données projet'!$A$166,$DL$205^A10,IF(A10='Données projet'!$A$166,'Données projet'!$B$166,DO9+DN10-DW9)))</f>
        <v>6.0559645368024464</v>
      </c>
      <c r="DP10" s="18">
        <f>DO10*VLOOKUP('Données projet'!$B$14,Paramètres!$A$1:$I$89,3,0)*VLOOKUP('Données projet'!$B$14,Paramètres!$A$1:$I$89,5,0)</f>
        <v>5.7628558532212084</v>
      </c>
      <c r="DQ10" s="14">
        <f t="shared" si="43"/>
        <v>2.1659657586703922</v>
      </c>
      <c r="DR10" s="22">
        <f t="shared" si="16"/>
        <v>13.809364307377871</v>
      </c>
      <c r="DS10" s="62">
        <f t="shared" si="17"/>
        <v>234.50876186331931</v>
      </c>
      <c r="DT10" s="62">
        <f ca="1">AVERAGE(OFFSET($DS$3,0,0,'Données projet'!$E$14+1,1))-AVERAGE(OFFSET($H$3,0,0,'Données projet'!$E$14+1,1))</f>
        <v>425.41154182732936</v>
      </c>
      <c r="DU10" s="62">
        <f t="shared" si="44"/>
        <v>306.44721925744591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57.857411454650688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1.1099999999999999</v>
      </c>
      <c r="EJ10" s="13">
        <f>IF('Données projet'!$A$192&gt;35,EJ9+EI10-ER9,IF(A10&lt;'Données projet'!$A$192,$EG$205^A10,IF(A10='Données projet'!$A$192,'Données projet'!$B$192,EJ9+EI10-ER9)))</f>
        <v>5.3917045384267919</v>
      </c>
      <c r="EK10" s="18">
        <f>EJ10*VLOOKUP('Données projet'!$B$15,Paramètres!$A$1:$I$89,3,0)*VLOOKUP('Données projet'!$B$15,Paramètres!$A$1:$I$89,5,0)</f>
        <v>3.9531977675745238</v>
      </c>
      <c r="EL10" s="14">
        <f t="shared" si="45"/>
        <v>1.5524434741471074</v>
      </c>
      <c r="EM10" s="22">
        <f t="shared" si="19"/>
        <v>9.5889918293318406</v>
      </c>
      <c r="EN10" s="62">
        <f t="shared" si="20"/>
        <v>230.28838938527326</v>
      </c>
      <c r="EO10" s="62">
        <f ca="1">AVERAGE(OFFSET($EN$3,0,0,'Données projet'!$E$15+1,1))-AVERAGE(OFFSET($H$3,0,0,'Données projet'!$E$15+1,1))</f>
        <v>357.57626046668958</v>
      </c>
      <c r="EP10" s="62">
        <f t="shared" si="46"/>
        <v>386.90439522046199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57.857411454650688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2.6666666666666665</v>
      </c>
      <c r="FE10" s="13">
        <f>IF('Données projet'!$A$218&gt;35,FE9+FD10-FM9,IF(A10&lt;'Données projet'!$A$218,$FB$205^A10,IF(A10='Données projet'!$A$218,'Données projet'!$B$218,FE9+FD10-FM9)))</f>
        <v>5.5927833467405659</v>
      </c>
      <c r="FF10" s="18">
        <f>FE10*VLOOKUP('Données projet'!$B$16,Paramètres!$A$1:$I$89,3,0)*VLOOKUP('Données projet'!$B$16,Paramètres!$A$1:$I$89,5,0)</f>
        <v>4.3623710104576414</v>
      </c>
      <c r="FG10" s="14">
        <f t="shared" si="47"/>
        <v>1.6936004212396314</v>
      </c>
      <c r="FH10" s="22">
        <f t="shared" si="22"/>
        <v>10.54748357687275</v>
      </c>
      <c r="FI10" s="62">
        <f t="shared" si="23"/>
        <v>231.24688113281417</v>
      </c>
      <c r="FJ10" s="62">
        <f ca="1">AVERAGE(OFFSET($FI$3,0,0,'Données projet'!$E$16+1,1))-AVERAGE(OFFSET($H$3,0,0,'Données projet'!$E$16+1,1))</f>
        <v>303.56663121833833</v>
      </c>
      <c r="FK10" s="62">
        <f t="shared" si="48"/>
        <v>293.97736357938038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57.857411454650688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1.1099999999999999</v>
      </c>
      <c r="FZ10" s="13">
        <f>IF('Données projet'!$A$244&gt;35,FZ9+FY10-GH9,IF(A10&lt;'Données projet'!$A$244,$FW$205^A10,IF(A10='Données projet'!$A$244,'Données projet'!$B$244,FZ9+FY10-GH9)))</f>
        <v>5.3917045384267919</v>
      </c>
      <c r="GA10" s="18">
        <f>FZ10*VLOOKUP('Données projet'!$B$17,Paramètres!$A$1:$I$89,3,0)*VLOOKUP('Données projet'!$B$17,Paramètres!$A$1:$I$89,5,0)</f>
        <v>4.289640130772356</v>
      </c>
      <c r="GB10" s="14">
        <f t="shared" si="49"/>
        <v>1.6686264997708673</v>
      </c>
      <c r="GC10" s="22">
        <f t="shared" si="25"/>
        <v>10.377314381529446</v>
      </c>
      <c r="GD10" s="62">
        <f t="shared" si="26"/>
        <v>231.07671193747089</v>
      </c>
      <c r="GE10" s="62">
        <f ca="1">AVERAGE(OFFSET($GD$3,0,0,'Données projet'!$E$17+1,1))-AVERAGE(OFFSET($H$3,0,0,'Données projet'!$E$17+1,1))</f>
        <v>383.71724511025587</v>
      </c>
      <c r="GF10" s="62">
        <f t="shared" si="50"/>
        <v>415.10774719533185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57.857411454650688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3.3333333333333335</v>
      </c>
      <c r="GU10" s="13">
        <f>IF('Données projet'!$A$270&gt;35,GU9+GT10-HC9,IF(A10&lt;'Données projet'!$A$270,$GR$205^A10,IF(A10='Données projet'!$A$270,'Données projet'!$B$270,GU9+GT10-HC9)))</f>
        <v>6.2065844455469161</v>
      </c>
      <c r="GV10" s="18">
        <f>GU10*VLOOKUP('Données projet'!$B$18,Paramètres!$A$1:$I$89,3,0)*VLOOKUP('Données projet'!$B$18,Paramètres!$A$1:$I$89,5,0)</f>
        <v>4.1633768460728717</v>
      </c>
      <c r="GW10" s="14">
        <f t="shared" si="51"/>
        <v>1.6251531926949223</v>
      </c>
      <c r="GX10" s="22">
        <f t="shared" si="28"/>
        <v>10.081689817520575</v>
      </c>
      <c r="GY10" s="62">
        <f t="shared" si="29"/>
        <v>230.78108737346201</v>
      </c>
      <c r="GZ10" s="62">
        <f ca="1">AVERAGE(OFFSET($GY$3,0,0,'Données projet'!$E$18+1,1))-AVERAGE(OFFSET($H$3,0,0,'Données projet'!$E$18+1,1))</f>
        <v>329.93956600482801</v>
      </c>
      <c r="HA10" s="62">
        <f t="shared" si="52"/>
        <v>268.69186630599165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2.7450000000000001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10.065</v>
      </c>
      <c r="H11" s="70">
        <f t="shared" si="1"/>
        <v>216.40666666666667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58.068058219151396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234.80824569024543</v>
      </c>
      <c r="S11" s="62">
        <f ca="1">AVERAGE(OFFSET($R$3,0,0,'Données projet'!$E$9+1,1))-AVERAGE(OFFSET($H$3,0,0,'Données projet'!$E$9+1,1))</f>
        <v>551.67307965706379</v>
      </c>
      <c r="T11" s="62">
        <f t="shared" si="34"/>
        <v>288.70738860523943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58.068058219151396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4.6864879233389463</v>
      </c>
      <c r="AK11" s="14">
        <f t="shared" si="35"/>
        <v>1.8043173192324258</v>
      </c>
      <c r="AL11" s="22">
        <f t="shared" si="4"/>
        <v>11.304819130811806</v>
      </c>
      <c r="AM11" s="62">
        <f t="shared" si="5"/>
        <v>233.99881037881136</v>
      </c>
      <c r="AN11" s="62">
        <f ca="1">AVERAGE(OFFSET($AM$3,0,0,'Données projet'!$E$10+1,1))-AVERAGE(OFFSET($H$3,0,0,'Données projet'!$E$10+1,1))</f>
        <v>518.18933270904506</v>
      </c>
      <c r="AO11" s="62">
        <f t="shared" si="36"/>
        <v>272.44431899810411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58.068058219151396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2.8518518518518516</v>
      </c>
      <c r="BD11" s="13">
        <f>IF('Données projet'!$A$88&gt;35,BD10+BC11-BL10,IF(A11&lt;'Données projet'!$A$88,$BA$205^A11,IF(A11='Données projet'!$A$88,'Données projet'!$B$88,BD10+BC11-BL10)))</f>
        <v>3.6220981534218315</v>
      </c>
      <c r="BE11" s="14">
        <f>BD11*VLOOKUP('Données projet'!$B$11,Paramètres!$A$1:$I$89,3,0)*VLOOKUP('Données projet'!$B$11,Paramètres!$A$1:$I$89,5,0)</f>
        <v>3.1077602156359316</v>
      </c>
      <c r="BF11" s="14">
        <f t="shared" si="37"/>
        <v>1.2551010077107021</v>
      </c>
      <c r="BG11" s="22">
        <f t="shared" si="7"/>
        <v>7.5986499639953875</v>
      </c>
      <c r="BH11" s="62">
        <f t="shared" si="8"/>
        <v>230.29264121199495</v>
      </c>
      <c r="BI11" s="62">
        <f ca="1">AVERAGE(OFFSET($BH$3,0,0,'Données projet'!$E$11+1,1))-AVERAGE(OFFSET($H$3,0,0,'Données projet'!$E$11+1,1))</f>
        <v>464.73160475167867</v>
      </c>
      <c r="BJ11" s="62">
        <f t="shared" si="38"/>
        <v>241.31968359962227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58.068058219151396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1.1000000000000001</v>
      </c>
      <c r="BY11" s="13">
        <f>IF('Données projet'!$A$114&gt;35,BY10+BX11-CG10,IF(A11&lt;'Données projet'!$A$114,$BV$205^A11,IF(A11='Données projet'!$A$114,'Données projet'!$B$114,BY10+BX11-CG10)))</f>
        <v>6.8094831275223076</v>
      </c>
      <c r="BZ11" s="14">
        <f>BY11*VLOOKUP('Données projet'!$B$12,Paramètres!$A$1:$I$89,3,0)*VLOOKUP('Données projet'!$B$12,Paramètres!$A$1:$I$89,5,0)</f>
        <v>4.4615733451526163</v>
      </c>
      <c r="CA11" s="14">
        <f t="shared" si="39"/>
        <v>1.7275860727911023</v>
      </c>
      <c r="CB11" s="22">
        <f t="shared" si="10"/>
        <v>10.779452652918643</v>
      </c>
      <c r="CC11" s="62">
        <f t="shared" si="11"/>
        <v>233.4734439009182</v>
      </c>
      <c r="CD11" s="62">
        <f ca="1">AVERAGE(OFFSET($CC$3,0,0,'Données projet'!$E$12+1,1))-AVERAGE(OFFSET($H$3,0,0,'Données projet'!$E$12+1,1))</f>
        <v>292.13851489852607</v>
      </c>
      <c r="CE11" s="62">
        <f t="shared" si="40"/>
        <v>280.10866188737418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58.068058219151396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0.9</v>
      </c>
      <c r="CT11" s="13">
        <f>IF('Données projet'!$A$140&gt;35,CT10+CS11-DB10,IF(A11&lt;'Données projet'!$A$140,$CQ$205^A11,IF(A11='Données projet'!$A$140,'Données projet'!$B$140,CT10+CS11-DB10)))</f>
        <v>5.7995461347952899</v>
      </c>
      <c r="CU11" s="18">
        <f>CT11*VLOOKUP('Données projet'!$B$13,Paramètres!$A$1:$I$89,3,0)*VLOOKUP('Données projet'!$B$13,Paramètres!$A$1:$I$89,5,0)</f>
        <v>4.7045918245459397</v>
      </c>
      <c r="CV11" s="14">
        <f t="shared" si="41"/>
        <v>1.8104746967554695</v>
      </c>
      <c r="CW11" s="22">
        <f t="shared" si="13"/>
        <v>11.347074191266621</v>
      </c>
      <c r="CX11" s="62">
        <f t="shared" si="14"/>
        <v>234.04106543926616</v>
      </c>
      <c r="CY11" s="62">
        <f ca="1">AVERAGE(OFFSET($CX$3,0,0,'Données projet'!$E$13+1,1))-AVERAGE(OFFSET($H$3,0,0,'Données projet'!$E$13+1,1))</f>
        <v>265.25572936607409</v>
      </c>
      <c r="CZ11" s="62">
        <f t="shared" si="42"/>
        <v>307.96244316129071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58.068058219151396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3.1623931623931623</v>
      </c>
      <c r="DO11" s="13">
        <f>IF('Données projet'!$A$166&gt;35,DO10+DN11-DW10,IF(A11&lt;'Données projet'!$A$166,$DL$205^A11,IF(A11='Données projet'!$A$166,'Données projet'!$B$166,DO10+DN11-DW10)))</f>
        <v>7.8329219313664717</v>
      </c>
      <c r="DP11" s="18">
        <f>DO11*VLOOKUP('Données projet'!$B$14,Paramètres!$A$1:$I$89,3,0)*VLOOKUP('Données projet'!$B$14,Paramètres!$A$1:$I$89,5,0)</f>
        <v>7.4538085098883347</v>
      </c>
      <c r="DQ11" s="14">
        <f t="shared" si="43"/>
        <v>2.7188513904855807</v>
      </c>
      <c r="DR11" s="22">
        <f t="shared" si="16"/>
        <v>17.717382659817904</v>
      </c>
      <c r="DS11" s="62">
        <f t="shared" si="17"/>
        <v>240.41137390781745</v>
      </c>
      <c r="DT11" s="62">
        <f ca="1">AVERAGE(OFFSET($DS$3,0,0,'Données projet'!$E$14+1,1))-AVERAGE(OFFSET($H$3,0,0,'Données projet'!$E$14+1,1))</f>
        <v>425.41154182732936</v>
      </c>
      <c r="DU11" s="62">
        <f t="shared" si="44"/>
        <v>306.44721925744591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58.068058219151396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1.1099999999999999</v>
      </c>
      <c r="EJ11" s="13">
        <f>IF('Données projet'!$A$192&gt;35,EJ10+EI11-ER10,IF(A11&lt;'Données projet'!$A$192,$EG$205^A11,IF(A11='Données projet'!$A$192,'Données projet'!$B$192,EJ10+EI11-ER10)))</f>
        <v>6.8589617827012184</v>
      </c>
      <c r="EK11" s="18">
        <f>EJ11*VLOOKUP('Données projet'!$B$15,Paramètres!$A$1:$I$89,3,0)*VLOOKUP('Données projet'!$B$15,Paramètres!$A$1:$I$89,5,0)</f>
        <v>5.0289907790765334</v>
      </c>
      <c r="EL11" s="14">
        <f t="shared" si="45"/>
        <v>1.920350640001538</v>
      </c>
      <c r="EM11" s="22">
        <f t="shared" si="19"/>
        <v>12.103436304894307</v>
      </c>
      <c r="EN11" s="62">
        <f t="shared" si="20"/>
        <v>234.79742755289385</v>
      </c>
      <c r="EO11" s="62">
        <f ca="1">AVERAGE(OFFSET($EN$3,0,0,'Données projet'!$E$15+1,1))-AVERAGE(OFFSET($H$3,0,0,'Données projet'!$E$15+1,1))</f>
        <v>357.57626046668958</v>
      </c>
      <c r="EP11" s="62">
        <f t="shared" si="46"/>
        <v>386.90439522046199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58.068058219151396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2.6666666666666665</v>
      </c>
      <c r="FE11" s="13">
        <f>IF('Données projet'!$A$218&gt;35,FE10+FD11-FM10,IF(A11&lt;'Données projet'!$A$218,$FB$205^A11,IF(A11='Données projet'!$A$218,'Données projet'!$B$218,FE10+FD11-FM10)))</f>
        <v>7.1520739352994367</v>
      </c>
      <c r="FF11" s="18">
        <f>FE11*VLOOKUP('Données projet'!$B$16,Paramètres!$A$1:$I$89,3,0)*VLOOKUP('Données projet'!$B$16,Paramètres!$A$1:$I$89,5,0)</f>
        <v>5.5786176695335605</v>
      </c>
      <c r="FG11" s="14">
        <f t="shared" si="47"/>
        <v>2.1046649418345189</v>
      </c>
      <c r="FH11" s="22">
        <f t="shared" si="22"/>
        <v>13.381717214799407</v>
      </c>
      <c r="FI11" s="62">
        <f t="shared" si="23"/>
        <v>236.07570846279896</v>
      </c>
      <c r="FJ11" s="62">
        <f ca="1">AVERAGE(OFFSET($FI$3,0,0,'Données projet'!$E$16+1,1))-AVERAGE(OFFSET($H$3,0,0,'Données projet'!$E$16+1,1))</f>
        <v>303.56663121833833</v>
      </c>
      <c r="FK11" s="62">
        <f t="shared" si="48"/>
        <v>293.97736357938038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58.068058219151396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1.1099999999999999</v>
      </c>
      <c r="FZ11" s="13">
        <f>IF('Données projet'!$A$244&gt;35,FZ10+FY11-GH10,IF(A11&lt;'Données projet'!$A$244,$FW$205^A11,IF(A11='Données projet'!$A$244,'Données projet'!$B$244,FZ10+FY11-GH10)))</f>
        <v>6.8589617827012184</v>
      </c>
      <c r="GA11" s="18">
        <f>FZ11*VLOOKUP('Données projet'!$B$17,Paramètres!$A$1:$I$89,3,0)*VLOOKUP('Données projet'!$B$17,Paramètres!$A$1:$I$89,5,0)</f>
        <v>5.4569899943170901</v>
      </c>
      <c r="GB11" s="14">
        <f t="shared" si="49"/>
        <v>2.0640674009203073</v>
      </c>
      <c r="GC11" s="22">
        <f t="shared" si="25"/>
        <v>13.0991749633718</v>
      </c>
      <c r="GD11" s="62">
        <f t="shared" si="26"/>
        <v>235.79316621137136</v>
      </c>
      <c r="GE11" s="62">
        <f ca="1">AVERAGE(OFFSET($GD$3,0,0,'Données projet'!$E$17+1,1))-AVERAGE(OFFSET($H$3,0,0,'Données projet'!$E$17+1,1))</f>
        <v>383.71724511025587</v>
      </c>
      <c r="GF11" s="62">
        <f t="shared" si="50"/>
        <v>415.10774719533185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58.068058219151396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3.3333333333333335</v>
      </c>
      <c r="GU11" s="13">
        <f>IF('Données projet'!$A$270&gt;35,GU10+GT11-HC10,IF(A11&lt;'Données projet'!$A$270,$GR$205^A11,IF(A11='Données projet'!$A$270,'Données projet'!$B$270,GU10+GT11-HC10)))</f>
        <v>8.0559606396516319</v>
      </c>
      <c r="GV11" s="18">
        <f>GU11*VLOOKUP('Données projet'!$B$18,Paramètres!$A$1:$I$89,3,0)*VLOOKUP('Données projet'!$B$18,Paramètres!$A$1:$I$89,5,0)</f>
        <v>5.4039383970783144</v>
      </c>
      <c r="GW11" s="14">
        <f t="shared" si="51"/>
        <v>2.0463266728603036</v>
      </c>
      <c r="GX11" s="22">
        <f t="shared" si="28"/>
        <v>12.975878330143091</v>
      </c>
      <c r="GY11" s="62">
        <f t="shared" si="29"/>
        <v>235.66986957814265</v>
      </c>
      <c r="GZ11" s="62">
        <f ca="1">AVERAGE(OFFSET($GY$3,0,0,'Données projet'!$E$18+1,1))-AVERAGE(OFFSET($H$3,0,0,'Données projet'!$E$18+1,1))</f>
        <v>329.93956600482801</v>
      </c>
      <c r="HA11" s="62">
        <f t="shared" si="52"/>
        <v>268.69186630599165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2.7450000000000001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10.065</v>
      </c>
      <c r="H12" s="70">
        <f t="shared" si="1"/>
        <v>216.40666666666667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58.275050733223623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239.58572382225418</v>
      </c>
      <c r="S12" s="62">
        <f ca="1">AVERAGE(OFFSET($R$3,0,0,'Données projet'!$E$9+1,1))-AVERAGE(OFFSET($H$3,0,0,'Données projet'!$E$9+1,1))</f>
        <v>551.67307965706379</v>
      </c>
      <c r="T12" s="62">
        <f t="shared" si="34"/>
        <v>288.70738860523943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58.275050733223623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5.8078266502347455</v>
      </c>
      <c r="AK12" s="14">
        <f t="shared" si="35"/>
        <v>2.1808938198181922</v>
      </c>
      <c r="AL12" s="22">
        <f t="shared" si="4"/>
        <v>13.913688152008866</v>
      </c>
      <c r="AM12" s="62">
        <f t="shared" si="5"/>
        <v>238.5888741738288</v>
      </c>
      <c r="AN12" s="62">
        <f ca="1">AVERAGE(OFFSET($AM$3,0,0,'Données projet'!$E$10+1,1))-AVERAGE(OFFSET($H$3,0,0,'Données projet'!$E$10+1,1))</f>
        <v>518.18933270904506</v>
      </c>
      <c r="AO12" s="62">
        <f t="shared" si="36"/>
        <v>272.44431899810411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58.275050733223623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2.8518518518518516</v>
      </c>
      <c r="BD12" s="13">
        <f>IF('Données projet'!$A$88&gt;35,BD11+BC12-BL11,IF(A12&lt;'Données projet'!$A$88,$BA$205^A12,IF(A12='Données projet'!$A$88,'Données projet'!$B$88,BD11+BC12-BL11)))</f>
        <v>4.254320865115008</v>
      </c>
      <c r="BE12" s="14">
        <f>BD12*VLOOKUP('Données projet'!$B$11,Paramètres!$A$1:$I$89,3,0)*VLOOKUP('Données projet'!$B$11,Paramètres!$A$1:$I$89,5,0)</f>
        <v>3.6502073022686772</v>
      </c>
      <c r="BF12" s="14">
        <f t="shared" si="37"/>
        <v>1.4468244322500574</v>
      </c>
      <c r="BG12" s="22">
        <f t="shared" si="7"/>
        <v>8.8773302709534629</v>
      </c>
      <c r="BH12" s="62">
        <f t="shared" si="8"/>
        <v>233.55251629277339</v>
      </c>
      <c r="BI12" s="62">
        <f ca="1">AVERAGE(OFFSET($BH$3,0,0,'Données projet'!$E$11+1,1))-AVERAGE(OFFSET($H$3,0,0,'Données projet'!$E$11+1,1))</f>
        <v>464.73160475167867</v>
      </c>
      <c r="BJ12" s="62">
        <f t="shared" si="38"/>
        <v>241.31968359962227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58.275050733223623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1.1000000000000001</v>
      </c>
      <c r="BY12" s="13">
        <f>IF('Données projet'!$A$114&gt;35,BY11+BX12-CG11,IF(A12&lt;'Données projet'!$A$114,$BV$205^A12,IF(A12='Données projet'!$A$114,'Données projet'!$B$114,BY11+BX12-CG11)))</f>
        <v>8.6547278641645029</v>
      </c>
      <c r="BZ12" s="14">
        <f>BY12*VLOOKUP('Données projet'!$B$12,Paramètres!$A$1:$I$89,3,0)*VLOOKUP('Données projet'!$B$12,Paramètres!$A$1:$I$89,5,0)</f>
        <v>5.6705776966005823</v>
      </c>
      <c r="CA12" s="14">
        <f t="shared" si="39"/>
        <v>2.1352914049034637</v>
      </c>
      <c r="CB12" s="22">
        <f t="shared" si="10"/>
        <v>13.59522201845288</v>
      </c>
      <c r="CC12" s="62">
        <f t="shared" si="11"/>
        <v>238.27040804027283</v>
      </c>
      <c r="CD12" s="62">
        <f ca="1">AVERAGE(OFFSET($CC$3,0,0,'Données projet'!$E$12+1,1))-AVERAGE(OFFSET($H$3,0,0,'Données projet'!$E$12+1,1))</f>
        <v>292.13851489852607</v>
      </c>
      <c r="CE12" s="62">
        <f t="shared" si="40"/>
        <v>280.10866188737418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58.275050733223623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0.9</v>
      </c>
      <c r="CT12" s="13">
        <f>IF('Données projet'!$A$140&gt;35,CT11+CS12-DB11,IF(A12&lt;'Données projet'!$A$140,$CQ$205^A12,IF(A12='Données projet'!$A$140,'Données projet'!$B$140,CT11+CS12-DB11)))</f>
        <v>7.2246740558420788</v>
      </c>
      <c r="CU12" s="18">
        <f>CT12*VLOOKUP('Données projet'!$B$13,Paramètres!$A$1:$I$89,3,0)*VLOOKUP('Données projet'!$B$13,Paramètres!$A$1:$I$89,5,0)</f>
        <v>5.8606555940990948</v>
      </c>
      <c r="CV12" s="14">
        <f t="shared" si="41"/>
        <v>2.1984132231982314</v>
      </c>
      <c r="CW12" s="22">
        <f t="shared" si="13"/>
        <v>14.036211523459508</v>
      </c>
      <c r="CX12" s="62">
        <f t="shared" si="14"/>
        <v>238.71139754527945</v>
      </c>
      <c r="CY12" s="62">
        <f ca="1">AVERAGE(OFFSET($CX$3,0,0,'Données projet'!$E$13+1,1))-AVERAGE(OFFSET($H$3,0,0,'Données projet'!$E$13+1,1))</f>
        <v>265.25572936607409</v>
      </c>
      <c r="CZ12" s="62">
        <f t="shared" si="42"/>
        <v>307.96244316129071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58.275050733223623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3.1623931623931623</v>
      </c>
      <c r="DO12" s="13">
        <f>IF('Données projet'!$A$166&gt;35,DO11+DN12-DW11,IF(A12&lt;'Données projet'!$A$166,$DL$205^A12,IF(A12='Données projet'!$A$166,'Données projet'!$B$166,DO11+DN12-DW11)))</f>
        <v>10.131278941616319</v>
      </c>
      <c r="DP12" s="18">
        <f>DO12*VLOOKUP('Données projet'!$B$14,Paramètres!$A$1:$I$89,3,0)*VLOOKUP('Données projet'!$B$14,Paramètres!$A$1:$I$89,5,0)</f>
        <v>9.6409250408420899</v>
      </c>
      <c r="DQ12" s="14">
        <f t="shared" si="43"/>
        <v>3.412866918119311</v>
      </c>
      <c r="DR12" s="22">
        <f t="shared" si="16"/>
        <v>22.735354328524441</v>
      </c>
      <c r="DS12" s="62">
        <f t="shared" si="17"/>
        <v>247.41054035034438</v>
      </c>
      <c r="DT12" s="62">
        <f ca="1">AVERAGE(OFFSET($DS$3,0,0,'Données projet'!$E$14+1,1))-AVERAGE(OFFSET($H$3,0,0,'Données projet'!$E$14+1,1))</f>
        <v>425.41154182732936</v>
      </c>
      <c r="DU12" s="62">
        <f t="shared" si="44"/>
        <v>306.44721925744591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58.275050733223623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1.1099999999999999</v>
      </c>
      <c r="EJ12" s="13">
        <f>IF('Données projet'!$A$192&gt;35,EJ11+EI12-ER11,IF(A12&lt;'Données projet'!$A$192,$EG$205^A12,IF(A12='Données projet'!$A$192,'Données projet'!$B$192,EJ11+EI12-ER11)))</f>
        <v>8.7255071937385704</v>
      </c>
      <c r="EK12" s="18">
        <f>EJ12*VLOOKUP('Données projet'!$B$15,Paramètres!$A$1:$I$89,3,0)*VLOOKUP('Données projet'!$B$15,Paramètres!$A$1:$I$89,5,0)</f>
        <v>6.3975418744491197</v>
      </c>
      <c r="EL12" s="14">
        <f t="shared" si="45"/>
        <v>2.3754466052815975</v>
      </c>
      <c r="EM12" s="22">
        <f t="shared" si="19"/>
        <v>15.279621602197665</v>
      </c>
      <c r="EN12" s="62">
        <f t="shared" si="20"/>
        <v>239.9548076240176</v>
      </c>
      <c r="EO12" s="62">
        <f ca="1">AVERAGE(OFFSET($EN$3,0,0,'Données projet'!$E$15+1,1))-AVERAGE(OFFSET($H$3,0,0,'Données projet'!$E$15+1,1))</f>
        <v>357.57626046668958</v>
      </c>
      <c r="EP12" s="62">
        <f t="shared" si="46"/>
        <v>386.90439522046199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58.275050733223623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2.6666666666666665</v>
      </c>
      <c r="FE12" s="13">
        <f>IF('Données projet'!$A$218&gt;35,FE11+FD12-FM11,IF(A12&lt;'Données projet'!$A$218,$FB$205^A12,IF(A12='Données projet'!$A$218,'Données projet'!$B$218,FE11+FD12-FM11)))</f>
        <v>9.1461010385465205</v>
      </c>
      <c r="FF12" s="18">
        <f>FE12*VLOOKUP('Données projet'!$B$16,Paramètres!$A$1:$I$89,3,0)*VLOOKUP('Données projet'!$B$16,Paramètres!$A$1:$I$89,5,0)</f>
        <v>7.1339588100662858</v>
      </c>
      <c r="FG12" s="14">
        <f t="shared" si="47"/>
        <v>2.6155015444227643</v>
      </c>
      <c r="FH12" s="22">
        <f t="shared" si="22"/>
        <v>16.980310117401761</v>
      </c>
      <c r="FI12" s="62">
        <f t="shared" si="23"/>
        <v>241.6554961392217</v>
      </c>
      <c r="FJ12" s="62">
        <f ca="1">AVERAGE(OFFSET($FI$3,0,0,'Données projet'!$E$16+1,1))-AVERAGE(OFFSET($H$3,0,0,'Données projet'!$E$16+1,1))</f>
        <v>303.56663121833833</v>
      </c>
      <c r="FK12" s="62">
        <f t="shared" si="48"/>
        <v>293.97736357938038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58.275050733223623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1.1099999999999999</v>
      </c>
      <c r="FZ12" s="13">
        <f>IF('Données projet'!$A$244&gt;35,FZ11+FY12-GH11,IF(A12&lt;'Données projet'!$A$244,$FW$205^A12,IF(A12='Données projet'!$A$244,'Données projet'!$B$244,FZ11+FY12-GH11)))</f>
        <v>8.7255071937385704</v>
      </c>
      <c r="GA12" s="18">
        <f>FZ12*VLOOKUP('Données projet'!$B$17,Paramètres!$A$1:$I$89,3,0)*VLOOKUP('Données projet'!$B$17,Paramètres!$A$1:$I$89,5,0)</f>
        <v>6.9420135233384066</v>
      </c>
      <c r="GB12" s="14">
        <f t="shared" si="49"/>
        <v>2.5532222076821487</v>
      </c>
      <c r="GC12" s="22">
        <f t="shared" si="25"/>
        <v>16.5375355648608</v>
      </c>
      <c r="GD12" s="62">
        <f t="shared" si="26"/>
        <v>241.21272158668074</v>
      </c>
      <c r="GE12" s="62">
        <f ca="1">AVERAGE(OFFSET($GD$3,0,0,'Données projet'!$E$17+1,1))-AVERAGE(OFFSET($H$3,0,0,'Données projet'!$E$17+1,1))</f>
        <v>383.71724511025587</v>
      </c>
      <c r="GF12" s="62">
        <f t="shared" si="50"/>
        <v>415.10774719533185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58.275050733223623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3.3333333333333335</v>
      </c>
      <c r="GU12" s="13">
        <f>IF('Données projet'!$A$270&gt;35,GU11+GT12-HC11,IF(A12&lt;'Données projet'!$A$270,$GR$205^A12,IF(A12='Données projet'!$A$270,'Données projet'!$B$270,GU11+GT12-HC11)))</f>
        <v>10.456395525912733</v>
      </c>
      <c r="GV12" s="18">
        <f>GU12*VLOOKUP('Données projet'!$B$18,Paramètres!$A$1:$I$89,3,0)*VLOOKUP('Données projet'!$B$18,Paramètres!$A$1:$I$89,5,0)</f>
        <v>7.0141501187822621</v>
      </c>
      <c r="GW12" s="14">
        <f t="shared" si="51"/>
        <v>2.5766511556462244</v>
      </c>
      <c r="GX12" s="22">
        <f t="shared" si="28"/>
        <v>16.70397888629628</v>
      </c>
      <c r="GY12" s="62">
        <f t="shared" si="29"/>
        <v>241.37916490811622</v>
      </c>
      <c r="GZ12" s="62">
        <f ca="1">AVERAGE(OFFSET($GY$3,0,0,'Données projet'!$E$18+1,1))-AVERAGE(OFFSET($H$3,0,0,'Données projet'!$E$18+1,1))</f>
        <v>329.93956600482801</v>
      </c>
      <c r="HA12" s="62">
        <f t="shared" si="52"/>
        <v>268.69186630599165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2.7450000000000001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10.065</v>
      </c>
      <c r="H13" s="70">
        <f t="shared" si="1"/>
        <v>216.40666666666667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58.478452389942632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244.99775265601983</v>
      </c>
      <c r="S13" s="62">
        <f ca="1">AVERAGE(OFFSET($R$3,0,0,'Données projet'!$E$9+1,1))-AVERAGE(OFFSET($H$3,0,0,'Données projet'!$E$9+1,1))</f>
        <v>551.67307965706379</v>
      </c>
      <c r="T13" s="62">
        <f t="shared" si="34"/>
        <v>288.70738860523943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58.478452389942632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7.1974687550554899</v>
      </c>
      <c r="AK13" s="14">
        <f t="shared" si="35"/>
        <v>2.6360650660630816</v>
      </c>
      <c r="AL13" s="22">
        <f t="shared" si="4"/>
        <v>17.126738071781514</v>
      </c>
      <c r="AM13" s="62">
        <f t="shared" si="5"/>
        <v>243.76995239046008</v>
      </c>
      <c r="AN13" s="62">
        <f ca="1">AVERAGE(OFFSET($AM$3,0,0,'Données projet'!$E$10+1,1))-AVERAGE(OFFSET($H$3,0,0,'Données projet'!$E$10+1,1))</f>
        <v>518.18933270904506</v>
      </c>
      <c r="AO13" s="62">
        <f t="shared" si="36"/>
        <v>272.44431899810411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58.478452389942632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2.8518518518518516</v>
      </c>
      <c r="BD13" s="13">
        <f>IF('Données projet'!$A$88&gt;35,BD12+BC13-BL12,IF(A13&lt;'Données projet'!$A$88,$BA$205^A13,IF(A13='Données projet'!$A$88,'Données projet'!$B$88,BD12+BC13-BL12)))</f>
        <v>4.9968955165542326</v>
      </c>
      <c r="BE13" s="14">
        <f>BD13*VLOOKUP('Données projet'!$B$11,Paramètres!$A$1:$I$89,3,0)*VLOOKUP('Données projet'!$B$11,Paramètres!$A$1:$I$89,5,0)</f>
        <v>4.287336353203532</v>
      </c>
      <c r="BF13" s="14">
        <f t="shared" si="37"/>
        <v>1.6678346403162176</v>
      </c>
      <c r="BG13" s="22">
        <f t="shared" si="7"/>
        <v>10.371922813713566</v>
      </c>
      <c r="BH13" s="62">
        <f t="shared" si="8"/>
        <v>237.01513713239211</v>
      </c>
      <c r="BI13" s="62">
        <f ca="1">AVERAGE(OFFSET($BH$3,0,0,'Données projet'!$E$11+1,1))-AVERAGE(OFFSET($H$3,0,0,'Données projet'!$E$11+1,1))</f>
        <v>464.73160475167867</v>
      </c>
      <c r="BJ13" s="62">
        <f t="shared" si="38"/>
        <v>241.31968359962227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58.478452389942632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11</v>
      </c>
      <c r="BW13" s="13">
        <f>VLOOKUP(A13,'Données projet'!$A$113:$I$133,9,0)</f>
        <v>1.1000000000000001</v>
      </c>
      <c r="BX13" s="13">
        <f t="array" ref="BX13">INDEX(BW:BW,MIN(IF(ISNUMBER(BW13:BW209),ROW(BW13:BW209),"")))</f>
        <v>1.1000000000000001</v>
      </c>
      <c r="BY13" s="13">
        <f>IF('Données projet'!$A$114&gt;35,BY12+BX13-CG12,IF(A13&lt;'Données projet'!$A$114,$BV$205^A13,IF(A13='Données projet'!$A$114,'Données projet'!$B$114,BY12+BX13-CG12)))</f>
        <v>11</v>
      </c>
      <c r="BZ13" s="14">
        <f>BY13*VLOOKUP('Données projet'!$B$12,Paramètres!$A$1:$I$89,3,0)*VLOOKUP('Données projet'!$B$12,Paramètres!$A$1:$I$89,5,0)</f>
        <v>7.2072000000000003</v>
      </c>
      <c r="CA13" s="14">
        <f t="shared" si="39"/>
        <v>2.6392140198770462</v>
      </c>
      <c r="CB13" s="22">
        <f t="shared" si="10"/>
        <v>17.149171084619187</v>
      </c>
      <c r="CC13" s="62">
        <f t="shared" si="11"/>
        <v>243.79238540329774</v>
      </c>
      <c r="CD13" s="62">
        <f ca="1">AVERAGE(OFFSET($CC$3,0,0,'Données projet'!$E$12+1,1))-AVERAGE(OFFSET($H$3,0,0,'Données projet'!$E$12+1,1))</f>
        <v>292.13851489852607</v>
      </c>
      <c r="CE13" s="62">
        <f t="shared" si="40"/>
        <v>280.10866188737418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58.478452389942632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9</v>
      </c>
      <c r="CR13" s="13">
        <f>VLOOKUP(A13,'Données projet'!$A$139:$I$159,9,0)</f>
        <v>0.9</v>
      </c>
      <c r="CS13" s="13">
        <f t="array" ref="CS13">INDEX(CR:CR,MIN(IF(ISNUMBER(CR13:CR209),ROW(CR13:CR209),"")))</f>
        <v>0.9</v>
      </c>
      <c r="CT13" s="13">
        <f>IF('Données projet'!$A$140&gt;35,CT12+CS13-DB12,IF(A13&lt;'Données projet'!$A$140,$CQ$205^A13,IF(A13='Données projet'!$A$140,'Données projet'!$B$140,CT12+CS13-DB12)))</f>
        <v>9</v>
      </c>
      <c r="CU13" s="18">
        <f>CT13*VLOOKUP('Données projet'!$B$13,Paramètres!$A$1:$I$89,3,0)*VLOOKUP('Données projet'!$B$13,Paramètres!$A$1:$I$89,5,0)</f>
        <v>7.3007999999999997</v>
      </c>
      <c r="CV13" s="14">
        <f t="shared" si="41"/>
        <v>2.6694770761469542</v>
      </c>
      <c r="CW13" s="22">
        <f t="shared" si="13"/>
        <v>17.364899240955943</v>
      </c>
      <c r="CX13" s="62">
        <f t="shared" si="14"/>
        <v>244.0081135596345</v>
      </c>
      <c r="CY13" s="62">
        <f ca="1">AVERAGE(OFFSET($CX$3,0,0,'Données projet'!$E$13+1,1))-AVERAGE(OFFSET($H$3,0,0,'Données projet'!$E$13+1,1))</f>
        <v>265.25572936607409</v>
      </c>
      <c r="CZ13" s="62">
        <f t="shared" si="42"/>
        <v>307.96244316129071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58.478452389942632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3.1623931623931623</v>
      </c>
      <c r="DO13" s="13">
        <f>IF('Données projet'!$A$166&gt;35,DO12+DN13-DW12,IF(A13&lt;'Données projet'!$A$166,$DL$205^A13,IF(A13='Données projet'!$A$166,'Données projet'!$B$166,DO12+DN13-DW12)))</f>
        <v>13.104026044458736</v>
      </c>
      <c r="DP13" s="18">
        <f>DO13*VLOOKUP('Données projet'!$B$14,Paramètres!$A$1:$I$89,3,0)*VLOOKUP('Données projet'!$B$14,Paramètres!$A$1:$I$89,5,0)</f>
        <v>12.469791183906933</v>
      </c>
      <c r="DQ13" s="14">
        <f t="shared" si="43"/>
        <v>4.2840372377664062</v>
      </c>
      <c r="DR13" s="22">
        <f t="shared" si="16"/>
        <v>29.179584501081067</v>
      </c>
      <c r="DS13" s="62">
        <f t="shared" si="17"/>
        <v>255.82279881975961</v>
      </c>
      <c r="DT13" s="62">
        <f ca="1">AVERAGE(OFFSET($DS$3,0,0,'Données projet'!$E$14+1,1))-AVERAGE(OFFSET($H$3,0,0,'Données projet'!$E$14+1,1))</f>
        <v>425.41154182732936</v>
      </c>
      <c r="DU13" s="62">
        <f t="shared" si="44"/>
        <v>306.44721925744591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58.478452389942632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>
        <f>VLOOKUP(A13,'Données projet'!$A$191:$I$211,2,0)</f>
        <v>11.1</v>
      </c>
      <c r="EH13" s="13">
        <f>VLOOKUP(A13,'Données projet'!$A$191:$I$211,9,0)</f>
        <v>1.1099999999999999</v>
      </c>
      <c r="EI13" s="13">
        <f t="array" ref="EI13">INDEX(EH:EH,MIN(IF(ISNUMBER(EH13:EH209),ROW(EH13:EH209),"")))</f>
        <v>1.1099999999999999</v>
      </c>
      <c r="EJ13" s="13">
        <f>IF('Données projet'!$A$192&gt;35,EJ12+EI13-ER12,IF(A13&lt;'Données projet'!$A$192,$EG$205^A13,IF(A13='Données projet'!$A$192,'Données projet'!$B$192,EJ12+EI13-ER12)))</f>
        <v>11.1</v>
      </c>
      <c r="EK13" s="18">
        <f>EJ13*VLOOKUP('Données projet'!$B$15,Paramètres!$A$1:$I$89,3,0)*VLOOKUP('Données projet'!$B$15,Paramètres!$A$1:$I$89,5,0)</f>
        <v>8.1385199999999998</v>
      </c>
      <c r="EL13" s="14">
        <f t="shared" si="45"/>
        <v>2.9383938833896224</v>
      </c>
      <c r="EM13" s="22">
        <f t="shared" si="19"/>
        <v>19.292291680236925</v>
      </c>
      <c r="EN13" s="62">
        <f t="shared" si="20"/>
        <v>245.93550599891549</v>
      </c>
      <c r="EO13" s="62">
        <f ca="1">AVERAGE(OFFSET($EN$3,0,0,'Données projet'!$E$15+1,1))-AVERAGE(OFFSET($H$3,0,0,'Données projet'!$E$15+1,1))</f>
        <v>357.57626046668958</v>
      </c>
      <c r="EP13" s="62">
        <f t="shared" si="46"/>
        <v>386.90439522046199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58.478452389942632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2.6666666666666665</v>
      </c>
      <c r="FE13" s="13">
        <f>IF('Données projet'!$A$218&gt;35,FE12+FD13-FM12,IF(A13&lt;'Données projet'!$A$218,$FB$205^A13,IF(A13='Données projet'!$A$218,'Données projet'!$B$218,FE12+FD13-FM12)))</f>
        <v>11.696070952851455</v>
      </c>
      <c r="FF13" s="18">
        <f>FE13*VLOOKUP('Données projet'!$B$16,Paramètres!$A$1:$I$89,3,0)*VLOOKUP('Données projet'!$B$16,Paramètres!$A$1:$I$89,5,0)</f>
        <v>9.1229353432241354</v>
      </c>
      <c r="FG13" s="14">
        <f t="shared" si="47"/>
        <v>3.2503265450485803</v>
      </c>
      <c r="FH13" s="22">
        <f t="shared" si="22"/>
        <v>21.550097788741649</v>
      </c>
      <c r="FI13" s="62">
        <f t="shared" si="23"/>
        <v>248.19331210742021</v>
      </c>
      <c r="FJ13" s="62">
        <f ca="1">AVERAGE(OFFSET($FI$3,0,0,'Données projet'!$E$16+1,1))-AVERAGE(OFFSET($H$3,0,0,'Données projet'!$E$16+1,1))</f>
        <v>303.56663121833833</v>
      </c>
      <c r="FK13" s="62">
        <f t="shared" si="48"/>
        <v>293.97736357938038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58.478452389942632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>
        <f>VLOOKUP(A13,'Données projet'!$A$243:$I$263,2,0)</f>
        <v>11.1</v>
      </c>
      <c r="FX13" s="13">
        <f>VLOOKUP(A13,'Données projet'!$A$243:$I$263,9,0)</f>
        <v>1.1099999999999999</v>
      </c>
      <c r="FY13" s="13">
        <f t="array" ref="FY13">INDEX(FX:FX,MIN(IF(ISNUMBER(FX13:FX209),ROW(FX13:FX209),"")))</f>
        <v>1.1099999999999999</v>
      </c>
      <c r="FZ13" s="13">
        <f>IF('Données projet'!$A$244&gt;35,FZ12+FY13-GH12,IF(A13&lt;'Données projet'!$A$244,$FW$205^A13,IF(A13='Données projet'!$A$244,'Données projet'!$B$244,FZ12+FY13-GH12)))</f>
        <v>11.1</v>
      </c>
      <c r="GA13" s="18">
        <f>FZ13*VLOOKUP('Données projet'!$B$17,Paramètres!$A$1:$I$89,3,0)*VLOOKUP('Données projet'!$B$17,Paramètres!$A$1:$I$89,5,0)</f>
        <v>8.8311599999999988</v>
      </c>
      <c r="GB13" s="14">
        <f t="shared" si="49"/>
        <v>3.1582997914189717</v>
      </c>
      <c r="GC13" s="22">
        <f t="shared" si="25"/>
        <v>20.881642470054704</v>
      </c>
      <c r="GD13" s="62">
        <f t="shared" si="26"/>
        <v>247.52485678873327</v>
      </c>
      <c r="GE13" s="62">
        <f ca="1">AVERAGE(OFFSET($GD$3,0,0,'Données projet'!$E$17+1,1))-AVERAGE(OFFSET($H$3,0,0,'Données projet'!$E$17+1,1))</f>
        <v>383.71724511025587</v>
      </c>
      <c r="GF13" s="62">
        <f t="shared" si="50"/>
        <v>415.10774719533185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58.478452389942632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3.3333333333333335</v>
      </c>
      <c r="GU13" s="13">
        <f>IF('Données projet'!$A$270&gt;35,GU12+GT13-HC12,IF(A13&lt;'Données projet'!$A$270,$GR$205^A13,IF(A13='Données projet'!$A$270,'Données projet'!$B$270,GU12+GT13-HC12)))</f>
        <v>13.572088082974533</v>
      </c>
      <c r="GV13" s="18">
        <f>GU13*VLOOKUP('Données projet'!$B$18,Paramètres!$A$1:$I$89,3,0)*VLOOKUP('Données projet'!$B$18,Paramètres!$A$1:$I$89,5,0)</f>
        <v>9.1041566860593175</v>
      </c>
      <c r="GW13" s="14">
        <f t="shared" si="51"/>
        <v>3.2444141328681457</v>
      </c>
      <c r="GX13" s="22">
        <f t="shared" si="28"/>
        <v>21.507094176298665</v>
      </c>
      <c r="GY13" s="62">
        <f t="shared" si="29"/>
        <v>248.15030849497722</v>
      </c>
      <c r="GZ13" s="62">
        <f ca="1">AVERAGE(OFFSET($GY$3,0,0,'Données projet'!$E$18+1,1))-AVERAGE(OFFSET($H$3,0,0,'Données projet'!$E$18+1,1))</f>
        <v>329.93956600482801</v>
      </c>
      <c r="HA13" s="62">
        <f t="shared" si="52"/>
        <v>268.69186630599165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2.7450000000000001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10.065</v>
      </c>
      <c r="H14" s="70">
        <f t="shared" si="1"/>
        <v>216.40666666666667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58.678325482655552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251.1950840954089</v>
      </c>
      <c r="S14" s="62">
        <f ca="1">AVERAGE(OFFSET($R$3,0,0,'Données projet'!$E$9+1,1))-AVERAGE(OFFSET($H$3,0,0,'Données projet'!$E$9+1,1))</f>
        <v>551.67307965706379</v>
      </c>
      <c r="T14" s="62">
        <f t="shared" si="34"/>
        <v>288.70738860523943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58.678325482655552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8.9196113451330703</v>
      </c>
      <c r="AK14" s="14">
        <f t="shared" si="35"/>
        <v>3.186234455512118</v>
      </c>
      <c r="AL14" s="22">
        <f t="shared" si="4"/>
        <v>21.084348102790369</v>
      </c>
      <c r="AM14" s="62">
        <f t="shared" si="5"/>
        <v>249.68265265030516</v>
      </c>
      <c r="AN14" s="62">
        <f ca="1">AVERAGE(OFFSET($AM$3,0,0,'Données projet'!$E$10+1,1))-AVERAGE(OFFSET($H$3,0,0,'Données projet'!$E$10+1,1))</f>
        <v>518.18933270904506</v>
      </c>
      <c r="AO14" s="62">
        <f t="shared" si="36"/>
        <v>272.44431899810411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58.678325482655552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2.8518518518518516</v>
      </c>
      <c r="BD14" s="13">
        <f>IF('Données projet'!$A$88&gt;35,BD13+BC14-BL13,IF(A14&lt;'Données projet'!$A$88,$BA$205^A14,IF(A14='Données projet'!$A$88,'Données projet'!$B$88,BD13+BC14-BL13)))</f>
        <v>5.8690835964213983</v>
      </c>
      <c r="BE14" s="14">
        <f>BD14*VLOOKUP('Données projet'!$B$11,Paramètres!$A$1:$I$89,3,0)*VLOOKUP('Données projet'!$B$11,Paramètres!$A$1:$I$89,5,0)</f>
        <v>5.0356737257295601</v>
      </c>
      <c r="BF14" s="14">
        <f t="shared" si="37"/>
        <v>1.922605345496381</v>
      </c>
      <c r="BG14" s="22">
        <f t="shared" si="7"/>
        <v>12.119002715718514</v>
      </c>
      <c r="BH14" s="62">
        <f t="shared" si="8"/>
        <v>240.71730726323332</v>
      </c>
      <c r="BI14" s="62">
        <f ca="1">AVERAGE(OFFSET($BH$3,0,0,'Données projet'!$E$11+1,1))-AVERAGE(OFFSET($H$3,0,0,'Données projet'!$E$11+1,1))</f>
        <v>464.73160475167867</v>
      </c>
      <c r="BJ14" s="62">
        <f t="shared" si="38"/>
        <v>241.31968359962227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58.678325482655552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6.8</v>
      </c>
      <c r="BY14" s="13">
        <f>IF('Données projet'!$A$114&gt;35,BY13+BX14-CG13,IF(A14&lt;'Données projet'!$A$114,$BV$205^A14,IF(A14='Données projet'!$A$114,'Données projet'!$B$114,BY13+BX14-CG13)))</f>
        <v>17.8</v>
      </c>
      <c r="BZ14" s="14">
        <f>BY14*VLOOKUP('Données projet'!$B$12,Paramètres!$A$1:$I$89,3,0)*VLOOKUP('Données projet'!$B$12,Paramètres!$A$1:$I$89,5,0)</f>
        <v>11.662560000000001</v>
      </c>
      <c r="CA14" s="14">
        <f t="shared" si="39"/>
        <v>4.0380449311592468</v>
      </c>
      <c r="CB14" s="22">
        <f t="shared" si="10"/>
        <v>27.345220255102358</v>
      </c>
      <c r="CC14" s="62">
        <f t="shared" si="11"/>
        <v>255.94352480261716</v>
      </c>
      <c r="CD14" s="62">
        <f ca="1">AVERAGE(OFFSET($CC$3,0,0,'Données projet'!$E$12+1,1))-AVERAGE(OFFSET($H$3,0,0,'Données projet'!$E$12+1,1))</f>
        <v>292.13851489852607</v>
      </c>
      <c r="CE14" s="62">
        <f t="shared" si="40"/>
        <v>280.10866188737418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58.678325482655552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8</v>
      </c>
      <c r="CT14" s="13">
        <f>IF('Données projet'!$A$140&gt;35,CT13+CS14-DB13,IF(A14&lt;'Données projet'!$A$140,$CQ$205^A14,IF(A14='Données projet'!$A$140,'Données projet'!$B$140,CT13+CS14-DB13)))</f>
        <v>17</v>
      </c>
      <c r="CU14" s="18">
        <f>CT14*VLOOKUP('Données projet'!$B$13,Paramètres!$A$1:$I$89,3,0)*VLOOKUP('Données projet'!$B$13,Paramètres!$A$1:$I$89,5,0)</f>
        <v>13.7904</v>
      </c>
      <c r="CV14" s="14">
        <f t="shared" si="41"/>
        <v>4.6825473896592289</v>
      </c>
      <c r="CW14" s="22">
        <f t="shared" si="13"/>
        <v>32.173716703656488</v>
      </c>
      <c r="CX14" s="62">
        <f t="shared" si="14"/>
        <v>260.77202125117128</v>
      </c>
      <c r="CY14" s="62">
        <f ca="1">AVERAGE(OFFSET($CX$3,0,0,'Données projet'!$E$13+1,1))-AVERAGE(OFFSET($H$3,0,0,'Données projet'!$E$13+1,1))</f>
        <v>265.25572936607409</v>
      </c>
      <c r="CZ14" s="62">
        <f t="shared" si="42"/>
        <v>307.96244316129071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58.678325482655552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3.1623931623931623</v>
      </c>
      <c r="DO14" s="13">
        <f>IF('Données projet'!$A$166&gt;35,DO13+DN14-DW13,IF(A14&lt;'Données projet'!$A$166,$DL$205^A14,IF(A14='Données projet'!$A$166,'Données projet'!$B$166,DO13+DN14-DW13)))</f>
        <v>16.949044593816883</v>
      </c>
      <c r="DP14" s="18">
        <f>DO14*VLOOKUP('Données projet'!$B$14,Paramètres!$A$1:$I$89,3,0)*VLOOKUP('Données projet'!$B$14,Paramètres!$A$1:$I$89,5,0)</f>
        <v>16.128710835476145</v>
      </c>
      <c r="DQ14" s="14">
        <f t="shared" si="43"/>
        <v>5.3775829807869533</v>
      </c>
      <c r="DR14" s="22">
        <f t="shared" si="16"/>
        <v>37.456795063324897</v>
      </c>
      <c r="DS14" s="62">
        <f t="shared" si="17"/>
        <v>266.0550996108397</v>
      </c>
      <c r="DT14" s="62">
        <f ca="1">AVERAGE(OFFSET($DS$3,0,0,'Données projet'!$E$14+1,1))-AVERAGE(OFFSET($H$3,0,0,'Données projet'!$E$14+1,1))</f>
        <v>425.41154182732936</v>
      </c>
      <c r="DU14" s="62">
        <f t="shared" si="44"/>
        <v>306.44721925744591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58.678325482655552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10.68</v>
      </c>
      <c r="EJ14" s="13">
        <f>IF('Données projet'!$A$192&gt;35,EJ13+EI14-ER13,IF(A14&lt;'Données projet'!$A$192,$EG$205^A14,IF(A14='Données projet'!$A$192,'Données projet'!$B$192,EJ13+EI14-ER13)))</f>
        <v>21.78</v>
      </c>
      <c r="EK14" s="18">
        <f>EJ14*VLOOKUP('Données projet'!$B$15,Paramètres!$A$1:$I$89,3,0)*VLOOKUP('Données projet'!$B$15,Paramètres!$A$1:$I$89,5,0)</f>
        <v>15.969095999999999</v>
      </c>
      <c r="EL14" s="14">
        <f t="shared" si="45"/>
        <v>5.3305321367080518</v>
      </c>
      <c r="EM14" s="22">
        <f t="shared" si="19"/>
        <v>37.096852338099858</v>
      </c>
      <c r="EN14" s="62">
        <f t="shared" si="20"/>
        <v>265.69515688561467</v>
      </c>
      <c r="EO14" s="62">
        <f ca="1">AVERAGE(OFFSET($EN$3,0,0,'Données projet'!$E$15+1,1))-AVERAGE(OFFSET($H$3,0,0,'Données projet'!$E$15+1,1))</f>
        <v>357.57626046668958</v>
      </c>
      <c r="EP14" s="62">
        <f t="shared" si="46"/>
        <v>386.90439522046199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58.678325482655552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2.6666666666666665</v>
      </c>
      <c r="FE14" s="13">
        <f>IF('Données projet'!$A$218&gt;35,FE13+FD14-FM13,IF(A14&lt;'Données projet'!$A$218,$FB$205^A14,IF(A14='Données projet'!$A$218,'Données projet'!$B$218,FE13+FD14-FM13)))</f>
        <v>14.956982779612416</v>
      </c>
      <c r="FF14" s="18">
        <f>FE14*VLOOKUP('Données projet'!$B$16,Paramètres!$A$1:$I$89,3,0)*VLOOKUP('Données projet'!$B$16,Paramètres!$A$1:$I$89,5,0)</f>
        <v>11.666446568097685</v>
      </c>
      <c r="FG14" s="14">
        <f t="shared" si="47"/>
        <v>4.0392339557111736</v>
      </c>
      <c r="FH14" s="22">
        <f t="shared" si="22"/>
        <v>27.354060245633761</v>
      </c>
      <c r="FI14" s="62">
        <f t="shared" si="23"/>
        <v>255.95236479314855</v>
      </c>
      <c r="FJ14" s="62">
        <f ca="1">AVERAGE(OFFSET($FI$3,0,0,'Données projet'!$E$16+1,1))-AVERAGE(OFFSET($H$3,0,0,'Données projet'!$E$16+1,1))</f>
        <v>303.56663121833833</v>
      </c>
      <c r="FK14" s="62">
        <f t="shared" si="48"/>
        <v>293.97736357938038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58.678325482655552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10.68</v>
      </c>
      <c r="FZ14" s="13">
        <f>IF('Données projet'!$A$244&gt;35,FZ13+FY14-GH13,IF(A14&lt;'Données projet'!$A$244,$FW$205^A14,IF(A14='Données projet'!$A$244,'Données projet'!$B$244,FZ13+FY14-GH13)))</f>
        <v>21.78</v>
      </c>
      <c r="GA14" s="18">
        <f>FZ14*VLOOKUP('Données projet'!$B$17,Paramètres!$A$1:$I$89,3,0)*VLOOKUP('Données projet'!$B$17,Paramètres!$A$1:$I$89,5,0)</f>
        <v>17.328168000000002</v>
      </c>
      <c r="GB14" s="14">
        <f t="shared" si="49"/>
        <v>5.7294628302508057</v>
      </c>
      <c r="GC14" s="22">
        <f t="shared" si="25"/>
        <v>40.158707029353486</v>
      </c>
      <c r="GD14" s="62">
        <f t="shared" si="26"/>
        <v>268.75701157686831</v>
      </c>
      <c r="GE14" s="62">
        <f ca="1">AVERAGE(OFFSET($GD$3,0,0,'Données projet'!$E$17+1,1))-AVERAGE(OFFSET($H$3,0,0,'Données projet'!$E$17+1,1))</f>
        <v>383.71724511025587</v>
      </c>
      <c r="GF14" s="62">
        <f t="shared" si="50"/>
        <v>415.10774719533185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58.678325482655552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3.3333333333333335</v>
      </c>
      <c r="GU14" s="13">
        <f>IF('Données projet'!$A$270&gt;35,GU13+GT14-HC13,IF(A14&lt;'Données projet'!$A$270,$GR$205^A14,IF(A14='Données projet'!$A$270,'Données projet'!$B$270,GU13+GT14-HC13)))</f>
        <v>17.616163665149852</v>
      </c>
      <c r="GV14" s="18">
        <f>GU14*VLOOKUP('Données projet'!$B$18,Paramètres!$A$1:$I$89,3,0)*VLOOKUP('Données projet'!$B$18,Paramètres!$A$1:$I$89,5,0)</f>
        <v>11.816922586582521</v>
      </c>
      <c r="GW14" s="14">
        <f t="shared" si="51"/>
        <v>4.0852340614632361</v>
      </c>
      <c r="GX14" s="22">
        <f t="shared" si="28"/>
        <v>27.696256162013025</v>
      </c>
      <c r="GY14" s="62">
        <f t="shared" si="29"/>
        <v>256.29456070952784</v>
      </c>
      <c r="GZ14" s="62">
        <f ca="1">AVERAGE(OFFSET($GY$3,0,0,'Données projet'!$E$18+1,1))-AVERAGE(OFFSET($H$3,0,0,'Données projet'!$E$18+1,1))</f>
        <v>329.93956600482801</v>
      </c>
      <c r="HA14" s="62">
        <f t="shared" si="52"/>
        <v>268.69186630599165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2.7450000000000001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10.065</v>
      </c>
      <c r="H15" s="70">
        <f t="shared" si="1"/>
        <v>216.40666666666667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58.87473122405919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258.36355188505848</v>
      </c>
      <c r="S15" s="62">
        <f ca="1">AVERAGE(OFFSET($R$3,0,0,'Données projet'!$E$9+1,1))-AVERAGE(OFFSET($H$3,0,0,'Données projet'!$E$9+1,1))</f>
        <v>551.67307965706379</v>
      </c>
      <c r="T15" s="62">
        <f t="shared" si="34"/>
        <v>288.70738860523943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58.87473122405919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11.053812007498347</v>
      </c>
      <c r="AK15" s="14">
        <f t="shared" si="35"/>
        <v>3.8512289154738402</v>
      </c>
      <c r="AL15" s="22">
        <f t="shared" si="4"/>
        <v>25.959612940843225</v>
      </c>
      <c r="AM15" s="62">
        <f t="shared" si="5"/>
        <v>256.50029409572693</v>
      </c>
      <c r="AN15" s="62">
        <f ca="1">AVERAGE(OFFSET($AM$3,0,0,'Données projet'!$E$10+1,1))-AVERAGE(OFFSET($H$3,0,0,'Données projet'!$E$10+1,1))</f>
        <v>518.18933270904506</v>
      </c>
      <c r="AO15" s="62">
        <f t="shared" si="36"/>
        <v>272.44431899810411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58.87473122405919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2.8518518518518516</v>
      </c>
      <c r="BD15" s="13">
        <f>IF('Données projet'!$A$88&gt;35,BD14+BC15-BL14,IF(A15&lt;'Données projet'!$A$88,$BA$205^A15,IF(A15='Données projet'!$A$88,'Données projet'!$B$88,BD14+BC15-BL14)))</f>
        <v>6.8935086090285438</v>
      </c>
      <c r="BE15" s="14">
        <f>BD15*VLOOKUP('Données projet'!$B$11,Paramètres!$A$1:$I$89,3,0)*VLOOKUP('Données projet'!$B$11,Paramètres!$A$1:$I$89,5,0)</f>
        <v>5.9146303865464915</v>
      </c>
      <c r="BF15" s="14">
        <f t="shared" si="37"/>
        <v>2.216293645172418</v>
      </c>
      <c r="BG15" s="22">
        <f t="shared" si="7"/>
        <v>14.161359355243766</v>
      </c>
      <c r="BH15" s="62">
        <f t="shared" si="8"/>
        <v>244.70204051012749</v>
      </c>
      <c r="BI15" s="62">
        <f ca="1">AVERAGE(OFFSET($BH$3,0,0,'Données projet'!$E$11+1,1))-AVERAGE(OFFSET($H$3,0,0,'Données projet'!$E$11+1,1))</f>
        <v>464.73160475167867</v>
      </c>
      <c r="BJ15" s="62">
        <f t="shared" si="38"/>
        <v>241.31968359962227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58.87473122405919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6.8</v>
      </c>
      <c r="BY15" s="13">
        <f>IF('Données projet'!$A$114&gt;35,BY14+BX15-CG14,IF(A15&lt;'Données projet'!$A$114,$BV$205^A15,IF(A15='Données projet'!$A$114,'Données projet'!$B$114,BY14+BX15-CG14)))</f>
        <v>24.6</v>
      </c>
      <c r="BZ15" s="14">
        <f>BY15*VLOOKUP('Données projet'!$B$12,Paramètres!$A$1:$I$89,3,0)*VLOOKUP('Données projet'!$B$12,Paramètres!$A$1:$I$89,5,0)</f>
        <v>16.117920000000002</v>
      </c>
      <c r="CA15" s="14">
        <f t="shared" si="39"/>
        <v>5.3744038004928587</v>
      </c>
      <c r="CB15" s="22">
        <f t="shared" si="10"/>
        <v>37.432463952525062</v>
      </c>
      <c r="CC15" s="62">
        <f t="shared" si="11"/>
        <v>267.97314510740875</v>
      </c>
      <c r="CD15" s="62">
        <f ca="1">AVERAGE(OFFSET($CC$3,0,0,'Données projet'!$E$12+1,1))-AVERAGE(OFFSET($H$3,0,0,'Données projet'!$E$12+1,1))</f>
        <v>292.13851489852607</v>
      </c>
      <c r="CE15" s="62">
        <f t="shared" si="40"/>
        <v>280.10866188737418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58.87473122405919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8</v>
      </c>
      <c r="CT15" s="13">
        <f>IF('Données projet'!$A$140&gt;35,CT14+CS15-DB14,IF(A15&lt;'Données projet'!$A$140,$CQ$205^A15,IF(A15='Données projet'!$A$140,'Données projet'!$B$140,CT14+CS15-DB14)))</f>
        <v>25</v>
      </c>
      <c r="CU15" s="18">
        <f>CT15*VLOOKUP('Données projet'!$B$13,Paramètres!$A$1:$I$89,3,0)*VLOOKUP('Données projet'!$B$13,Paramètres!$A$1:$I$89,5,0)</f>
        <v>20.28</v>
      </c>
      <c r="CV15" s="14">
        <f t="shared" si="41"/>
        <v>6.5838102554415308</v>
      </c>
      <c r="CW15" s="22">
        <f t="shared" si="13"/>
        <v>46.787802861560664</v>
      </c>
      <c r="CX15" s="62">
        <f t="shared" si="14"/>
        <v>277.32848401644435</v>
      </c>
      <c r="CY15" s="62">
        <f ca="1">AVERAGE(OFFSET($CX$3,0,0,'Données projet'!$E$13+1,1))-AVERAGE(OFFSET($H$3,0,0,'Données projet'!$E$13+1,1))</f>
        <v>265.25572936607409</v>
      </c>
      <c r="CZ15" s="62">
        <f t="shared" si="42"/>
        <v>307.96244316129071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58.87473122405919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3.1623931623931623</v>
      </c>
      <c r="DO15" s="13">
        <f>IF('Données projet'!$A$166&gt;35,DO14+DN15-DW14,IF(A15&lt;'Données projet'!$A$166,$DL$205^A15,IF(A15='Données projet'!$A$166,'Données projet'!$B$166,DO14+DN15-DW14)))</f>
        <v>21.922278822444071</v>
      </c>
      <c r="DP15" s="18">
        <f>DO15*VLOOKUP('Données projet'!$B$14,Paramètres!$A$1:$I$89,3,0)*VLOOKUP('Données projet'!$B$14,Paramètres!$A$1:$I$89,5,0)</f>
        <v>20.861240527437776</v>
      </c>
      <c r="DQ15" s="14">
        <f t="shared" si="43"/>
        <v>6.750267822211284</v>
      </c>
      <c r="DR15" s="22">
        <f t="shared" si="16"/>
        <v>48.090043708972111</v>
      </c>
      <c r="DS15" s="62">
        <f t="shared" si="17"/>
        <v>278.63072486385585</v>
      </c>
      <c r="DT15" s="62">
        <f ca="1">AVERAGE(OFFSET($DS$3,0,0,'Données projet'!$E$14+1,1))-AVERAGE(OFFSET($H$3,0,0,'Données projet'!$E$14+1,1))</f>
        <v>425.41154182732936</v>
      </c>
      <c r="DU15" s="62">
        <f t="shared" si="44"/>
        <v>306.44721925744591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58.87473122405919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10.68</v>
      </c>
      <c r="EJ15" s="13">
        <f>IF('Données projet'!$A$192&gt;35,EJ14+EI15-ER14,IF(A15&lt;'Données projet'!$A$192,$EG$205^A15,IF(A15='Données projet'!$A$192,'Données projet'!$B$192,EJ14+EI15-ER14)))</f>
        <v>32.46</v>
      </c>
      <c r="EK15" s="18">
        <f>EJ15*VLOOKUP('Données projet'!$B$15,Paramètres!$A$1:$I$89,3,0)*VLOOKUP('Données projet'!$B$15,Paramètres!$A$1:$I$89,5,0)</f>
        <v>23.799672000000001</v>
      </c>
      <c r="EL15" s="14">
        <f t="shared" si="45"/>
        <v>7.5838577005088039</v>
      </c>
      <c r="EM15" s="22">
        <f t="shared" si="19"/>
        <v>54.659647561719503</v>
      </c>
      <c r="EN15" s="62">
        <f t="shared" si="20"/>
        <v>285.20032871660322</v>
      </c>
      <c r="EO15" s="62">
        <f ca="1">AVERAGE(OFFSET($EN$3,0,0,'Données projet'!$E$15+1,1))-AVERAGE(OFFSET($H$3,0,0,'Données projet'!$E$15+1,1))</f>
        <v>357.57626046668958</v>
      </c>
      <c r="EP15" s="62">
        <f t="shared" si="46"/>
        <v>386.90439522046199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58.87473122405919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2.6666666666666665</v>
      </c>
      <c r="FE15" s="13">
        <f>IF('Données projet'!$A$218&gt;35,FE14+FD15-FM14,IF(A15&lt;'Données projet'!$A$218,$FB$205^A15,IF(A15='Données projet'!$A$218,'Données projet'!$B$218,FE14+FD15-FM14)))</f>
        <v>19.127049995800721</v>
      </c>
      <c r="FF15" s="18">
        <f>FE15*VLOOKUP('Données projet'!$B$16,Paramètres!$A$1:$I$89,3,0)*VLOOKUP('Données projet'!$B$16,Paramètres!$A$1:$I$89,5,0)</f>
        <v>14.919098996724562</v>
      </c>
      <c r="FG15" s="14">
        <f t="shared" si="47"/>
        <v>5.019622097301081</v>
      </c>
      <c r="FH15" s="22">
        <f t="shared" si="22"/>
        <v>34.726605905427995</v>
      </c>
      <c r="FI15" s="62">
        <f t="shared" si="23"/>
        <v>265.26728706031173</v>
      </c>
      <c r="FJ15" s="62">
        <f ca="1">AVERAGE(OFFSET($FI$3,0,0,'Données projet'!$E$16+1,1))-AVERAGE(OFFSET($H$3,0,0,'Données projet'!$E$16+1,1))</f>
        <v>303.56663121833833</v>
      </c>
      <c r="FK15" s="62">
        <f t="shared" si="48"/>
        <v>293.97736357938038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58.87473122405919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10.68</v>
      </c>
      <c r="FZ15" s="13">
        <f>IF('Données projet'!$A$244&gt;35,FZ14+FY15-GH14,IF(A15&lt;'Données projet'!$A$244,$FW$205^A15,IF(A15='Données projet'!$A$244,'Données projet'!$B$244,FZ14+FY15-GH14)))</f>
        <v>32.46</v>
      </c>
      <c r="GA15" s="18">
        <f>FZ15*VLOOKUP('Données projet'!$B$17,Paramètres!$A$1:$I$89,3,0)*VLOOKUP('Données projet'!$B$17,Paramètres!$A$1:$I$89,5,0)</f>
        <v>25.825176000000003</v>
      </c>
      <c r="GB15" s="14">
        <f t="shared" si="49"/>
        <v>8.1514246027621944</v>
      </c>
      <c r="GC15" s="22">
        <f t="shared" si="25"/>
        <v>59.175912716477491</v>
      </c>
      <c r="GD15" s="62">
        <f t="shared" si="26"/>
        <v>289.71659387136123</v>
      </c>
      <c r="GE15" s="62">
        <f ca="1">AVERAGE(OFFSET($GD$3,0,0,'Données projet'!$E$17+1,1))-AVERAGE(OFFSET($H$3,0,0,'Données projet'!$E$17+1,1))</f>
        <v>383.71724511025587</v>
      </c>
      <c r="GF15" s="62">
        <f t="shared" si="50"/>
        <v>415.10774719533185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58.87473122405919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3.3333333333333335</v>
      </c>
      <c r="GU15" s="13">
        <f>IF('Données projet'!$A$270&gt;35,GU14+GT15-HC14,IF(A15&lt;'Données projet'!$A$270,$GR$205^A15,IF(A15='Données projet'!$A$270,'Données projet'!$B$270,GU14+GT15-HC14)))</f>
        <v>22.865252596366318</v>
      </c>
      <c r="GV15" s="18">
        <f>GU15*VLOOKUP('Données projet'!$B$18,Paramètres!$A$1:$I$89,3,0)*VLOOKUP('Données projet'!$B$18,Paramètres!$A$1:$I$89,5,0)</f>
        <v>15.338011441642525</v>
      </c>
      <c r="GW15" s="14">
        <f t="shared" si="51"/>
        <v>5.1439602509023024</v>
      </c>
      <c r="GX15" s="22">
        <f t="shared" si="28"/>
        <v>35.672767364515572</v>
      </c>
      <c r="GY15" s="62">
        <f t="shared" si="29"/>
        <v>266.21344851939926</v>
      </c>
      <c r="GZ15" s="62">
        <f ca="1">AVERAGE(OFFSET($GY$3,0,0,'Données projet'!$E$18+1,1))-AVERAGE(OFFSET($H$3,0,0,'Données projet'!$E$18+1,1))</f>
        <v>329.93956600482801</v>
      </c>
      <c r="HA15" s="62">
        <f t="shared" si="52"/>
        <v>268.69186630599165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2.7450000000000001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10.065</v>
      </c>
      <c r="H16" s="70">
        <f t="shared" si="1"/>
        <v>216.40666666666667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59.067729764946925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266.73227257213114</v>
      </c>
      <c r="S16" s="62">
        <f ca="1">AVERAGE(OFFSET($R$3,0,0,'Données projet'!$E$9+1,1))-AVERAGE(OFFSET($H$3,0,0,'Données projet'!$E$9+1,1))</f>
        <v>551.67307965706379</v>
      </c>
      <c r="T16" s="62">
        <f t="shared" si="34"/>
        <v>288.70738860523943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59.067729764946925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13.698664119909786</v>
      </c>
      <c r="AK16" s="14">
        <f t="shared" si="35"/>
        <v>4.6550134230463893</v>
      </c>
      <c r="AL16" s="22">
        <f t="shared" si="4"/>
        <v>31.965988387315338</v>
      </c>
      <c r="AM16" s="62">
        <f t="shared" si="5"/>
        <v>264.43655308100961</v>
      </c>
      <c r="AN16" s="62">
        <f ca="1">AVERAGE(OFFSET($AM$3,0,0,'Données projet'!$E$10+1,1))-AVERAGE(OFFSET($H$3,0,0,'Données projet'!$E$10+1,1))</f>
        <v>518.18933270904506</v>
      </c>
      <c r="AO16" s="62">
        <f t="shared" si="36"/>
        <v>272.44431899810411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59.067729764946925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2.8518518518518516</v>
      </c>
      <c r="BD16" s="13">
        <f>IF('Données projet'!$A$88&gt;35,BD15+BC16-BL15,IF(A16&lt;'Données projet'!$A$88,$BA$205^A16,IF(A16='Données projet'!$A$88,'Données projet'!$B$88,BD15+BC16-BL15)))</f>
        <v>8.096742900667774</v>
      </c>
      <c r="BE16" s="14">
        <f>BD16*VLOOKUP('Données projet'!$B$11,Paramètres!$A$1:$I$89,3,0)*VLOOKUP('Données projet'!$B$11,Paramètres!$A$1:$I$89,5,0)</f>
        <v>6.9470054087729514</v>
      </c>
      <c r="BF16" s="14">
        <f t="shared" si="37"/>
        <v>2.5548444110683914</v>
      </c>
      <c r="BG16" s="22">
        <f t="shared" si="7"/>
        <v>16.549055102890339</v>
      </c>
      <c r="BH16" s="62">
        <f t="shared" si="8"/>
        <v>249.01961979658464</v>
      </c>
      <c r="BI16" s="62">
        <f ca="1">AVERAGE(OFFSET($BH$3,0,0,'Données projet'!$E$11+1,1))-AVERAGE(OFFSET($H$3,0,0,'Données projet'!$E$11+1,1))</f>
        <v>464.73160475167867</v>
      </c>
      <c r="BJ16" s="62">
        <f t="shared" si="38"/>
        <v>241.31968359962227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59.067729764946925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6.8</v>
      </c>
      <c r="BY16" s="13">
        <f>IF('Données projet'!$A$114&gt;35,BY15+BX16-CG15,IF(A16&lt;'Données projet'!$A$114,$BV$205^A16,IF(A16='Données projet'!$A$114,'Données projet'!$B$114,BY15+BX16-CG15)))</f>
        <v>31.400000000000002</v>
      </c>
      <c r="BZ16" s="14">
        <f>BY16*VLOOKUP('Données projet'!$B$12,Paramètres!$A$1:$I$89,3,0)*VLOOKUP('Données projet'!$B$12,Paramètres!$A$1:$I$89,5,0)</f>
        <v>20.57328</v>
      </c>
      <c r="CA16" s="14">
        <f t="shared" si="39"/>
        <v>6.6678691706770401</v>
      </c>
      <c r="CB16" s="22">
        <f t="shared" si="10"/>
        <v>47.445001472262504</v>
      </c>
      <c r="CC16" s="62">
        <f t="shared" si="11"/>
        <v>279.91556616595676</v>
      </c>
      <c r="CD16" s="62">
        <f ca="1">AVERAGE(OFFSET($CC$3,0,0,'Données projet'!$E$12+1,1))-AVERAGE(OFFSET($H$3,0,0,'Données projet'!$E$12+1,1))</f>
        <v>292.13851489852607</v>
      </c>
      <c r="CE16" s="62">
        <f t="shared" si="40"/>
        <v>280.10866188737418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59.067729764946925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8</v>
      </c>
      <c r="CT16" s="13">
        <f>IF('Données projet'!$A$140&gt;35,CT15+CS16-DB15,IF(A16&lt;'Données projet'!$A$140,$CQ$205^A16,IF(A16='Données projet'!$A$140,'Données projet'!$B$140,CT15+CS16-DB15)))</f>
        <v>33</v>
      </c>
      <c r="CU16" s="18">
        <f>CT16*VLOOKUP('Données projet'!$B$13,Paramètres!$A$1:$I$89,3,0)*VLOOKUP('Données projet'!$B$13,Paramètres!$A$1:$I$89,5,0)</f>
        <v>26.769600000000001</v>
      </c>
      <c r="CV16" s="14">
        <f t="shared" si="41"/>
        <v>8.4142697673415618</v>
      </c>
      <c r="CW16" s="22">
        <f t="shared" si="13"/>
        <v>61.278573178119878</v>
      </c>
      <c r="CX16" s="62">
        <f t="shared" si="14"/>
        <v>293.74913787181418</v>
      </c>
      <c r="CY16" s="62">
        <f ca="1">AVERAGE(OFFSET($CX$3,0,0,'Données projet'!$E$13+1,1))-AVERAGE(OFFSET($H$3,0,0,'Données projet'!$E$13+1,1))</f>
        <v>265.25572936607409</v>
      </c>
      <c r="CZ16" s="62">
        <f t="shared" si="42"/>
        <v>307.96244316129071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59.067729764946925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3.1623931623931623</v>
      </c>
      <c r="DO16" s="13">
        <f>IF('Données projet'!$A$166&gt;35,DO15+DN16-DW15,IF(A16&lt;'Données projet'!$A$166,$DL$205^A16,IF(A16='Données projet'!$A$166,'Données projet'!$B$166,DO15+DN16-DW15)))</f>
        <v>28.35477280791984</v>
      </c>
      <c r="DP16" s="18">
        <f>DO16*VLOOKUP('Données projet'!$B$14,Paramètres!$A$1:$I$89,3,0)*VLOOKUP('Données projet'!$B$14,Paramètres!$A$1:$I$89,5,0)</f>
        <v>26.982401804016519</v>
      </c>
      <c r="DQ16" s="14">
        <f t="shared" si="43"/>
        <v>8.4733449645277137</v>
      </c>
      <c r="DR16" s="22">
        <f t="shared" si="16"/>
        <v>61.752092288547864</v>
      </c>
      <c r="DS16" s="62">
        <f t="shared" si="17"/>
        <v>294.22265698224214</v>
      </c>
      <c r="DT16" s="62">
        <f ca="1">AVERAGE(OFFSET($DS$3,0,0,'Données projet'!$E$14+1,1))-AVERAGE(OFFSET($H$3,0,0,'Données projet'!$E$14+1,1))</f>
        <v>425.41154182732936</v>
      </c>
      <c r="DU16" s="62">
        <f t="shared" si="44"/>
        <v>306.44721925744591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59.067729764946925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10.68</v>
      </c>
      <c r="EJ16" s="13">
        <f>IF('Données projet'!$A$192&gt;35,EJ15+EI16-ER15,IF(A16&lt;'Données projet'!$A$192,$EG$205^A16,IF(A16='Données projet'!$A$192,'Données projet'!$B$192,EJ15+EI16-ER15)))</f>
        <v>43.14</v>
      </c>
      <c r="EK16" s="18">
        <f>EJ16*VLOOKUP('Données projet'!$B$15,Paramètres!$A$1:$I$89,3,0)*VLOOKUP('Données projet'!$B$15,Paramètres!$A$1:$I$89,5,0)</f>
        <v>31.630248000000002</v>
      </c>
      <c r="EL16" s="14">
        <f t="shared" si="45"/>
        <v>9.7508554785621282</v>
      </c>
      <c r="EM16" s="22">
        <f t="shared" si="19"/>
        <v>72.072088558495707</v>
      </c>
      <c r="EN16" s="62">
        <f t="shared" si="20"/>
        <v>304.54265325219001</v>
      </c>
      <c r="EO16" s="62">
        <f ca="1">AVERAGE(OFFSET($EN$3,0,0,'Données projet'!$E$15+1,1))-AVERAGE(OFFSET($H$3,0,0,'Données projet'!$E$15+1,1))</f>
        <v>357.57626046668958</v>
      </c>
      <c r="EP16" s="62">
        <f t="shared" si="46"/>
        <v>386.90439522046199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59.067729764946925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2.6666666666666665</v>
      </c>
      <c r="FE16" s="13">
        <f>IF('Données projet'!$A$218&gt;35,FE15+FD16-FM15,IF(A16&lt;'Données projet'!$A$218,$FB$205^A16,IF(A16='Données projet'!$A$218,'Données projet'!$B$218,FE15+FD16-FM15)))</f>
        <v>24.459748796430759</v>
      </c>
      <c r="FF16" s="18">
        <f>FE16*VLOOKUP('Données projet'!$B$16,Paramètres!$A$1:$I$89,3,0)*VLOOKUP('Données projet'!$B$16,Paramètres!$A$1:$I$89,5,0)</f>
        <v>19.078604061215994</v>
      </c>
      <c r="FG16" s="14">
        <f t="shared" si="47"/>
        <v>6.2379664748280286</v>
      </c>
      <c r="FH16" s="22">
        <f t="shared" si="22"/>
        <v>44.093027016943331</v>
      </c>
      <c r="FI16" s="62">
        <f t="shared" si="23"/>
        <v>276.56359171063764</v>
      </c>
      <c r="FJ16" s="62">
        <f ca="1">AVERAGE(OFFSET($FI$3,0,0,'Données projet'!$E$16+1,1))-AVERAGE(OFFSET($H$3,0,0,'Données projet'!$E$16+1,1))</f>
        <v>303.56663121833833</v>
      </c>
      <c r="FK16" s="62">
        <f t="shared" si="48"/>
        <v>293.97736357938038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59.067729764946925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10.68</v>
      </c>
      <c r="FZ16" s="13">
        <f>IF('Données projet'!$A$244&gt;35,FZ15+FY16-GH15,IF(A16&lt;'Données projet'!$A$244,$FW$205^A16,IF(A16='Données projet'!$A$244,'Données projet'!$B$244,FZ15+FY16-GH15)))</f>
        <v>43.14</v>
      </c>
      <c r="GA16" s="18">
        <f>FZ16*VLOOKUP('Données projet'!$B$17,Paramètres!$A$1:$I$89,3,0)*VLOOKUP('Données projet'!$B$17,Paramètres!$A$1:$I$89,5,0)</f>
        <v>34.322184</v>
      </c>
      <c r="GB16" s="14">
        <f t="shared" si="49"/>
        <v>10.480597920580347</v>
      </c>
      <c r="GC16" s="22">
        <f t="shared" si="25"/>
        <v>78.031511845010769</v>
      </c>
      <c r="GD16" s="62">
        <f t="shared" si="26"/>
        <v>310.50207653870507</v>
      </c>
      <c r="GE16" s="62">
        <f ca="1">AVERAGE(OFFSET($GD$3,0,0,'Données projet'!$E$17+1,1))-AVERAGE(OFFSET($H$3,0,0,'Données projet'!$E$17+1,1))</f>
        <v>383.71724511025587</v>
      </c>
      <c r="GF16" s="62">
        <f t="shared" si="50"/>
        <v>415.10774719533185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59.067729764946925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3.3333333333333335</v>
      </c>
      <c r="GU16" s="13">
        <f>IF('Données projet'!$A$270&gt;35,GU15+GT16-HC15,IF(A16&lt;'Données projet'!$A$270,$GR$205^A16,IF(A16='Données projet'!$A$270,'Données projet'!$B$270,GU15+GT16-HC15)))</f>
        <v>29.678412748283769</v>
      </c>
      <c r="GV16" s="18">
        <f>GU16*VLOOKUP('Données projet'!$B$18,Paramètres!$A$1:$I$89,3,0)*VLOOKUP('Données projet'!$B$18,Paramètres!$A$1:$I$89,5,0)</f>
        <v>19.90827927154875</v>
      </c>
      <c r="GW16" s="14">
        <f t="shared" si="51"/>
        <v>6.4770651239957129</v>
      </c>
      <c r="GX16" s="22">
        <f t="shared" si="28"/>
        <v>45.954474822239945</v>
      </c>
      <c r="GY16" s="62">
        <f t="shared" si="29"/>
        <v>278.42503951593426</v>
      </c>
      <c r="GZ16" s="62">
        <f ca="1">AVERAGE(OFFSET($GY$3,0,0,'Données projet'!$E$18+1,1))-AVERAGE(OFFSET($H$3,0,0,'Données projet'!$E$18+1,1))</f>
        <v>329.93956600482801</v>
      </c>
      <c r="HA16" s="62">
        <f t="shared" si="52"/>
        <v>268.69186630599165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2.7450000000000001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10.065</v>
      </c>
      <c r="H17" s="70">
        <f t="shared" si="1"/>
        <v>216.40666666666667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59.257380212630366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276.58376818742408</v>
      </c>
      <c r="S17" s="62">
        <f ca="1">AVERAGE(OFFSET($R$3,0,0,'Données projet'!$E$9+1,1))-AVERAGE(OFFSET($H$3,0,0,'Données projet'!$E$9+1,1))</f>
        <v>551.67307965706379</v>
      </c>
      <c r="T17" s="62">
        <f t="shared" si="34"/>
        <v>288.70738860523943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59.257380212630366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16.976351555717539</v>
      </c>
      <c r="AK17" s="14">
        <f t="shared" si="35"/>
        <v>5.6265546516016363</v>
      </c>
      <c r="AL17" s="22">
        <f t="shared" si="4"/>
        <v>39.366728311080898</v>
      </c>
      <c r="AM17" s="62">
        <f t="shared" si="5"/>
        <v>273.75490020183668</v>
      </c>
      <c r="AN17" s="62">
        <f ca="1">AVERAGE(OFFSET($AM$3,0,0,'Données projet'!$E$10+1,1))-AVERAGE(OFFSET($H$3,0,0,'Données projet'!$E$10+1,1))</f>
        <v>518.18933270904506</v>
      </c>
      <c r="AO17" s="62">
        <f t="shared" si="36"/>
        <v>272.44431899810411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59.257380212630366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2.8518518518518516</v>
      </c>
      <c r="BD17" s="13">
        <f>IF('Données projet'!$A$88&gt;35,BD16+BC17-BL16,IF(A17&lt;'Données projet'!$A$88,$BA$205^A17,IF(A17='Données projet'!$A$88,'Données projet'!$B$88,BD16+BC17-BL16)))</f>
        <v>9.509996914147985</v>
      </c>
      <c r="BE17" s="14">
        <f>BD17*VLOOKUP('Données projet'!$B$11,Paramètres!$A$1:$I$89,3,0)*VLOOKUP('Données projet'!$B$11,Paramètres!$A$1:$I$89,5,0)</f>
        <v>8.159577352338971</v>
      </c>
      <c r="BF17" s="14">
        <f t="shared" si="37"/>
        <v>2.945110626015266</v>
      </c>
      <c r="BG17" s="22">
        <f t="shared" si="7"/>
        <v>19.34066489563363</v>
      </c>
      <c r="BH17" s="62">
        <f t="shared" si="8"/>
        <v>253.72883678638942</v>
      </c>
      <c r="BI17" s="62">
        <f ca="1">AVERAGE(OFFSET($BH$3,0,0,'Données projet'!$E$11+1,1))-AVERAGE(OFFSET($H$3,0,0,'Données projet'!$E$11+1,1))</f>
        <v>464.73160475167867</v>
      </c>
      <c r="BJ17" s="62">
        <f t="shared" si="38"/>
        <v>241.31968359962227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59.257380212630366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6.8</v>
      </c>
      <c r="BY17" s="13">
        <f>IF('Données projet'!$A$114&gt;35,BY16+BX17-CG16,IF(A17&lt;'Données projet'!$A$114,$BV$205^A17,IF(A17='Données projet'!$A$114,'Données projet'!$B$114,BY16+BX17-CG16)))</f>
        <v>38.200000000000003</v>
      </c>
      <c r="BZ17" s="14">
        <f>BY17*VLOOKUP('Données projet'!$B$12,Paramètres!$A$1:$I$89,3,0)*VLOOKUP('Données projet'!$B$12,Paramètres!$A$1:$I$89,5,0)</f>
        <v>25.028640000000003</v>
      </c>
      <c r="CA17" s="14">
        <f t="shared" si="39"/>
        <v>7.9288685965286847</v>
      </c>
      <c r="CB17" s="22">
        <f t="shared" si="10"/>
        <v>57.400994138954132</v>
      </c>
      <c r="CC17" s="62">
        <f t="shared" si="11"/>
        <v>291.78916602970992</v>
      </c>
      <c r="CD17" s="62">
        <f ca="1">AVERAGE(OFFSET($CC$3,0,0,'Données projet'!$E$12+1,1))-AVERAGE(OFFSET($H$3,0,0,'Données projet'!$E$12+1,1))</f>
        <v>292.13851489852607</v>
      </c>
      <c r="CE17" s="62">
        <f t="shared" si="40"/>
        <v>280.10866188737418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59.257380212630366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8</v>
      </c>
      <c r="CT17" s="13">
        <f>IF('Données projet'!$A$140&gt;35,CT16+CS17-DB16,IF(A17&lt;'Données projet'!$A$140,$CQ$205^A17,IF(A17='Données projet'!$A$140,'Données projet'!$B$140,CT16+CS17-DB16)))</f>
        <v>41</v>
      </c>
      <c r="CU17" s="18">
        <f>CT17*VLOOKUP('Données projet'!$B$13,Paramètres!$A$1:$I$89,3,0)*VLOOKUP('Données projet'!$B$13,Paramètres!$A$1:$I$89,5,0)</f>
        <v>33.2592</v>
      </c>
      <c r="CV17" s="14">
        <f t="shared" si="41"/>
        <v>10.193265358024187</v>
      </c>
      <c r="CW17" s="22">
        <f t="shared" si="13"/>
        <v>75.679710498558791</v>
      </c>
      <c r="CX17" s="62">
        <f t="shared" si="14"/>
        <v>310.0678823893146</v>
      </c>
      <c r="CY17" s="62">
        <f ca="1">AVERAGE(OFFSET($CX$3,0,0,'Données projet'!$E$13+1,1))-AVERAGE(OFFSET($H$3,0,0,'Données projet'!$E$13+1,1))</f>
        <v>265.25572936607409</v>
      </c>
      <c r="CZ17" s="62">
        <f t="shared" si="42"/>
        <v>307.96244316129071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59.257380212630366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3.1623931623931623</v>
      </c>
      <c r="DO17" s="13">
        <f>IF('Données projet'!$A$166&gt;35,DO16+DN17-DW16,IF(A17&lt;'Données projet'!$A$166,$DL$205^A17,IF(A17='Données projet'!$A$166,'Données projet'!$B$166,DO16+DN17-DW16)))</f>
        <v>36.674706471008875</v>
      </c>
      <c r="DP17" s="18">
        <f>DO17*VLOOKUP('Données projet'!$B$14,Paramètres!$A$1:$I$89,3,0)*VLOOKUP('Données projet'!$B$14,Paramètres!$A$1:$I$89,5,0)</f>
        <v>34.899650677812041</v>
      </c>
      <c r="DQ17" s="14">
        <f t="shared" si="43"/>
        <v>10.636255742571029</v>
      </c>
      <c r="DR17" s="22">
        <f t="shared" si="16"/>
        <v>79.308370348833833</v>
      </c>
      <c r="DS17" s="62">
        <f t="shared" si="17"/>
        <v>313.69654223958963</v>
      </c>
      <c r="DT17" s="62">
        <f ca="1">AVERAGE(OFFSET($DS$3,0,0,'Données projet'!$E$14+1,1))-AVERAGE(OFFSET($H$3,0,0,'Données projet'!$E$14+1,1))</f>
        <v>425.41154182732936</v>
      </c>
      <c r="DU17" s="62">
        <f t="shared" si="44"/>
        <v>306.44721925744591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59.257380212630366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10.68</v>
      </c>
      <c r="EJ17" s="13">
        <f>IF('Données projet'!$A$192&gt;35,EJ16+EI17-ER16,IF(A17&lt;'Données projet'!$A$192,$EG$205^A17,IF(A17='Données projet'!$A$192,'Données projet'!$B$192,EJ16+EI17-ER16)))</f>
        <v>53.82</v>
      </c>
      <c r="EK17" s="18">
        <f>EJ17*VLOOKUP('Données projet'!$B$15,Paramètres!$A$1:$I$89,3,0)*VLOOKUP('Données projet'!$B$15,Paramètres!$A$1:$I$89,5,0)</f>
        <v>39.460823999999995</v>
      </c>
      <c r="EL17" s="14">
        <f t="shared" si="45"/>
        <v>11.85562557008577</v>
      </c>
      <c r="EM17" s="22">
        <f t="shared" si="19"/>
        <v>89.376149667899369</v>
      </c>
      <c r="EN17" s="62">
        <f t="shared" si="20"/>
        <v>323.76432155865518</v>
      </c>
      <c r="EO17" s="62">
        <f ca="1">AVERAGE(OFFSET($EN$3,0,0,'Données projet'!$E$15+1,1))-AVERAGE(OFFSET($H$3,0,0,'Données projet'!$E$15+1,1))</f>
        <v>357.57626046668958</v>
      </c>
      <c r="EP17" s="62">
        <f t="shared" si="46"/>
        <v>386.90439522046199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59.257380212630366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2.6666666666666665</v>
      </c>
      <c r="FE17" s="13">
        <f>IF('Données projet'!$A$218&gt;35,FE16+FD17-FM16,IF(A17&lt;'Données projet'!$A$218,$FB$205^A17,IF(A17='Données projet'!$A$218,'Données projet'!$B$218,FE16+FD17-FM16)))</f>
        <v>31.279225563578599</v>
      </c>
      <c r="FF17" s="18">
        <f>FE17*VLOOKUP('Données projet'!$B$16,Paramètres!$A$1:$I$89,3,0)*VLOOKUP('Données projet'!$B$16,Paramètres!$A$1:$I$89,5,0)</f>
        <v>24.397795939591308</v>
      </c>
      <c r="FG17" s="14">
        <f t="shared" si="47"/>
        <v>7.75202295846145</v>
      </c>
      <c r="FH17" s="22">
        <f t="shared" si="22"/>
        <v>55.994267914108548</v>
      </c>
      <c r="FI17" s="62">
        <f t="shared" si="23"/>
        <v>290.38243980486436</v>
      </c>
      <c r="FJ17" s="62">
        <f ca="1">AVERAGE(OFFSET($FI$3,0,0,'Données projet'!$E$16+1,1))-AVERAGE(OFFSET($H$3,0,0,'Données projet'!$E$16+1,1))</f>
        <v>303.56663121833833</v>
      </c>
      <c r="FK17" s="62">
        <f t="shared" si="48"/>
        <v>293.97736357938038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59.257380212630366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10.68</v>
      </c>
      <c r="FZ17" s="13">
        <f>IF('Données projet'!$A$244&gt;35,FZ16+FY17-GH16,IF(A17&lt;'Données projet'!$A$244,$FW$205^A17,IF(A17='Données projet'!$A$244,'Données projet'!$B$244,FZ16+FY17-GH16)))</f>
        <v>53.82</v>
      </c>
      <c r="GA17" s="18">
        <f>FZ17*VLOOKUP('Données projet'!$B$17,Paramètres!$A$1:$I$89,3,0)*VLOOKUP('Données projet'!$B$17,Paramètres!$A$1:$I$89,5,0)</f>
        <v>42.819192000000001</v>
      </c>
      <c r="GB17" s="14">
        <f t="shared" si="49"/>
        <v>12.742886505722554</v>
      </c>
      <c r="GC17" s="22">
        <f t="shared" si="25"/>
        <v>96.770620064133439</v>
      </c>
      <c r="GD17" s="62">
        <f t="shared" si="26"/>
        <v>331.15879195488924</v>
      </c>
      <c r="GE17" s="62">
        <f ca="1">AVERAGE(OFFSET($GD$3,0,0,'Données projet'!$E$17+1,1))-AVERAGE(OFFSET($H$3,0,0,'Données projet'!$E$17+1,1))</f>
        <v>383.71724511025587</v>
      </c>
      <c r="GF17" s="62">
        <f t="shared" si="50"/>
        <v>415.10774719533185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59.257380212630366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3.3333333333333335</v>
      </c>
      <c r="GU17" s="13">
        <f>IF('Données projet'!$A$270&gt;35,GU16+GT17-HC16,IF(A17&lt;'Données projet'!$A$270,$GR$205^A17,IF(A17='Données projet'!$A$270,'Données projet'!$B$270,GU16+GT17-HC16)))</f>
        <v>38.521690479704915</v>
      </c>
      <c r="GV17" s="18">
        <f>GU17*VLOOKUP('Données projet'!$B$18,Paramètres!$A$1:$I$89,3,0)*VLOOKUP('Données projet'!$B$18,Paramètres!$A$1:$I$89,5,0)</f>
        <v>25.840349973786058</v>
      </c>
      <c r="GW17" s="14">
        <f t="shared" si="51"/>
        <v>8.1556564542120462</v>
      </c>
      <c r="GX17" s="22">
        <f t="shared" si="28"/>
        <v>59.209711195430032</v>
      </c>
      <c r="GY17" s="62">
        <f t="shared" si="29"/>
        <v>293.59788308618579</v>
      </c>
      <c r="GZ17" s="62">
        <f ca="1">AVERAGE(OFFSET($GY$3,0,0,'Données projet'!$E$18+1,1))-AVERAGE(OFFSET($H$3,0,0,'Données projet'!$E$18+1,1))</f>
        <v>329.93956600482801</v>
      </c>
      <c r="HA17" s="62">
        <f t="shared" si="52"/>
        <v>268.69186630599165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2.7450000000000001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10.065</v>
      </c>
      <c r="H18" s="70">
        <f t="shared" si="1"/>
        <v>216.40666666666667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59.443740649041374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288.26646200186627</v>
      </c>
      <c r="S18" s="62">
        <f ca="1">AVERAGE(OFFSET($R$3,0,0,'Données projet'!$E$9+1,1))-AVERAGE(OFFSET($H$3,0,0,'Données projet'!$E$9+1,1))</f>
        <v>551.67307965706379</v>
      </c>
      <c r="T18" s="62">
        <f t="shared" si="34"/>
        <v>288.70738860523943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59.443740649041374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21.03829319564419</v>
      </c>
      <c r="AK18" s="14">
        <f t="shared" si="35"/>
        <v>6.8008648676982615</v>
      </c>
      <c r="AL18" s="22">
        <f t="shared" si="4"/>
        <v>48.486533626988098</v>
      </c>
      <c r="AM18" s="62">
        <f t="shared" si="5"/>
        <v>284.78024934013985</v>
      </c>
      <c r="AN18" s="62">
        <f ca="1">AVERAGE(OFFSET($AM$3,0,0,'Données projet'!$E$10+1,1))-AVERAGE(OFFSET($H$3,0,0,'Données projet'!$E$10+1,1))</f>
        <v>518.18933270904506</v>
      </c>
      <c r="AO18" s="62">
        <f t="shared" si="36"/>
        <v>272.44431899810411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59.443740649041374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2.8518518518518516</v>
      </c>
      <c r="BD18" s="13">
        <f>IF('Données projet'!$A$88&gt;35,BD17+BC18-BL17,IF(A18&lt;'Données projet'!$A$88,$BA$205^A18,IF(A18='Données projet'!$A$88,'Données projet'!$B$88,BD17+BC18-BL17)))</f>
        <v>11.169928749947735</v>
      </c>
      <c r="BE18" s="14">
        <f>BD18*VLOOKUP('Données projet'!$B$11,Paramètres!$A$1:$I$89,3,0)*VLOOKUP('Données projet'!$B$11,Paramètres!$A$1:$I$89,5,0)</f>
        <v>9.5837988674551582</v>
      </c>
      <c r="BF18" s="14">
        <f t="shared" si="37"/>
        <v>3.3949921028031831</v>
      </c>
      <c r="BG18" s="22">
        <f t="shared" si="7"/>
        <v>22.604727606533277</v>
      </c>
      <c r="BH18" s="62">
        <f t="shared" si="8"/>
        <v>258.89844331968499</v>
      </c>
      <c r="BI18" s="62">
        <f ca="1">AVERAGE(OFFSET($BH$3,0,0,'Données projet'!$E$11+1,1))-AVERAGE(OFFSET($H$3,0,0,'Données projet'!$E$11+1,1))</f>
        <v>464.73160475167867</v>
      </c>
      <c r="BJ18" s="62">
        <f t="shared" si="38"/>
        <v>241.31968359962227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59.443740649041374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45</v>
      </c>
      <c r="BW18" s="13">
        <f>VLOOKUP(A18,'Données projet'!$A$113:$I$133,9,0)</f>
        <v>6.8</v>
      </c>
      <c r="BX18" s="13">
        <f t="array" ref="BX18">INDEX(BW:BW,MIN(IF(ISNUMBER(BW18:BW214),ROW(BW18:BW214),"")))</f>
        <v>6.8</v>
      </c>
      <c r="BY18" s="13">
        <f>IF('Données projet'!$A$114&gt;35,BY17+BX18-CG17,IF(A18&lt;'Données projet'!$A$114,$BV$205^A18,IF(A18='Données projet'!$A$114,'Données projet'!$B$114,BY17+BX18-CG17)))</f>
        <v>45</v>
      </c>
      <c r="BZ18" s="14">
        <f>BY18*VLOOKUP('Données projet'!$B$12,Paramètres!$A$1:$I$89,3,0)*VLOOKUP('Données projet'!$B$12,Paramètres!$A$1:$I$89,5,0)</f>
        <v>29.483999999999998</v>
      </c>
      <c r="CA18" s="14">
        <f t="shared" si="39"/>
        <v>9.1638634703614379</v>
      </c>
      <c r="CB18" s="22">
        <f t="shared" si="10"/>
        <v>67.311695544212839</v>
      </c>
      <c r="CC18" s="62">
        <f t="shared" si="11"/>
        <v>303.60541125736455</v>
      </c>
      <c r="CD18" s="62">
        <f ca="1">AVERAGE(OFFSET($CC$3,0,0,'Données projet'!$E$12+1,1))-AVERAGE(OFFSET($H$3,0,0,'Données projet'!$E$12+1,1))</f>
        <v>292.13851489852607</v>
      </c>
      <c r="CE18" s="62">
        <f t="shared" si="40"/>
        <v>280.10866188737418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59.443740649041374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49</v>
      </c>
      <c r="CR18" s="13">
        <f>VLOOKUP(A18,'Données projet'!$A$139:$I$159,9,0)</f>
        <v>8</v>
      </c>
      <c r="CS18" s="13">
        <f t="array" ref="CS18">INDEX(CR:CR,MIN(IF(ISNUMBER(CR18:CR214),ROW(CR18:CR214),"")))</f>
        <v>8</v>
      </c>
      <c r="CT18" s="13">
        <f>IF('Données projet'!$A$140&gt;35,CT17+CS18-DB17,IF(A18&lt;'Données projet'!$A$140,$CQ$205^A18,IF(A18='Données projet'!$A$140,'Données projet'!$B$140,CT17+CS18-DB17)))</f>
        <v>49</v>
      </c>
      <c r="CU18" s="18">
        <f>CT18*VLOOKUP('Données projet'!$B$13,Paramètres!$A$1:$I$89,3,0)*VLOOKUP('Données projet'!$B$13,Paramètres!$A$1:$I$89,5,0)</f>
        <v>39.748800000000003</v>
      </c>
      <c r="CV18" s="14">
        <f t="shared" si="41"/>
        <v>11.932041927023215</v>
      </c>
      <c r="CW18" s="22">
        <f t="shared" si="13"/>
        <v>90.010799689565431</v>
      </c>
      <c r="CX18" s="62">
        <f t="shared" si="14"/>
        <v>326.30451540271713</v>
      </c>
      <c r="CY18" s="62">
        <f ca="1">AVERAGE(OFFSET($CX$3,0,0,'Données projet'!$E$13+1,1))-AVERAGE(OFFSET($H$3,0,0,'Données projet'!$E$13+1,1))</f>
        <v>265.25572936607409</v>
      </c>
      <c r="CZ18" s="62">
        <f t="shared" si="42"/>
        <v>307.96244316129071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59.443740649041374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47.435897435897431</v>
      </c>
      <c r="DM18" s="13">
        <f>VLOOKUP(A18,'Données projet'!$A$165:$I$185,9,0)</f>
        <v>3.1623931623931623</v>
      </c>
      <c r="DN18" s="13">
        <f t="array" ref="DN18">INDEX(DM:DM,MIN(IF(ISNUMBER(DM18:DM214),ROW(DM18:DM214),"")))</f>
        <v>3.1623931623931623</v>
      </c>
      <c r="DO18" s="13">
        <f>IF('Données projet'!$A$166&gt;35,DO17+DN18-DW17,IF(A18&lt;'Données projet'!$A$166,$DL$205^A18,IF(A18='Données projet'!$A$166,'Données projet'!$B$166,DO17+DN18-DW17)))</f>
        <v>47.435897435897431</v>
      </c>
      <c r="DP18" s="18">
        <f>DO18*VLOOKUP('Données projet'!$B$14,Paramètres!$A$1:$I$89,3,0)*VLOOKUP('Données projet'!$B$14,Paramètres!$A$1:$I$89,5,0)</f>
        <v>45.139999999999993</v>
      </c>
      <c r="DQ18" s="14">
        <f t="shared" si="43"/>
        <v>13.351272336364824</v>
      </c>
      <c r="DR18" s="22">
        <f t="shared" si="16"/>
        <v>101.87229931916873</v>
      </c>
      <c r="DS18" s="62">
        <f t="shared" si="17"/>
        <v>338.16601503232044</v>
      </c>
      <c r="DT18" s="62">
        <f ca="1">AVERAGE(OFFSET($DS$3,0,0,'Données projet'!$E$14+1,1))-AVERAGE(OFFSET($H$3,0,0,'Données projet'!$E$14+1,1))</f>
        <v>425.41154182732936</v>
      </c>
      <c r="DU18" s="62">
        <f t="shared" si="44"/>
        <v>306.44721925744591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59.443740649041374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64.5</v>
      </c>
      <c r="EH18" s="13">
        <f>VLOOKUP(A18,'Données projet'!$A$191:$I$211,9,0)</f>
        <v>10.68</v>
      </c>
      <c r="EI18" s="13">
        <f t="array" ref="EI18">INDEX(EH:EH,MIN(IF(ISNUMBER(EH18:EH214),ROW(EH18:EH214),"")))</f>
        <v>10.68</v>
      </c>
      <c r="EJ18" s="13">
        <f>IF('Données projet'!$A$192&gt;35,EJ17+EI18-ER17,IF(A18&lt;'Données projet'!$A$192,$EG$205^A18,IF(A18='Données projet'!$A$192,'Données projet'!$B$192,EJ17+EI18-ER17)))</f>
        <v>64.5</v>
      </c>
      <c r="EK18" s="18">
        <f>EJ18*VLOOKUP('Données projet'!$B$15,Paramètres!$A$1:$I$89,3,0)*VLOOKUP('Données projet'!$B$15,Paramètres!$A$1:$I$89,5,0)</f>
        <v>47.291399999999996</v>
      </c>
      <c r="EL18" s="14">
        <f t="shared" si="45"/>
        <v>13.91200070808976</v>
      </c>
      <c r="EM18" s="22">
        <f t="shared" si="19"/>
        <v>106.595922899923</v>
      </c>
      <c r="EN18" s="62">
        <f t="shared" si="20"/>
        <v>342.88963861307474</v>
      </c>
      <c r="EO18" s="62">
        <f ca="1">AVERAGE(OFFSET($EN$3,0,0,'Données projet'!$E$15+1,1))-AVERAGE(OFFSET($H$3,0,0,'Données projet'!$E$15+1,1))</f>
        <v>357.57626046668958</v>
      </c>
      <c r="EP18" s="62">
        <f t="shared" si="46"/>
        <v>386.90439522046199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59.443740649041374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40</v>
      </c>
      <c r="FC18" s="13">
        <f>VLOOKUP(A18,'Données projet'!$A$217:$I$237,9,0)</f>
        <v>2.6666666666666665</v>
      </c>
      <c r="FD18" s="13">
        <f t="array" ref="FD18">INDEX(FC:FC,MIN(IF(ISNUMBER(FC18:FC214),ROW(FC18:FC214),"")))</f>
        <v>2.6666666666666665</v>
      </c>
      <c r="FE18" s="13">
        <f>IF('Données projet'!$A$218&gt;35,FE17+FD18-FM17,IF(A18&lt;'Données projet'!$A$218,$FB$205^A18,IF(A18='Données projet'!$A$218,'Données projet'!$B$218,FE17+FD18-FM17)))</f>
        <v>40</v>
      </c>
      <c r="FF18" s="18">
        <f>FE18*VLOOKUP('Données projet'!$B$16,Paramètres!$A$1:$I$89,3,0)*VLOOKUP('Données projet'!$B$16,Paramètres!$A$1:$I$89,5,0)</f>
        <v>31.200000000000003</v>
      </c>
      <c r="FG18" s="14">
        <f t="shared" si="47"/>
        <v>9.6335657126419925</v>
      </c>
      <c r="FH18" s="22">
        <f t="shared" si="22"/>
        <v>71.118460282851473</v>
      </c>
      <c r="FI18" s="62">
        <f t="shared" si="23"/>
        <v>307.41217599600321</v>
      </c>
      <c r="FJ18" s="62">
        <f ca="1">AVERAGE(OFFSET($FI$3,0,0,'Données projet'!$E$16+1,1))-AVERAGE(OFFSET($H$3,0,0,'Données projet'!$E$16+1,1))</f>
        <v>303.56663121833833</v>
      </c>
      <c r="FK18" s="62">
        <f t="shared" si="48"/>
        <v>293.97736357938038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59.443740649041374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64.5</v>
      </c>
      <c r="FX18" s="13">
        <f>VLOOKUP(A18,'Données projet'!$A$243:$I$263,9,0)</f>
        <v>10.68</v>
      </c>
      <c r="FY18" s="13">
        <f t="array" ref="FY18">INDEX(FX:FX,MIN(IF(ISNUMBER(FX18:FX214),ROW(FX18:FX214),"")))</f>
        <v>10.68</v>
      </c>
      <c r="FZ18" s="13">
        <f>IF('Données projet'!$A$244&gt;35,FZ17+FY18-GH17,IF(A18&lt;'Données projet'!$A$244,$FW$205^A18,IF(A18='Données projet'!$A$244,'Données projet'!$B$244,FZ17+FY18-GH17)))</f>
        <v>64.5</v>
      </c>
      <c r="GA18" s="18">
        <f>FZ18*VLOOKUP('Données projet'!$B$17,Paramètres!$A$1:$I$89,3,0)*VLOOKUP('Données projet'!$B$17,Paramètres!$A$1:$I$89,5,0)</f>
        <v>51.316200000000009</v>
      </c>
      <c r="GB18" s="14">
        <f t="shared" si="49"/>
        <v>14.953158316506878</v>
      </c>
      <c r="GC18" s="22">
        <f t="shared" si="25"/>
        <v>115.41913240124948</v>
      </c>
      <c r="GD18" s="62">
        <f t="shared" si="26"/>
        <v>351.7128481144012</v>
      </c>
      <c r="GE18" s="62">
        <f ca="1">AVERAGE(OFFSET($GD$3,0,0,'Données projet'!$E$17+1,1))-AVERAGE(OFFSET($H$3,0,0,'Données projet'!$E$17+1,1))</f>
        <v>383.71724511025587</v>
      </c>
      <c r="GF18" s="62">
        <f t="shared" si="50"/>
        <v>415.10774719533185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59.443740649041374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>
        <f>VLOOKUP(A18,'Données projet'!$A$269:$I$289,2,0)</f>
        <v>50</v>
      </c>
      <c r="GS18" s="13">
        <f>VLOOKUP(A18,'Données projet'!$A$269:$I$289,9,0)</f>
        <v>3.3333333333333335</v>
      </c>
      <c r="GT18" s="13">
        <f t="array" ref="GT18">INDEX(GS:GS,MIN(IF(ISNUMBER(GS18:GS214),ROW(GS18:GS214),"")))</f>
        <v>3.3333333333333335</v>
      </c>
      <c r="GU18" s="13">
        <f>IF('Données projet'!$A$270&gt;35,GU17+GT18-HC17,IF(A18&lt;'Données projet'!$A$270,$GR$205^A18,IF(A18='Données projet'!$A$270,'Données projet'!$B$270,GU17+GT18-HC17)))</f>
        <v>50</v>
      </c>
      <c r="GV18" s="18">
        <f>GU18*VLOOKUP('Données projet'!$B$18,Paramètres!$A$1:$I$89,3,0)*VLOOKUP('Données projet'!$B$18,Paramètres!$A$1:$I$89,5,0)</f>
        <v>33.54</v>
      </c>
      <c r="GW18" s="14">
        <f t="shared" si="51"/>
        <v>10.269270252156668</v>
      </c>
      <c r="GX18" s="22">
        <f t="shared" si="28"/>
        <v>76.301145689172856</v>
      </c>
      <c r="GY18" s="62">
        <f t="shared" si="29"/>
        <v>312.59486140232457</v>
      </c>
      <c r="GZ18" s="62">
        <f ca="1">AVERAGE(OFFSET($GY$3,0,0,'Données projet'!$E$18+1,1))-AVERAGE(OFFSET($H$3,0,0,'Données projet'!$E$18+1,1))</f>
        <v>329.93956600482801</v>
      </c>
      <c r="HA18" s="62">
        <f t="shared" si="52"/>
        <v>268.69186630599165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2.7450000000000001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10.065</v>
      </c>
      <c r="H19" s="70">
        <f t="shared" si="1"/>
        <v>216.40666666666667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59.626868148520174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302.21010494598738</v>
      </c>
      <c r="S19" s="62">
        <f ca="1">AVERAGE(OFFSET($R$3,0,0,'Données projet'!$E$9+1,1))-AVERAGE(OFFSET($H$3,0,0,'Données projet'!$E$9+1,1))</f>
        <v>551.67307965706379</v>
      </c>
      <c r="T19" s="62">
        <f t="shared" si="34"/>
        <v>288.70738860523943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59.626868148520174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26.072138005225284</v>
      </c>
      <c r="AK19" s="14">
        <f t="shared" si="35"/>
        <v>8.2202636982343371</v>
      </c>
      <c r="AL19" s="22">
        <f t="shared" si="4"/>
        <v>59.725932966858835</v>
      </c>
      <c r="AM19" s="62">
        <f t="shared" si="5"/>
        <v>297.91333840032166</v>
      </c>
      <c r="AN19" s="62">
        <f ca="1">AVERAGE(OFFSET($AM$3,0,0,'Données projet'!$E$10+1,1))-AVERAGE(OFFSET($H$3,0,0,'Données projet'!$E$10+1,1))</f>
        <v>518.18933270904506</v>
      </c>
      <c r="AO19" s="62">
        <f t="shared" si="36"/>
        <v>272.44431899810411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59.626868148520174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2.8518518518518516</v>
      </c>
      <c r="BD19" s="13">
        <f>IF('Données projet'!$A$88&gt;35,BD18+BC19-BL18,IF(A19&lt;'Données projet'!$A$88,$BA$205^A19,IF(A19='Données projet'!$A$88,'Données projet'!$B$88,BD18+BC19-BL18)))</f>
        <v>13.119595033021842</v>
      </c>
      <c r="BE19" s="14">
        <f>BD19*VLOOKUP('Données projet'!$B$11,Paramètres!$A$1:$I$89,3,0)*VLOOKUP('Données projet'!$B$11,Paramètres!$A$1:$I$89,5,0)</f>
        <v>11.256612538332742</v>
      </c>
      <c r="BF19" s="14">
        <f t="shared" si="37"/>
        <v>3.9135953930839631</v>
      </c>
      <c r="BG19" s="22">
        <f t="shared" si="7"/>
        <v>26.421445480550759</v>
      </c>
      <c r="BH19" s="62">
        <f t="shared" si="8"/>
        <v>264.6088509140136</v>
      </c>
      <c r="BI19" s="62">
        <f ca="1">AVERAGE(OFFSET($BH$3,0,0,'Données projet'!$E$11+1,1))-AVERAGE(OFFSET($H$3,0,0,'Données projet'!$E$11+1,1))</f>
        <v>464.73160475167867</v>
      </c>
      <c r="BJ19" s="62">
        <f t="shared" si="38"/>
        <v>241.31968359962227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59.626868148520174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12</v>
      </c>
      <c r="BY19" s="13">
        <f>IF('Données projet'!$A$114&gt;35,BY18+BX19-CG18,IF(A19&lt;'Données projet'!$A$114,$BV$205^A19,IF(A19='Données projet'!$A$114,'Données projet'!$B$114,BY18+BX19-CG18)))</f>
        <v>57</v>
      </c>
      <c r="BZ19" s="14">
        <f>BY19*VLOOKUP('Données projet'!$B$12,Paramètres!$A$1:$I$89,3,0)*VLOOKUP('Données projet'!$B$12,Paramètres!$A$1:$I$89,5,0)</f>
        <v>37.346399999999996</v>
      </c>
      <c r="CA19" s="14">
        <f t="shared" si="39"/>
        <v>11.292524863342392</v>
      </c>
      <c r="CB19" s="22">
        <f t="shared" si="10"/>
        <v>84.712794136987995</v>
      </c>
      <c r="CC19" s="62">
        <f t="shared" si="11"/>
        <v>322.90019957045081</v>
      </c>
      <c r="CD19" s="62">
        <f ca="1">AVERAGE(OFFSET($CC$3,0,0,'Données projet'!$E$12+1,1))-AVERAGE(OFFSET($H$3,0,0,'Données projet'!$E$12+1,1))</f>
        <v>292.13851489852607</v>
      </c>
      <c r="CE19" s="62">
        <f t="shared" si="40"/>
        <v>280.10866188737418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59.626868148520174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10</v>
      </c>
      <c r="CT19" s="13">
        <f>IF('Données projet'!$A$140&gt;35,CT18+CS19-DB18,IF(A19&lt;'Données projet'!$A$140,$CQ$205^A19,IF(A19='Données projet'!$A$140,'Données projet'!$B$140,CT18+CS19-DB18)))</f>
        <v>59</v>
      </c>
      <c r="CU19" s="18">
        <f>CT19*VLOOKUP('Données projet'!$B$13,Paramètres!$A$1:$I$89,3,0)*VLOOKUP('Données projet'!$B$13,Paramètres!$A$1:$I$89,5,0)</f>
        <v>47.860800000000005</v>
      </c>
      <c r="CV19" s="14">
        <f t="shared" si="41"/>
        <v>14.059903887836867</v>
      </c>
      <c r="CW19" s="22">
        <f t="shared" si="13"/>
        <v>107.84522593798255</v>
      </c>
      <c r="CX19" s="62">
        <f t="shared" si="14"/>
        <v>346.0326313714454</v>
      </c>
      <c r="CY19" s="62">
        <f ca="1">AVERAGE(OFFSET($CX$3,0,0,'Données projet'!$E$13+1,1))-AVERAGE(OFFSET($H$3,0,0,'Données projet'!$E$13+1,1))</f>
        <v>265.25572936607409</v>
      </c>
      <c r="CZ19" s="62">
        <f t="shared" si="42"/>
        <v>307.96244316129071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59.626868148520174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7.4358974358974361</v>
      </c>
      <c r="DO19" s="13">
        <f>IF('Données projet'!$A$166&gt;35,DO18+DN19-DW18,IF(A19&lt;'Données projet'!$A$166,$DL$205^A19,IF(A19='Données projet'!$A$166,'Données projet'!$B$166,DO18+DN19-DW18)))</f>
        <v>54.871794871794869</v>
      </c>
      <c r="DP19" s="18">
        <f>DO19*VLOOKUP('Données projet'!$B$14,Paramètres!$A$1:$I$89,3,0)*VLOOKUP('Données projet'!$B$14,Paramètres!$A$1:$I$89,5,0)</f>
        <v>52.216000000000001</v>
      </c>
      <c r="DQ19" s="14">
        <f t="shared" si="43"/>
        <v>15.184598935068502</v>
      </c>
      <c r="DR19" s="22">
        <f t="shared" si="16"/>
        <v>117.38937647857762</v>
      </c>
      <c r="DS19" s="62">
        <f t="shared" si="17"/>
        <v>355.57678191204047</v>
      </c>
      <c r="DT19" s="62">
        <f ca="1">AVERAGE(OFFSET($DS$3,0,0,'Données projet'!$E$14+1,1))-AVERAGE(OFFSET($H$3,0,0,'Données projet'!$E$14+1,1))</f>
        <v>425.41154182732936</v>
      </c>
      <c r="DU19" s="62">
        <f t="shared" si="44"/>
        <v>306.44721925744591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59.626868148520174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13.760000000000002</v>
      </c>
      <c r="EJ19" s="13">
        <f>IF('Données projet'!$A$192&gt;35,EJ18+EI19-ER18,IF(A19&lt;'Données projet'!$A$192,$EG$205^A19,IF(A19='Données projet'!$A$192,'Données projet'!$B$192,EJ18+EI19-ER18)))</f>
        <v>78.260000000000005</v>
      </c>
      <c r="EK19" s="18">
        <f>EJ19*VLOOKUP('Données projet'!$B$15,Paramètres!$A$1:$I$89,3,0)*VLOOKUP('Données projet'!$B$15,Paramètres!$A$1:$I$89,5,0)</f>
        <v>57.380232000000007</v>
      </c>
      <c r="EL19" s="14">
        <f t="shared" si="45"/>
        <v>16.504198297054995</v>
      </c>
      <c r="EM19" s="22">
        <f t="shared" si="19"/>
        <v>128.68204943403745</v>
      </c>
      <c r="EN19" s="62">
        <f t="shared" si="20"/>
        <v>366.86945486750028</v>
      </c>
      <c r="EO19" s="62">
        <f ca="1">AVERAGE(OFFSET($EN$3,0,0,'Données projet'!$E$15+1,1))-AVERAGE(OFFSET($H$3,0,0,'Données projet'!$E$15+1,1))</f>
        <v>357.57626046668958</v>
      </c>
      <c r="EP19" s="62">
        <f t="shared" si="46"/>
        <v>386.90439522046199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59.626868148520174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9.6</v>
      </c>
      <c r="FE19" s="13">
        <f>IF('Données projet'!$A$218&gt;35,FE18+FD19-FM18,IF(A19&lt;'Données projet'!$A$218,$FB$205^A19,IF(A19='Données projet'!$A$218,'Données projet'!$B$218,FE18+FD19-FM18)))</f>
        <v>49.6</v>
      </c>
      <c r="FF19" s="18">
        <f>FE19*VLOOKUP('Données projet'!$B$16,Paramètres!$A$1:$I$89,3,0)*VLOOKUP('Données projet'!$B$16,Paramètres!$A$1:$I$89,5,0)</f>
        <v>38.688000000000002</v>
      </c>
      <c r="FG19" s="14">
        <f t="shared" si="47"/>
        <v>11.650229083154354</v>
      </c>
      <c r="FH19" s="22">
        <f t="shared" si="22"/>
        <v>87.672415653160499</v>
      </c>
      <c r="FI19" s="62">
        <f t="shared" si="23"/>
        <v>325.85982108662336</v>
      </c>
      <c r="FJ19" s="62">
        <f ca="1">AVERAGE(OFFSET($FI$3,0,0,'Données projet'!$E$16+1,1))-AVERAGE(OFFSET($H$3,0,0,'Données projet'!$E$16+1,1))</f>
        <v>303.56663121833833</v>
      </c>
      <c r="FK19" s="62">
        <f t="shared" si="48"/>
        <v>293.97736357938038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59.626868148520174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13.760000000000002</v>
      </c>
      <c r="FZ19" s="13">
        <f>IF('Données projet'!$A$244&gt;35,FZ18+FY19-GH18,IF(A19&lt;'Données projet'!$A$244,$FW$205^A19,IF(A19='Données projet'!$A$244,'Données projet'!$B$244,FZ18+FY19-GH18)))</f>
        <v>78.260000000000005</v>
      </c>
      <c r="GA19" s="18">
        <f>FZ19*VLOOKUP('Données projet'!$B$17,Paramètres!$A$1:$I$89,3,0)*VLOOKUP('Données projet'!$B$17,Paramètres!$A$1:$I$89,5,0)</f>
        <v>62.263656000000012</v>
      </c>
      <c r="GB19" s="14">
        <f t="shared" si="49"/>
        <v>17.739352894036266</v>
      </c>
      <c r="GC19" s="22">
        <f t="shared" si="25"/>
        <v>139.33857382377983</v>
      </c>
      <c r="GD19" s="62">
        <f t="shared" si="26"/>
        <v>377.52597925724262</v>
      </c>
      <c r="GE19" s="62">
        <f ca="1">AVERAGE(OFFSET($GD$3,0,0,'Données projet'!$E$17+1,1))-AVERAGE(OFFSET($H$3,0,0,'Données projet'!$E$17+1,1))</f>
        <v>383.71724511025587</v>
      </c>
      <c r="GF19" s="62">
        <f t="shared" si="50"/>
        <v>415.10774719533185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59.626868148520174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8.2051282051282044</v>
      </c>
      <c r="GU19" s="13">
        <f>IF('Données projet'!$A$270&gt;35,GU18+GT19-HC18,IF(A19&lt;'Données projet'!$A$270,$GR$205^A19,IF(A19='Données projet'!$A$270,'Données projet'!$B$270,GU18+GT19-HC18)))</f>
        <v>58.205128205128204</v>
      </c>
      <c r="GV19" s="18">
        <f>GU19*VLOOKUP('Données projet'!$B$18,Paramètres!$A$1:$I$89,3,0)*VLOOKUP('Données projet'!$B$18,Paramètres!$A$1:$I$89,5,0)</f>
        <v>39.043999999999997</v>
      </c>
      <c r="GW19" s="14">
        <f t="shared" si="51"/>
        <v>11.744903368873258</v>
      </c>
      <c r="GX19" s="22">
        <f t="shared" si="28"/>
        <v>88.457340034120918</v>
      </c>
      <c r="GY19" s="62">
        <f t="shared" si="29"/>
        <v>326.64474546758373</v>
      </c>
      <c r="GZ19" s="62">
        <f ca="1">AVERAGE(OFFSET($GY$3,0,0,'Données projet'!$E$18+1,1))-AVERAGE(OFFSET($H$3,0,0,'Données projet'!$E$18+1,1))</f>
        <v>329.93956600482801</v>
      </c>
      <c r="HA19" s="62">
        <f t="shared" si="52"/>
        <v>268.69186630599165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2.7450000000000001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10.065</v>
      </c>
      <c r="H20" s="70">
        <f t="shared" si="1"/>
        <v>216.40666666666667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59.806818795294767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318.94482156127231</v>
      </c>
      <c r="S20" s="62">
        <f ca="1">AVERAGE(OFFSET($R$3,0,0,'Données projet'!$E$9+1,1))-AVERAGE(OFFSET($H$3,0,0,'Données projet'!$E$9+1,1))</f>
        <v>551.67307965706379</v>
      </c>
      <c r="T20" s="62">
        <f t="shared" si="34"/>
        <v>288.70738860523943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59.806818795294767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32.310433828550828</v>
      </c>
      <c r="AK20" s="14">
        <f t="shared" si="35"/>
        <v>9.9359032392271498</v>
      </c>
      <c r="AL20" s="22">
        <f t="shared" si="4"/>
        <v>73.579037059713301</v>
      </c>
      <c r="AM20" s="62">
        <f t="shared" si="5"/>
        <v>313.6484837535719</v>
      </c>
      <c r="AN20" s="62">
        <f ca="1">AVERAGE(OFFSET($AM$3,0,0,'Données projet'!$E$10+1,1))-AVERAGE(OFFSET($H$3,0,0,'Données projet'!$E$10+1,1))</f>
        <v>518.18933270904506</v>
      </c>
      <c r="AO20" s="62">
        <f t="shared" si="36"/>
        <v>272.44431899810411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59.806818795294767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2.8518518518518516</v>
      </c>
      <c r="BD20" s="13">
        <f>IF('Données projet'!$A$88&gt;35,BD19+BC20-BL19,IF(A20&lt;'Données projet'!$A$88,$BA$205^A20,IF(A20='Données projet'!$A$88,'Données projet'!$B$88,BD19+BC20-BL19)))</f>
        <v>15.40956774959704</v>
      </c>
      <c r="BE20" s="14">
        <f>BD20*VLOOKUP('Données projet'!$B$11,Paramètres!$A$1:$I$89,3,0)*VLOOKUP('Données projet'!$B$11,Paramètres!$A$1:$I$89,5,0)</f>
        <v>13.221409129154262</v>
      </c>
      <c r="BF20" s="14">
        <f t="shared" si="37"/>
        <v>4.5114181232179265</v>
      </c>
      <c r="BG20" s="22">
        <f t="shared" si="7"/>
        <v>30.884674131214894</v>
      </c>
      <c r="BH20" s="62">
        <f t="shared" si="8"/>
        <v>270.95412082507346</v>
      </c>
      <c r="BI20" s="62">
        <f ca="1">AVERAGE(OFFSET($BH$3,0,0,'Données projet'!$E$11+1,1))-AVERAGE(OFFSET($H$3,0,0,'Données projet'!$E$11+1,1))</f>
        <v>464.73160475167867</v>
      </c>
      <c r="BJ20" s="62">
        <f t="shared" si="38"/>
        <v>241.31968359962227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59.806818795294767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12</v>
      </c>
      <c r="BY20" s="13">
        <f>IF('Données projet'!$A$114&gt;35,BY19+BX20-CG19,IF(A20&lt;'Données projet'!$A$114,$BV$205^A20,IF(A20='Données projet'!$A$114,'Données projet'!$B$114,BY19+BX20-CG19)))</f>
        <v>69</v>
      </c>
      <c r="BZ20" s="14">
        <f>BY20*VLOOKUP('Données projet'!$B$12,Paramètres!$A$1:$I$89,3,0)*VLOOKUP('Données projet'!$B$12,Paramètres!$A$1:$I$89,5,0)</f>
        <v>45.208800000000004</v>
      </c>
      <c r="CA20" s="14">
        <f t="shared" si="39"/>
        <v>13.369251386406743</v>
      </c>
      <c r="CB20" s="22">
        <f t="shared" si="10"/>
        <v>102.02343949799173</v>
      </c>
      <c r="CC20" s="62">
        <f t="shared" si="11"/>
        <v>342.09288619185031</v>
      </c>
      <c r="CD20" s="62">
        <f ca="1">AVERAGE(OFFSET($CC$3,0,0,'Données projet'!$E$12+1,1))-AVERAGE(OFFSET($H$3,0,0,'Données projet'!$E$12+1,1))</f>
        <v>292.13851489852607</v>
      </c>
      <c r="CE20" s="62">
        <f t="shared" si="40"/>
        <v>280.10866188737418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59.806818795294767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10</v>
      </c>
      <c r="CT20" s="13">
        <f>IF('Données projet'!$A$140&gt;35,CT19+CS20-DB19,IF(A20&lt;'Données projet'!$A$140,$CQ$205^A20,IF(A20='Données projet'!$A$140,'Données projet'!$B$140,CT19+CS20-DB19)))</f>
        <v>69</v>
      </c>
      <c r="CU20" s="18">
        <f>CT20*VLOOKUP('Données projet'!$B$13,Paramètres!$A$1:$I$89,3,0)*VLOOKUP('Données projet'!$B$13,Paramètres!$A$1:$I$89,5,0)</f>
        <v>55.972800000000007</v>
      </c>
      <c r="CV20" s="14">
        <f t="shared" si="41"/>
        <v>16.145985978099571</v>
      </c>
      <c r="CW20" s="22">
        <f t="shared" si="13"/>
        <v>125.60688557852342</v>
      </c>
      <c r="CX20" s="62">
        <f t="shared" si="14"/>
        <v>365.67633227238201</v>
      </c>
      <c r="CY20" s="62">
        <f ca="1">AVERAGE(OFFSET($CX$3,0,0,'Données projet'!$E$13+1,1))-AVERAGE(OFFSET($H$3,0,0,'Données projet'!$E$13+1,1))</f>
        <v>265.25572936607409</v>
      </c>
      <c r="CZ20" s="62">
        <f t="shared" si="42"/>
        <v>307.96244316129071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59.806818795294767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7.4358974358974361</v>
      </c>
      <c r="DO20" s="13">
        <f>IF('Données projet'!$A$166&gt;35,DO19+DN20-DW19,IF(A20&lt;'Données projet'!$A$166,$DL$205^A20,IF(A20='Données projet'!$A$166,'Données projet'!$B$166,DO19+DN20-DW19)))</f>
        <v>62.307692307692307</v>
      </c>
      <c r="DP20" s="18">
        <f>DO20*VLOOKUP('Données projet'!$B$14,Paramètres!$A$1:$I$89,3,0)*VLOOKUP('Données projet'!$B$14,Paramètres!$A$1:$I$89,5,0)</f>
        <v>59.292000000000002</v>
      </c>
      <c r="DQ20" s="14">
        <f t="shared" si="43"/>
        <v>16.98914092257921</v>
      </c>
      <c r="DR20" s="22">
        <f t="shared" si="16"/>
        <v>132.85632044015878</v>
      </c>
      <c r="DS20" s="62">
        <f t="shared" si="17"/>
        <v>372.92576713401741</v>
      </c>
      <c r="DT20" s="62">
        <f ca="1">AVERAGE(OFFSET($DS$3,0,0,'Données projet'!$E$14+1,1))-AVERAGE(OFFSET($H$3,0,0,'Données projet'!$E$14+1,1))</f>
        <v>425.41154182732936</v>
      </c>
      <c r="DU20" s="62">
        <f t="shared" si="44"/>
        <v>306.44721925744591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59.806818795294767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13.760000000000002</v>
      </c>
      <c r="EJ20" s="13">
        <f>IF('Données projet'!$A$192&gt;35,EJ19+EI20-ER19,IF(A20&lt;'Données projet'!$A$192,$EG$205^A20,IF(A20='Données projet'!$A$192,'Données projet'!$B$192,EJ19+EI20-ER19)))</f>
        <v>92.02000000000001</v>
      </c>
      <c r="EK20" s="18">
        <f>EJ20*VLOOKUP('Données projet'!$B$15,Paramètres!$A$1:$I$89,3,0)*VLOOKUP('Données projet'!$B$15,Paramètres!$A$1:$I$89,5,0)</f>
        <v>67.469064000000003</v>
      </c>
      <c r="EL20" s="14">
        <f t="shared" si="45"/>
        <v>19.043596226295445</v>
      </c>
      <c r="EM20" s="22">
        <f t="shared" si="19"/>
        <v>150.67621656079791</v>
      </c>
      <c r="EN20" s="62">
        <f t="shared" si="20"/>
        <v>390.74566325465651</v>
      </c>
      <c r="EO20" s="62">
        <f ca="1">AVERAGE(OFFSET($EN$3,0,0,'Données projet'!$E$15+1,1))-AVERAGE(OFFSET($H$3,0,0,'Données projet'!$E$15+1,1))</f>
        <v>357.57626046668958</v>
      </c>
      <c r="EP20" s="62">
        <f t="shared" si="46"/>
        <v>386.90439522046199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59.806818795294767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9.6</v>
      </c>
      <c r="FE20" s="13">
        <f>IF('Données projet'!$A$218&gt;35,FE19+FD20-FM19,IF(A20&lt;'Données projet'!$A$218,$FB$205^A20,IF(A20='Données projet'!$A$218,'Données projet'!$B$218,FE19+FD20-FM19)))</f>
        <v>59.2</v>
      </c>
      <c r="FF20" s="18">
        <f>FE20*VLOOKUP('Données projet'!$B$16,Paramètres!$A$1:$I$89,3,0)*VLOOKUP('Données projet'!$B$16,Paramètres!$A$1:$I$89,5,0)</f>
        <v>46.176000000000002</v>
      </c>
      <c r="FG20" s="14">
        <f t="shared" si="47"/>
        <v>13.621668778540489</v>
      </c>
      <c r="FH20" s="22">
        <f t="shared" si="22"/>
        <v>104.14760645595801</v>
      </c>
      <c r="FI20" s="62">
        <f t="shared" si="23"/>
        <v>344.21705314981659</v>
      </c>
      <c r="FJ20" s="62">
        <f ca="1">AVERAGE(OFFSET($FI$3,0,0,'Données projet'!$E$16+1,1))-AVERAGE(OFFSET($H$3,0,0,'Données projet'!$E$16+1,1))</f>
        <v>303.56663121833833</v>
      </c>
      <c r="FK20" s="62">
        <f t="shared" si="48"/>
        <v>293.97736357938038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59.806818795294767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13.760000000000002</v>
      </c>
      <c r="FZ20" s="13">
        <f>IF('Données projet'!$A$244&gt;35,FZ19+FY20-GH19,IF(A20&lt;'Données projet'!$A$244,$FW$205^A20,IF(A20='Données projet'!$A$244,'Données projet'!$B$244,FZ19+FY20-GH19)))</f>
        <v>92.02000000000001</v>
      </c>
      <c r="GA20" s="18">
        <f>FZ20*VLOOKUP('Données projet'!$B$17,Paramètres!$A$1:$I$89,3,0)*VLOOKUP('Données projet'!$B$17,Paramètres!$A$1:$I$89,5,0)</f>
        <v>73.211112000000014</v>
      </c>
      <c r="GB20" s="14">
        <f t="shared" si="49"/>
        <v>20.468796348022103</v>
      </c>
      <c r="GC20" s="22">
        <f t="shared" si="25"/>
        <v>163.15917370613849</v>
      </c>
      <c r="GD20" s="62">
        <f t="shared" si="26"/>
        <v>403.22862039999711</v>
      </c>
      <c r="GE20" s="62">
        <f ca="1">AVERAGE(OFFSET($GD$3,0,0,'Données projet'!$E$17+1,1))-AVERAGE(OFFSET($H$3,0,0,'Données projet'!$E$17+1,1))</f>
        <v>383.71724511025587</v>
      </c>
      <c r="GF20" s="62">
        <f t="shared" si="50"/>
        <v>415.10774719533185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59.806818795294767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8.2051282051282044</v>
      </c>
      <c r="GU20" s="13">
        <f>IF('Données projet'!$A$270&gt;35,GU19+GT20-HC19,IF(A20&lt;'Données projet'!$A$270,$GR$205^A20,IF(A20='Données projet'!$A$270,'Données projet'!$B$270,GU19+GT20-HC19)))</f>
        <v>66.410256410256409</v>
      </c>
      <c r="GV20" s="18">
        <f>GU20*VLOOKUP('Données projet'!$B$18,Paramètres!$A$1:$I$89,3,0)*VLOOKUP('Données projet'!$B$18,Paramètres!$A$1:$I$89,5,0)</f>
        <v>44.548000000000002</v>
      </c>
      <c r="GW20" s="14">
        <f t="shared" si="51"/>
        <v>13.196436493358</v>
      </c>
      <c r="GX20" s="22">
        <f t="shared" si="28"/>
        <v>100.57156022593183</v>
      </c>
      <c r="GY20" s="62">
        <f t="shared" si="29"/>
        <v>340.64100691979041</v>
      </c>
      <c r="GZ20" s="62">
        <f ca="1">AVERAGE(OFFSET($GY$3,0,0,'Données projet'!$E$18+1,1))-AVERAGE(OFFSET($H$3,0,0,'Données projet'!$E$18+1,1))</f>
        <v>329.93956600482801</v>
      </c>
      <c r="HA20" s="62">
        <f t="shared" si="52"/>
        <v>268.69186630599165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2.7450000000000001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10.065</v>
      </c>
      <c r="H21" s="70">
        <f t="shared" si="1"/>
        <v>216.40666666666667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59.983647700657201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339.12462660023544</v>
      </c>
      <c r="S21" s="62">
        <f ca="1">AVERAGE(OFFSET($R$3,0,0,'Données projet'!$E$9+1,1))-AVERAGE(OFFSET($H$3,0,0,'Données projet'!$E$9+1,1))</f>
        <v>551.67307965706379</v>
      </c>
      <c r="T21" s="62">
        <f t="shared" si="34"/>
        <v>288.70738860523943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59.983647700657201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40.041370369393334</v>
      </c>
      <c r="AK21" s="14">
        <f t="shared" si="35"/>
        <v>12.009611467876571</v>
      </c>
      <c r="AL21" s="22">
        <f t="shared" si="4"/>
        <v>90.655460033245092</v>
      </c>
      <c r="AM21" s="62">
        <f t="shared" si="5"/>
        <v>332.59550160232146</v>
      </c>
      <c r="AN21" s="62">
        <f ca="1">AVERAGE(OFFSET($AM$3,0,0,'Données projet'!$E$10+1,1))-AVERAGE(OFFSET($H$3,0,0,'Données projet'!$E$10+1,1))</f>
        <v>518.18933270904506</v>
      </c>
      <c r="AO21" s="62">
        <f t="shared" si="36"/>
        <v>272.44431899810411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59.983647700657201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2.8518518518518516</v>
      </c>
      <c r="BD21" s="13">
        <f>IF('Données projet'!$A$88&gt;35,BD20+BC21-BL20,IF(A21&lt;'Données projet'!$A$88,$BA$205^A21,IF(A21='Données projet'!$A$88,'Données projet'!$B$88,BD20+BC21-BL20)))</f>
        <v>18.099246023352912</v>
      </c>
      <c r="BE21" s="14">
        <f>BD21*VLOOKUP('Données projet'!$B$11,Paramètres!$A$1:$I$89,3,0)*VLOOKUP('Données projet'!$B$11,Paramètres!$A$1:$I$89,5,0)</f>
        <v>15.5291530880368</v>
      </c>
      <c r="BF21" s="14">
        <f t="shared" si="37"/>
        <v>5.2005614884120197</v>
      </c>
      <c r="BG21" s="22">
        <f t="shared" si="7"/>
        <v>36.104252887315027</v>
      </c>
      <c r="BH21" s="62">
        <f t="shared" si="8"/>
        <v>278.04429445639141</v>
      </c>
      <c r="BI21" s="62">
        <f ca="1">AVERAGE(OFFSET($BH$3,0,0,'Données projet'!$E$11+1,1))-AVERAGE(OFFSET($H$3,0,0,'Données projet'!$E$11+1,1))</f>
        <v>464.73160475167867</v>
      </c>
      <c r="BJ21" s="62">
        <f t="shared" si="38"/>
        <v>241.31968359962227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59.983647700657201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12</v>
      </c>
      <c r="BY21" s="13">
        <f>IF('Données projet'!$A$114&gt;35,BY20+BX21-CG20,IF(A21&lt;'Données projet'!$A$114,$BV$205^A21,IF(A21='Données projet'!$A$114,'Données projet'!$B$114,BY20+BX21-CG20)))</f>
        <v>81</v>
      </c>
      <c r="BZ21" s="14">
        <f>BY21*VLOOKUP('Données projet'!$B$12,Paramètres!$A$1:$I$89,3,0)*VLOOKUP('Données projet'!$B$12,Paramètres!$A$1:$I$89,5,0)</f>
        <v>53.071199999999997</v>
      </c>
      <c r="CA21" s="14">
        <f t="shared" si="39"/>
        <v>15.404137822648016</v>
      </c>
      <c r="CB21" s="22">
        <f t="shared" si="10"/>
        <v>119.26121337444529</v>
      </c>
      <c r="CC21" s="62">
        <f t="shared" si="11"/>
        <v>361.20125494352169</v>
      </c>
      <c r="CD21" s="62">
        <f ca="1">AVERAGE(OFFSET($CC$3,0,0,'Données projet'!$E$12+1,1))-AVERAGE(OFFSET($H$3,0,0,'Données projet'!$E$12+1,1))</f>
        <v>292.13851489852607</v>
      </c>
      <c r="CE21" s="62">
        <f t="shared" si="40"/>
        <v>280.10866188737418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59.983647700657201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10</v>
      </c>
      <c r="CT21" s="13">
        <f>IF('Données projet'!$A$140&gt;35,CT20+CS21-DB20,IF(A21&lt;'Données projet'!$A$140,$CQ$205^A21,IF(A21='Données projet'!$A$140,'Données projet'!$B$140,CT20+CS21-DB20)))</f>
        <v>79</v>
      </c>
      <c r="CU21" s="18">
        <f>CT21*VLOOKUP('Données projet'!$B$13,Paramètres!$A$1:$I$89,3,0)*VLOOKUP('Données projet'!$B$13,Paramètres!$A$1:$I$89,5,0)</f>
        <v>64.084800000000001</v>
      </c>
      <c r="CV21" s="14">
        <f t="shared" si="41"/>
        <v>18.197042620605469</v>
      </c>
      <c r="CW21" s="22">
        <f t="shared" si="13"/>
        <v>143.30754256422119</v>
      </c>
      <c r="CX21" s="62">
        <f t="shared" si="14"/>
        <v>385.24758413329755</v>
      </c>
      <c r="CY21" s="62">
        <f ca="1">AVERAGE(OFFSET($CX$3,0,0,'Données projet'!$E$13+1,1))-AVERAGE(OFFSET($H$3,0,0,'Données projet'!$E$13+1,1))</f>
        <v>265.25572936607409</v>
      </c>
      <c r="CZ21" s="62">
        <f t="shared" si="42"/>
        <v>307.96244316129071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59.983647700657201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7.4358974358974361</v>
      </c>
      <c r="DO21" s="13">
        <f>IF('Données projet'!$A$166&gt;35,DO20+DN21-DW20,IF(A21&lt;'Données projet'!$A$166,$DL$205^A21,IF(A21='Données projet'!$A$166,'Données projet'!$B$166,DO20+DN21-DW20)))</f>
        <v>69.743589743589737</v>
      </c>
      <c r="DP21" s="18">
        <f>DO21*VLOOKUP('Données projet'!$B$14,Paramètres!$A$1:$I$89,3,0)*VLOOKUP('Données projet'!$B$14,Paramètres!$A$1:$I$89,5,0)</f>
        <v>66.367999999999995</v>
      </c>
      <c r="DQ21" s="14">
        <f t="shared" si="43"/>
        <v>18.768726208561709</v>
      </c>
      <c r="DR21" s="22">
        <f t="shared" si="16"/>
        <v>148.27979814657829</v>
      </c>
      <c r="DS21" s="62">
        <f t="shared" si="17"/>
        <v>390.21983971565464</v>
      </c>
      <c r="DT21" s="62">
        <f ca="1">AVERAGE(OFFSET($DS$3,0,0,'Données projet'!$E$14+1,1))-AVERAGE(OFFSET($H$3,0,0,'Données projet'!$E$14+1,1))</f>
        <v>425.41154182732936</v>
      </c>
      <c r="DU21" s="62">
        <f t="shared" si="44"/>
        <v>306.44721925744591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59.983647700657201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13.760000000000002</v>
      </c>
      <c r="EJ21" s="13">
        <f>IF('Données projet'!$A$192&gt;35,EJ20+EI21-ER20,IF(A21&lt;'Données projet'!$A$192,$EG$205^A21,IF(A21='Données projet'!$A$192,'Données projet'!$B$192,EJ20+EI21-ER20)))</f>
        <v>105.78000000000002</v>
      </c>
      <c r="EK21" s="18">
        <f>EJ21*VLOOKUP('Données projet'!$B$15,Paramètres!$A$1:$I$89,3,0)*VLOOKUP('Données projet'!$B$15,Paramètres!$A$1:$I$89,5,0)</f>
        <v>77.557896000000014</v>
      </c>
      <c r="EL21" s="14">
        <f t="shared" si="45"/>
        <v>21.539003916671845</v>
      </c>
      <c r="EM21" s="22">
        <f t="shared" si="19"/>
        <v>172.59376735487015</v>
      </c>
      <c r="EN21" s="62">
        <f t="shared" si="20"/>
        <v>414.53380892394654</v>
      </c>
      <c r="EO21" s="62">
        <f ca="1">AVERAGE(OFFSET($EN$3,0,0,'Données projet'!$E$15+1,1))-AVERAGE(OFFSET($H$3,0,0,'Données projet'!$E$15+1,1))</f>
        <v>357.57626046668958</v>
      </c>
      <c r="EP21" s="62">
        <f t="shared" si="46"/>
        <v>386.90439522046199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59.983647700657201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9.6</v>
      </c>
      <c r="FE21" s="13">
        <f>IF('Données projet'!$A$218&gt;35,FE20+FD21-FM20,IF(A21&lt;'Données projet'!$A$218,$FB$205^A21,IF(A21='Données projet'!$A$218,'Données projet'!$B$218,FE20+FD21-FM20)))</f>
        <v>68.8</v>
      </c>
      <c r="FF21" s="18">
        <f>FE21*VLOOKUP('Données projet'!$B$16,Paramètres!$A$1:$I$89,3,0)*VLOOKUP('Données projet'!$B$16,Paramètres!$A$1:$I$89,5,0)</f>
        <v>53.664000000000001</v>
      </c>
      <c r="FG21" s="14">
        <f t="shared" si="47"/>
        <v>15.556073979202782</v>
      </c>
      <c r="FH21" s="22">
        <f t="shared" si="22"/>
        <v>120.55829551377816</v>
      </c>
      <c r="FI21" s="62">
        <f t="shared" si="23"/>
        <v>362.49833708285456</v>
      </c>
      <c r="FJ21" s="62">
        <f ca="1">AVERAGE(OFFSET($FI$3,0,0,'Données projet'!$E$16+1,1))-AVERAGE(OFFSET($H$3,0,0,'Données projet'!$E$16+1,1))</f>
        <v>303.56663121833833</v>
      </c>
      <c r="FK21" s="62">
        <f t="shared" si="48"/>
        <v>293.97736357938038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59.983647700657201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13.760000000000002</v>
      </c>
      <c r="FZ21" s="13">
        <f>IF('Données projet'!$A$244&gt;35,FZ20+FY21-GH20,IF(A21&lt;'Données projet'!$A$244,$FW$205^A21,IF(A21='Données projet'!$A$244,'Données projet'!$B$244,FZ20+FY21-GH20)))</f>
        <v>105.78000000000002</v>
      </c>
      <c r="GA21" s="18">
        <f>FZ21*VLOOKUP('Données projet'!$B$17,Paramètres!$A$1:$I$89,3,0)*VLOOKUP('Données projet'!$B$17,Paramètres!$A$1:$I$89,5,0)</f>
        <v>84.158568000000017</v>
      </c>
      <c r="GB21" s="14">
        <f t="shared" si="49"/>
        <v>23.15095738591862</v>
      </c>
      <c r="GC21" s="22">
        <f t="shared" si="25"/>
        <v>186.89742338047495</v>
      </c>
      <c r="GD21" s="62">
        <f t="shared" si="26"/>
        <v>428.8374649495513</v>
      </c>
      <c r="GE21" s="62">
        <f ca="1">AVERAGE(OFFSET($GD$3,0,0,'Données projet'!$E$17+1,1))-AVERAGE(OFFSET($H$3,0,0,'Données projet'!$E$17+1,1))</f>
        <v>383.71724511025587</v>
      </c>
      <c r="GF21" s="62">
        <f t="shared" si="50"/>
        <v>415.10774719533185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59.983647700657201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8.2051282051282044</v>
      </c>
      <c r="GU21" s="13">
        <f>IF('Données projet'!$A$270&gt;35,GU20+GT21-HC20,IF(A21&lt;'Données projet'!$A$270,$GR$205^A21,IF(A21='Données projet'!$A$270,'Données projet'!$B$270,GU20+GT21-HC20)))</f>
        <v>74.615384615384613</v>
      </c>
      <c r="GV21" s="18">
        <f>GU21*VLOOKUP('Données projet'!$B$18,Paramètres!$A$1:$I$89,3,0)*VLOOKUP('Données projet'!$B$18,Paramètres!$A$1:$I$89,5,0)</f>
        <v>50.052</v>
      </c>
      <c r="GW21" s="14">
        <f t="shared" si="51"/>
        <v>14.62718807768414</v>
      </c>
      <c r="GX21" s="22">
        <f t="shared" si="28"/>
        <v>112.64958590196655</v>
      </c>
      <c r="GY21" s="62">
        <f t="shared" si="29"/>
        <v>354.58962747104295</v>
      </c>
      <c r="GZ21" s="62">
        <f ca="1">AVERAGE(OFFSET($GY$3,0,0,'Données projet'!$E$18+1,1))-AVERAGE(OFFSET($H$3,0,0,'Données projet'!$E$18+1,1))</f>
        <v>329.93956600482801</v>
      </c>
      <c r="HA21" s="62">
        <f t="shared" si="52"/>
        <v>268.69186630599165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2.7450000000000001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10.065</v>
      </c>
      <c r="H22" s="70">
        <f t="shared" si="1"/>
        <v>216.40666666666667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60.157409019841801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363.55646392305209</v>
      </c>
      <c r="S22" s="62">
        <f ca="1">AVERAGE(OFFSET($R$3,0,0,'Données projet'!$E$9+1,1))-AVERAGE(OFFSET($H$3,0,0,'Données projet'!$E$9+1,1))</f>
        <v>551.67307965706379</v>
      </c>
      <c r="T22" s="62">
        <f t="shared" si="34"/>
        <v>288.70738860523943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60.157409019841801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49.622092651760646</v>
      </c>
      <c r="AK22" s="14">
        <f t="shared" si="35"/>
        <v>14.516120390537463</v>
      </c>
      <c r="AL22" s="22">
        <f t="shared" si="4"/>
        <v>111.70738771533587</v>
      </c>
      <c r="AM22" s="62">
        <f t="shared" si="5"/>
        <v>355.50677634364467</v>
      </c>
      <c r="AN22" s="62">
        <f ca="1">AVERAGE(OFFSET($AM$3,0,0,'Données projet'!$E$10+1,1))-AVERAGE(OFFSET($H$3,0,0,'Données projet'!$E$10+1,1))</f>
        <v>518.18933270904506</v>
      </c>
      <c r="AO22" s="62">
        <f t="shared" si="36"/>
        <v>272.44431899810411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60.157409019841801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2.8518518518518516</v>
      </c>
      <c r="BD22" s="13">
        <f>IF('Données projet'!$A$88&gt;35,BD21+BC22-BL21,IF(A22&lt;'Données projet'!$A$88,$BA$205^A22,IF(A22='Données projet'!$A$88,'Données projet'!$B$88,BD21+BC22-BL21)))</f>
        <v>21.25839685687631</v>
      </c>
      <c r="BE22" s="14">
        <f>BD22*VLOOKUP('Données projet'!$B$11,Paramètres!$A$1:$I$89,3,0)*VLOOKUP('Données projet'!$B$11,Paramètres!$A$1:$I$89,5,0)</f>
        <v>18.239704503199878</v>
      </c>
      <c r="BF22" s="14">
        <f t="shared" si="37"/>
        <v>5.9949752064796131</v>
      </c>
      <c r="BG22" s="22">
        <f t="shared" si="7"/>
        <v>42.208733827691781</v>
      </c>
      <c r="BH22" s="62">
        <f t="shared" si="8"/>
        <v>286.00812245600059</v>
      </c>
      <c r="BI22" s="62">
        <f ca="1">AVERAGE(OFFSET($BH$3,0,0,'Données projet'!$E$11+1,1))-AVERAGE(OFFSET($H$3,0,0,'Données projet'!$E$11+1,1))</f>
        <v>464.73160475167867</v>
      </c>
      <c r="BJ22" s="62">
        <f t="shared" si="38"/>
        <v>241.31968359962227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60.157409019841801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12</v>
      </c>
      <c r="BY22" s="13">
        <f>IF('Données projet'!$A$114&gt;35,BY21+BX22-CG21,IF(A22&lt;'Données projet'!$A$114,$BV$205^A22,IF(A22='Données projet'!$A$114,'Données projet'!$B$114,BY21+BX22-CG21)))</f>
        <v>93</v>
      </c>
      <c r="BZ22" s="14">
        <f>BY22*VLOOKUP('Données projet'!$B$12,Paramètres!$A$1:$I$89,3,0)*VLOOKUP('Données projet'!$B$12,Paramètres!$A$1:$I$89,5,0)</f>
        <v>60.933599999999991</v>
      </c>
      <c r="CA22" s="14">
        <f t="shared" si="39"/>
        <v>17.404099852856145</v>
      </c>
      <c r="CB22" s="22">
        <f t="shared" si="10"/>
        <v>136.43816057705777</v>
      </c>
      <c r="CC22" s="62">
        <f t="shared" si="11"/>
        <v>380.23754920536658</v>
      </c>
      <c r="CD22" s="62">
        <f ca="1">AVERAGE(OFFSET($CC$3,0,0,'Données projet'!$E$12+1,1))-AVERAGE(OFFSET($H$3,0,0,'Données projet'!$E$12+1,1))</f>
        <v>292.13851489852607</v>
      </c>
      <c r="CE22" s="62">
        <f t="shared" si="40"/>
        <v>280.10866188737418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60.157409019841801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10</v>
      </c>
      <c r="CT22" s="13">
        <f>IF('Données projet'!$A$140&gt;35,CT21+CS22-DB21,IF(A22&lt;'Données projet'!$A$140,$CQ$205^A22,IF(A22='Données projet'!$A$140,'Données projet'!$B$140,CT21+CS22-DB21)))</f>
        <v>89</v>
      </c>
      <c r="CU22" s="18">
        <f>CT22*VLOOKUP('Données projet'!$B$13,Paramètres!$A$1:$I$89,3,0)*VLOOKUP('Données projet'!$B$13,Paramètres!$A$1:$I$89,5,0)</f>
        <v>72.19680000000001</v>
      </c>
      <c r="CV22" s="14">
        <f t="shared" si="41"/>
        <v>20.218015459285922</v>
      </c>
      <c r="CW22" s="22">
        <f t="shared" si="13"/>
        <v>160.95580359158967</v>
      </c>
      <c r="CX22" s="62">
        <f t="shared" si="14"/>
        <v>404.7551922198985</v>
      </c>
      <c r="CY22" s="62">
        <f ca="1">AVERAGE(OFFSET($CX$3,0,0,'Données projet'!$E$13+1,1))-AVERAGE(OFFSET($H$3,0,0,'Données projet'!$E$13+1,1))</f>
        <v>265.25572936607409</v>
      </c>
      <c r="CZ22" s="62">
        <f t="shared" si="42"/>
        <v>307.96244316129071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60.157409019841801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7.4358974358974361</v>
      </c>
      <c r="DO22" s="13">
        <f>IF('Données projet'!$A$166&gt;35,DO21+DN22-DW21,IF(A22&lt;'Données projet'!$A$166,$DL$205^A22,IF(A22='Données projet'!$A$166,'Données projet'!$B$166,DO21+DN22-DW21)))</f>
        <v>77.179487179487168</v>
      </c>
      <c r="DP22" s="18">
        <f>DO22*VLOOKUP('Données projet'!$B$14,Paramètres!$A$1:$I$89,3,0)*VLOOKUP('Données projet'!$B$14,Paramètres!$A$1:$I$89,5,0)</f>
        <v>73.443999999999988</v>
      </c>
      <c r="DQ22" s="14">
        <f t="shared" si="43"/>
        <v>20.526318854777685</v>
      </c>
      <c r="DR22" s="22">
        <f t="shared" si="16"/>
        <v>163.66497200540442</v>
      </c>
      <c r="DS22" s="62">
        <f t="shared" si="17"/>
        <v>407.46436063371323</v>
      </c>
      <c r="DT22" s="62">
        <f ca="1">AVERAGE(OFFSET($DS$3,0,0,'Données projet'!$E$14+1,1))-AVERAGE(OFFSET($H$3,0,0,'Données projet'!$E$14+1,1))</f>
        <v>425.41154182732936</v>
      </c>
      <c r="DU22" s="62">
        <f t="shared" si="44"/>
        <v>306.44721925744591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60.157409019841801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13.760000000000002</v>
      </c>
      <c r="EJ22" s="13">
        <f>IF('Données projet'!$A$192&gt;35,EJ21+EI22-ER21,IF(A22&lt;'Données projet'!$A$192,$EG$205^A22,IF(A22='Données projet'!$A$192,'Données projet'!$B$192,EJ21+EI22-ER21)))</f>
        <v>119.54000000000002</v>
      </c>
      <c r="EK22" s="18">
        <f>EJ22*VLOOKUP('Données projet'!$B$15,Paramètres!$A$1:$I$89,3,0)*VLOOKUP('Données projet'!$B$15,Paramètres!$A$1:$I$89,5,0)</f>
        <v>87.64672800000001</v>
      </c>
      <c r="EL22" s="14">
        <f t="shared" si="45"/>
        <v>23.996800240409819</v>
      </c>
      <c r="EM22" s="22">
        <f t="shared" si="19"/>
        <v>194.44581168538045</v>
      </c>
      <c r="EN22" s="62">
        <f t="shared" si="20"/>
        <v>438.24520031368928</v>
      </c>
      <c r="EO22" s="62">
        <f ca="1">AVERAGE(OFFSET($EN$3,0,0,'Données projet'!$E$15+1,1))-AVERAGE(OFFSET($H$3,0,0,'Données projet'!$E$15+1,1))</f>
        <v>357.57626046668958</v>
      </c>
      <c r="EP22" s="62">
        <f t="shared" si="46"/>
        <v>386.90439522046199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60.157409019841801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9.6</v>
      </c>
      <c r="FE22" s="13">
        <f>IF('Données projet'!$A$218&gt;35,FE21+FD22-FM21,IF(A22&lt;'Données projet'!$A$218,$FB$205^A22,IF(A22='Données projet'!$A$218,'Données projet'!$B$218,FE21+FD22-FM21)))</f>
        <v>78.399999999999991</v>
      </c>
      <c r="FF22" s="18">
        <f>FE22*VLOOKUP('Données projet'!$B$16,Paramètres!$A$1:$I$89,3,0)*VLOOKUP('Données projet'!$B$16,Paramètres!$A$1:$I$89,5,0)</f>
        <v>61.151999999999994</v>
      </c>
      <c r="FG22" s="14">
        <f t="shared" si="47"/>
        <v>17.459207591071255</v>
      </c>
      <c r="FH22" s="22">
        <f t="shared" si="22"/>
        <v>136.9145198877824</v>
      </c>
      <c r="FI22" s="62">
        <f t="shared" si="23"/>
        <v>380.71390851609124</v>
      </c>
      <c r="FJ22" s="62">
        <f ca="1">AVERAGE(OFFSET($FI$3,0,0,'Données projet'!$E$16+1,1))-AVERAGE(OFFSET($H$3,0,0,'Données projet'!$E$16+1,1))</f>
        <v>303.56663121833833</v>
      </c>
      <c r="FK22" s="62">
        <f t="shared" si="48"/>
        <v>293.97736357938038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60.157409019841801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13.760000000000002</v>
      </c>
      <c r="FZ22" s="13">
        <f>IF('Données projet'!$A$244&gt;35,FZ21+FY22-GH21,IF(A22&lt;'Données projet'!$A$244,$FW$205^A22,IF(A22='Données projet'!$A$244,'Données projet'!$B$244,FZ21+FY22-GH21)))</f>
        <v>119.54000000000002</v>
      </c>
      <c r="GA22" s="18">
        <f>FZ22*VLOOKUP('Données projet'!$B$17,Paramètres!$A$1:$I$89,3,0)*VLOOKUP('Données projet'!$B$17,Paramètres!$A$1:$I$89,5,0)</f>
        <v>95.106024000000019</v>
      </c>
      <c r="GB22" s="14">
        <f t="shared" si="49"/>
        <v>25.792692267172022</v>
      </c>
      <c r="GC22" s="22">
        <f t="shared" si="25"/>
        <v>210.56526416532461</v>
      </c>
      <c r="GD22" s="62">
        <f t="shared" si="26"/>
        <v>454.36465279363347</v>
      </c>
      <c r="GE22" s="62">
        <f ca="1">AVERAGE(OFFSET($GD$3,0,0,'Données projet'!$E$17+1,1))-AVERAGE(OFFSET($H$3,0,0,'Données projet'!$E$17+1,1))</f>
        <v>383.71724511025587</v>
      </c>
      <c r="GF22" s="62">
        <f t="shared" si="50"/>
        <v>415.10774719533185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60.157409019841801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8.2051282051282044</v>
      </c>
      <c r="GU22" s="13">
        <f>IF('Données projet'!$A$270&gt;35,GU21+GT22-HC21,IF(A22&lt;'Données projet'!$A$270,$GR$205^A22,IF(A22='Données projet'!$A$270,'Données projet'!$B$270,GU21+GT22-HC21)))</f>
        <v>82.820512820512818</v>
      </c>
      <c r="GV22" s="18">
        <f>GU22*VLOOKUP('Données projet'!$B$18,Paramètres!$A$1:$I$89,3,0)*VLOOKUP('Données projet'!$B$18,Paramètres!$A$1:$I$89,5,0)</f>
        <v>55.556000000000004</v>
      </c>
      <c r="GW22" s="14">
        <f t="shared" si="51"/>
        <v>16.039703993592667</v>
      </c>
      <c r="GX22" s="22">
        <f t="shared" si="28"/>
        <v>124.69585112217392</v>
      </c>
      <c r="GY22" s="62">
        <f t="shared" si="29"/>
        <v>368.49523975048277</v>
      </c>
      <c r="GZ22" s="62">
        <f ca="1">AVERAGE(OFFSET($GY$3,0,0,'Données projet'!$E$18+1,1))-AVERAGE(OFFSET($H$3,0,0,'Données projet'!$E$18+1,1))</f>
        <v>329.93956600482801</v>
      </c>
      <c r="HA22" s="62">
        <f t="shared" si="52"/>
        <v>268.69186630599165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2.7450000000000001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10.065</v>
      </c>
      <c r="H23" s="70">
        <f t="shared" si="1"/>
        <v>216.40666666666667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60.328155968610659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393.236067200364</v>
      </c>
      <c r="S23" s="62">
        <f ca="1">AVERAGE(OFFSET($R$3,0,0,'Données projet'!$E$9+1,1))-AVERAGE(OFFSET($H$3,0,0,'Données projet'!$E$9+1,1))</f>
        <v>551.67307965706379</v>
      </c>
      <c r="T23" s="62">
        <f t="shared" si="34"/>
        <v>288.70738860523943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60.328155968610659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61.495200000000004</v>
      </c>
      <c r="AK23" s="14">
        <f t="shared" si="35"/>
        <v>17.545759224285259</v>
      </c>
      <c r="AL23" s="22">
        <f t="shared" si="4"/>
        <v>137.66300398229683</v>
      </c>
      <c r="AM23" s="62">
        <f t="shared" si="5"/>
        <v>383.3106869783137</v>
      </c>
      <c r="AN23" s="62">
        <f ca="1">AVERAGE(OFFSET($AM$3,0,0,'Données projet'!$E$10+1,1))-AVERAGE(OFFSET($H$3,0,0,'Données projet'!$E$10+1,1))</f>
        <v>518.18933270904506</v>
      </c>
      <c r="AO23" s="62">
        <f t="shared" si="36"/>
        <v>272.44431899810411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60.328155968610659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2.8518518518518516</v>
      </c>
      <c r="BD23" s="13">
        <f>IF('Données projet'!$A$88&gt;35,BD22+BC23-BL22,IF(A23&lt;'Données projet'!$A$88,$BA$205^A23,IF(A23='Données projet'!$A$88,'Données projet'!$B$88,BD22+BC23-BL22)))</f>
        <v>24.968964803359786</v>
      </c>
      <c r="BE23" s="14">
        <f>BD23*VLOOKUP('Données projet'!$B$11,Paramètres!$A$1:$I$89,3,0)*VLOOKUP('Données projet'!$B$11,Paramètres!$A$1:$I$89,5,0)</f>
        <v>21.423371801282698</v>
      </c>
      <c r="BF23" s="14">
        <f t="shared" si="37"/>
        <v>6.9107398896036081</v>
      </c>
      <c r="BG23" s="22">
        <f t="shared" si="7"/>
        <v>49.348577861626978</v>
      </c>
      <c r="BH23" s="62">
        <f t="shared" si="8"/>
        <v>294.99626085764385</v>
      </c>
      <c r="BI23" s="62">
        <f ca="1">AVERAGE(OFFSET($BH$3,0,0,'Données projet'!$E$11+1,1))-AVERAGE(OFFSET($H$3,0,0,'Données projet'!$E$11+1,1))</f>
        <v>464.73160475167867</v>
      </c>
      <c r="BJ23" s="62">
        <f t="shared" si="38"/>
        <v>241.31968359962227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60.328155968610659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105</v>
      </c>
      <c r="BW23" s="13">
        <f>VLOOKUP(A23,'Données projet'!$A$113:$I$133,9,0)</f>
        <v>12</v>
      </c>
      <c r="BX23" s="13">
        <f t="array" ref="BX23">INDEX(BW:BW,MIN(IF(ISNUMBER(BW23:BW219),ROW(BW23:BW219),"")))</f>
        <v>12</v>
      </c>
      <c r="BY23" s="13">
        <f>IF('Données projet'!$A$114&gt;35,BY22+BX23-CG22,IF(A23&lt;'Données projet'!$A$114,$BV$205^A23,IF(A23='Données projet'!$A$114,'Données projet'!$B$114,BY22+BX23-CG22)))</f>
        <v>105</v>
      </c>
      <c r="BZ23" s="14">
        <f>BY23*VLOOKUP('Données projet'!$B$12,Paramètres!$A$1:$I$89,3,0)*VLOOKUP('Données projet'!$B$12,Paramètres!$A$1:$I$89,5,0)</f>
        <v>68.796000000000006</v>
      </c>
      <c r="CA23" s="14">
        <f t="shared" si="39"/>
        <v>19.374160697102734</v>
      </c>
      <c r="CB23" s="22">
        <f t="shared" si="10"/>
        <v>153.56302988078727</v>
      </c>
      <c r="CC23" s="62">
        <f t="shared" si="11"/>
        <v>399.21071287680411</v>
      </c>
      <c r="CD23" s="62">
        <f ca="1">AVERAGE(OFFSET($CC$3,0,0,'Données projet'!$E$12+1,1))-AVERAGE(OFFSET($H$3,0,0,'Données projet'!$E$12+1,1))</f>
        <v>292.13851489852607</v>
      </c>
      <c r="CE23" s="62">
        <f t="shared" si="40"/>
        <v>280.10866188737418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60.328155968610659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99</v>
      </c>
      <c r="CR23" s="13">
        <f>VLOOKUP(A23,'Données projet'!$A$139:$I$159,9,0)</f>
        <v>10</v>
      </c>
      <c r="CS23" s="13">
        <f t="array" ref="CS23">INDEX(CR:CR,MIN(IF(ISNUMBER(CR23:CR219),ROW(CR23:CR219),"")))</f>
        <v>10</v>
      </c>
      <c r="CT23" s="13">
        <f>IF('Données projet'!$A$140&gt;35,CT22+CS23-DB22,IF(A23&lt;'Données projet'!$A$140,$CQ$205^A23,IF(A23='Données projet'!$A$140,'Données projet'!$B$140,CT22+CS23-DB22)))</f>
        <v>99</v>
      </c>
      <c r="CU23" s="18">
        <f>CT23*VLOOKUP('Données projet'!$B$13,Paramètres!$A$1:$I$89,3,0)*VLOOKUP('Données projet'!$B$13,Paramètres!$A$1:$I$89,5,0)</f>
        <v>80.308800000000005</v>
      </c>
      <c r="CV23" s="14">
        <f t="shared" si="41"/>
        <v>22.212670396389218</v>
      </c>
      <c r="CW23" s="22">
        <f t="shared" si="13"/>
        <v>178.55822760704453</v>
      </c>
      <c r="CX23" s="62">
        <f t="shared" si="14"/>
        <v>424.2059106030614</v>
      </c>
      <c r="CY23" s="62">
        <f ca="1">AVERAGE(OFFSET($CX$3,0,0,'Données projet'!$E$13+1,1))-AVERAGE(OFFSET($H$3,0,0,'Données projet'!$E$13+1,1))</f>
        <v>265.25572936607409</v>
      </c>
      <c r="CZ23" s="62">
        <f t="shared" si="42"/>
        <v>307.96244316129071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40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60.328155968610659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84.615384615384613</v>
      </c>
      <c r="DM23" s="13">
        <f>VLOOKUP(A23,'Données projet'!$A$165:$I$185,9,0)</f>
        <v>7.4358974358974361</v>
      </c>
      <c r="DN23" s="13">
        <f t="array" ref="DN23">INDEX(DM:DM,MIN(IF(ISNUMBER(DM23:DM219),ROW(DM23:DM219),"")))</f>
        <v>7.4358974358974361</v>
      </c>
      <c r="DO23" s="13">
        <f>IF('Données projet'!$A$166&gt;35,DO22+DN23-DW22,IF(A23&lt;'Données projet'!$A$166,$DL$205^A23,IF(A23='Données projet'!$A$166,'Données projet'!$B$166,DO22+DN23-DW22)))</f>
        <v>84.615384615384599</v>
      </c>
      <c r="DP23" s="18">
        <f>DO23*VLOOKUP('Données projet'!$B$14,Paramètres!$A$1:$I$89,3,0)*VLOOKUP('Données projet'!$B$14,Paramètres!$A$1:$I$89,5,0)</f>
        <v>80.519999999999982</v>
      </c>
      <c r="DQ23" s="14">
        <f t="shared" si="43"/>
        <v>22.264278849845564</v>
      </c>
      <c r="DR23" s="22">
        <f t="shared" si="16"/>
        <v>179.01595233014768</v>
      </c>
      <c r="DS23" s="62">
        <f t="shared" si="17"/>
        <v>424.66363532616458</v>
      </c>
      <c r="DT23" s="62">
        <f ca="1">AVERAGE(OFFSET($DS$3,0,0,'Données projet'!$E$14+1,1))-AVERAGE(OFFSET($H$3,0,0,'Données projet'!$E$14+1,1))</f>
        <v>425.41154182732936</v>
      </c>
      <c r="DU23" s="62">
        <f t="shared" si="44"/>
        <v>306.44721925744591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60.328155968610659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133.30000000000001</v>
      </c>
      <c r="EH23" s="13">
        <f>VLOOKUP(A23,'Données projet'!$A$191:$I$211,9,0)</f>
        <v>13.760000000000002</v>
      </c>
      <c r="EI23" s="13">
        <f t="array" ref="EI23">INDEX(EH:EH,MIN(IF(ISNUMBER(EH23:EH219),ROW(EH23:EH219),"")))</f>
        <v>13.760000000000002</v>
      </c>
      <c r="EJ23" s="13">
        <f>IF('Données projet'!$A$192&gt;35,EJ22+EI23-ER22,IF(A23&lt;'Données projet'!$A$192,$EG$205^A23,IF(A23='Données projet'!$A$192,'Données projet'!$B$192,EJ22+EI23-ER22)))</f>
        <v>133.30000000000001</v>
      </c>
      <c r="EK23" s="18">
        <f>EJ23*VLOOKUP('Données projet'!$B$15,Paramètres!$A$1:$I$89,3,0)*VLOOKUP('Données projet'!$B$15,Paramètres!$A$1:$I$89,5,0)</f>
        <v>97.735560000000007</v>
      </c>
      <c r="EL23" s="14">
        <f t="shared" si="45"/>
        <v>26.421808908404628</v>
      </c>
      <c r="EM23" s="22">
        <f t="shared" si="19"/>
        <v>216.24075084880474</v>
      </c>
      <c r="EN23" s="62">
        <f t="shared" si="20"/>
        <v>461.88843384482163</v>
      </c>
      <c r="EO23" s="62">
        <f ca="1">AVERAGE(OFFSET($EN$3,0,0,'Données projet'!$E$15+1,1))-AVERAGE(OFFSET($H$3,0,0,'Données projet'!$E$15+1,1))</f>
        <v>357.57626046668958</v>
      </c>
      <c r="EP23" s="62">
        <f t="shared" si="46"/>
        <v>386.90439522046199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66.5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60.328155968610659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88</v>
      </c>
      <c r="FC23" s="13">
        <f>VLOOKUP(A23,'Données projet'!$A$217:$I$237,9,0)</f>
        <v>9.6</v>
      </c>
      <c r="FD23" s="13">
        <f t="array" ref="FD23">INDEX(FC:FC,MIN(IF(ISNUMBER(FC23:FC219),ROW(FC23:FC219),"")))</f>
        <v>9.6</v>
      </c>
      <c r="FE23" s="13">
        <f>IF('Données projet'!$A$218&gt;35,FE22+FD23-FM22,IF(A23&lt;'Données projet'!$A$218,$FB$205^A23,IF(A23='Données projet'!$A$218,'Données projet'!$B$218,FE22+FD23-FM22)))</f>
        <v>87.999999999999986</v>
      </c>
      <c r="FF23" s="18">
        <f>FE23*VLOOKUP('Données projet'!$B$16,Paramètres!$A$1:$I$89,3,0)*VLOOKUP('Données projet'!$B$16,Paramètres!$A$1:$I$89,5,0)</f>
        <v>68.639999999999986</v>
      </c>
      <c r="FG23" s="14">
        <f t="shared" si="47"/>
        <v>19.335336956640202</v>
      </c>
      <c r="FH23" s="22">
        <f t="shared" si="22"/>
        <v>153.22371186614834</v>
      </c>
      <c r="FI23" s="62">
        <f t="shared" si="23"/>
        <v>398.87139486216518</v>
      </c>
      <c r="FJ23" s="62">
        <f ca="1">AVERAGE(OFFSET($FI$3,0,0,'Données projet'!$E$16+1,1))-AVERAGE(OFFSET($H$3,0,0,'Données projet'!$E$16+1,1))</f>
        <v>303.56663121833833</v>
      </c>
      <c r="FK23" s="62">
        <f t="shared" si="48"/>
        <v>293.97736357938038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60.328155968610659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133.30000000000001</v>
      </c>
      <c r="FX23" s="13">
        <f>VLOOKUP(A23,'Données projet'!$A$243:$I$263,9,0)</f>
        <v>13.760000000000002</v>
      </c>
      <c r="FY23" s="13">
        <f t="array" ref="FY23">INDEX(FX:FX,MIN(IF(ISNUMBER(FX23:FX219),ROW(FX23:FX219),"")))</f>
        <v>13.760000000000002</v>
      </c>
      <c r="FZ23" s="13">
        <f>IF('Données projet'!$A$244&gt;35,FZ22+FY23-GH22,IF(A23&lt;'Données projet'!$A$244,$FW$205^A23,IF(A23='Données projet'!$A$244,'Données projet'!$B$244,FZ22+FY23-GH22)))</f>
        <v>133.30000000000001</v>
      </c>
      <c r="GA23" s="18">
        <f>FZ23*VLOOKUP('Données projet'!$B$17,Paramètres!$A$1:$I$89,3,0)*VLOOKUP('Données projet'!$B$17,Paramètres!$A$1:$I$89,5,0)</f>
        <v>106.05348000000001</v>
      </c>
      <c r="GB23" s="14">
        <f t="shared" si="49"/>
        <v>28.39918570347135</v>
      </c>
      <c r="GC23" s="22">
        <f t="shared" si="25"/>
        <v>234.1717261002126</v>
      </c>
      <c r="GD23" s="62">
        <f t="shared" si="26"/>
        <v>479.81940909622949</v>
      </c>
      <c r="GE23" s="62">
        <f ca="1">AVERAGE(OFFSET($GD$3,0,0,'Données projet'!$E$17+1,1))-AVERAGE(OFFSET($H$3,0,0,'Données projet'!$E$17+1,1))</f>
        <v>383.71724511025587</v>
      </c>
      <c r="GF23" s="62">
        <f t="shared" si="50"/>
        <v>415.10774719533185</v>
      </c>
      <c r="GG23" s="16">
        <f>IF(ISNA(VLOOKUP(A23,'Données projet'!$A$243:$I$263,3,0)),0,VLOOKUP(A23,'Données projet'!$A$243:$I$263,3,0))</f>
        <v>1</v>
      </c>
      <c r="GH23" s="16">
        <f>IF(ISNA(VLOOKUP(A23,'Données projet'!$A$243:$I$263,4,0)),0,VLOOKUP(A23,'Données projet'!$A$243:$I$263,4,0))</f>
        <v>66.5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60.328155968610659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91.025641025641022</v>
      </c>
      <c r="GS23" s="13">
        <f>VLOOKUP(A23,'Données projet'!$A$269:$I$289,9,0)</f>
        <v>8.2051282051282044</v>
      </c>
      <c r="GT23" s="13">
        <f t="array" ref="GT23">INDEX(GS:GS,MIN(IF(ISNUMBER(GS23:GS219),ROW(GS23:GS219),"")))</f>
        <v>8.2051282051282044</v>
      </c>
      <c r="GU23" s="13">
        <f>IF('Données projet'!$A$270&gt;35,GU22+GT23-HC22,IF(A23&lt;'Données projet'!$A$270,$GR$205^A23,IF(A23='Données projet'!$A$270,'Données projet'!$B$270,GU22+GT23-HC22)))</f>
        <v>91.025641025641022</v>
      </c>
      <c r="GV23" s="18">
        <f>GU23*VLOOKUP('Données projet'!$B$18,Paramètres!$A$1:$I$89,3,0)*VLOOKUP('Données projet'!$B$18,Paramètres!$A$1:$I$89,5,0)</f>
        <v>61.06</v>
      </c>
      <c r="GW23" s="14">
        <f t="shared" si="51"/>
        <v>17.43599650596687</v>
      </c>
      <c r="GX23" s="22">
        <f t="shared" si="28"/>
        <v>136.71386058122562</v>
      </c>
      <c r="GY23" s="62">
        <f t="shared" si="29"/>
        <v>382.36154357724251</v>
      </c>
      <c r="GZ23" s="62">
        <f ca="1">AVERAGE(OFFSET($GY$3,0,0,'Données projet'!$E$18+1,1))-AVERAGE(OFFSET($H$3,0,0,'Données projet'!$E$18+1,1))</f>
        <v>329.93956600482801</v>
      </c>
      <c r="HA23" s="62">
        <f t="shared" si="52"/>
        <v>268.69186630599165</v>
      </c>
      <c r="HB23" s="16">
        <f>IF(ISNA(VLOOKUP(A23,'Données projet'!$A$269:$I$289,3,0)),0,VLOOKUP(A23,'Données projet'!$A$269:$I$289,3,0))</f>
        <v>1</v>
      </c>
      <c r="HC23" s="16">
        <f>IF(ISNA(VLOOKUP(A23,'Données projet'!$A$269:$I$289,4,0)),0,VLOOKUP(A23,'Données projet'!$A$269:$I$289,4,0))</f>
        <v>24.358974358974358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2.7450000000000001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10.065</v>
      </c>
      <c r="H24" s="70">
        <f t="shared" si="1"/>
        <v>216.40666666666667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60.495940839551373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2">
        <f t="shared" si="0"/>
        <v>409.24074882998372</v>
      </c>
      <c r="S24" s="62">
        <f ca="1">AVERAGE(OFFSET($R$3,0,0,'Données projet'!$E$9+1,1))-AVERAGE(OFFSET($H$3,0,0,'Données projet'!$E$9+1,1))</f>
        <v>551.67307965706379</v>
      </c>
      <c r="T24" s="62">
        <f t="shared" si="34"/>
        <v>288.70738860523943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60.495940839551373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80.2</v>
      </c>
      <c r="AJ24" s="14">
        <f>AI24*VLOOKUP('Données projet'!$B$10,Paramètres!$A$1:$I$89,3,0)*VLOOKUP('Données projet'!$B$10,Paramètres!$A$1:$I$89,5,0)</f>
        <v>67.560480000000013</v>
      </c>
      <c r="AK24" s="14">
        <f t="shared" si="35"/>
        <v>19.066393765425332</v>
      </c>
      <c r="AL24" s="22">
        <f t="shared" si="4"/>
        <v>150.87513847478246</v>
      </c>
      <c r="AM24" s="62">
        <f t="shared" si="5"/>
        <v>398.36025488647078</v>
      </c>
      <c r="AN24" s="62">
        <f ca="1">AVERAGE(OFFSET($AM$3,0,0,'Données projet'!$E$10+1,1))-AVERAGE(OFFSET($H$3,0,0,'Données projet'!$E$10+1,1))</f>
        <v>518.18933270904506</v>
      </c>
      <c r="AO24" s="62">
        <f t="shared" si="36"/>
        <v>272.44431899810411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60.495940839551373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2.8518518518518516</v>
      </c>
      <c r="BD24" s="13">
        <f>IF('Données projet'!$A$88&gt;35,BD23+BC24-BL23,IF(A24&lt;'Données projet'!$A$88,$BA$205^A24,IF(A24='Données projet'!$A$88,'Données projet'!$B$88,BD23+BC24-BL23)))</f>
        <v>29.327197509240069</v>
      </c>
      <c r="BE24" s="14">
        <f>BD24*VLOOKUP('Données projet'!$B$11,Paramètres!$A$1:$I$89,3,0)*VLOOKUP('Données projet'!$B$11,Paramètres!$A$1:$I$89,5,0)</f>
        <v>25.162735462927984</v>
      </c>
      <c r="BF24" s="14">
        <f t="shared" si="37"/>
        <v>7.9663925499040165</v>
      </c>
      <c r="BG24" s="22">
        <f t="shared" si="7"/>
        <v>57.699897955682388</v>
      </c>
      <c r="BH24" s="62">
        <f t="shared" si="8"/>
        <v>305.18501436737074</v>
      </c>
      <c r="BI24" s="62">
        <f ca="1">AVERAGE(OFFSET($BH$3,0,0,'Données projet'!$E$11+1,1))-AVERAGE(OFFSET($H$3,0,0,'Données projet'!$E$11+1,1))</f>
        <v>464.73160475167867</v>
      </c>
      <c r="BJ24" s="62">
        <f t="shared" si="38"/>
        <v>241.31968359962227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60.495940839551373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9.6</v>
      </c>
      <c r="BY24" s="13">
        <f>IF('Données projet'!$A$114&gt;35,BY23+BX24-CG23,IF(A24&lt;'Données projet'!$A$114,$BV$205^A24,IF(A24='Données projet'!$A$114,'Données projet'!$B$114,BY23+BX24-CG23)))</f>
        <v>114.6</v>
      </c>
      <c r="BZ24" s="14">
        <f>BY24*VLOOKUP('Données projet'!$B$12,Paramètres!$A$1:$I$89,3,0)*VLOOKUP('Données projet'!$B$12,Paramètres!$A$1:$I$89,5,0)</f>
        <v>75.085920000000002</v>
      </c>
      <c r="CA24" s="14">
        <f t="shared" si="39"/>
        <v>20.931269096524034</v>
      </c>
      <c r="CB24" s="22">
        <f t="shared" si="10"/>
        <v>167.22993767644601</v>
      </c>
      <c r="CC24" s="62">
        <f t="shared" si="11"/>
        <v>414.71505408813437</v>
      </c>
      <c r="CD24" s="62">
        <f ca="1">AVERAGE(OFFSET($CC$3,0,0,'Données projet'!$E$12+1,1))-AVERAGE(OFFSET($H$3,0,0,'Données projet'!$E$12+1,1))</f>
        <v>292.13851489852607</v>
      </c>
      <c r="CE24" s="62">
        <f t="shared" si="40"/>
        <v>280.10866188737418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60.495940839551373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8.6</v>
      </c>
      <c r="CT24" s="13">
        <f>IF('Données projet'!$A$140&gt;35,CT23+CS24-DB23,IF(A24&lt;'Données projet'!$A$140,$CQ$205^A24,IF(A24='Données projet'!$A$140,'Données projet'!$B$140,CT23+CS24-DB23)))</f>
        <v>67.599999999999994</v>
      </c>
      <c r="CU24" s="18">
        <f>CT24*VLOOKUP('Données projet'!$B$13,Paramètres!$A$1:$I$89,3,0)*VLOOKUP('Données projet'!$B$13,Paramètres!$A$1:$I$89,5,0)</f>
        <v>54.837120000000006</v>
      </c>
      <c r="CV24" s="14">
        <f t="shared" si="41"/>
        <v>15.856174437579886</v>
      </c>
      <c r="CW24" s="22">
        <f t="shared" si="13"/>
        <v>123.12415447878497</v>
      </c>
      <c r="CX24" s="62">
        <f t="shared" si="14"/>
        <v>370.60927089047328</v>
      </c>
      <c r="CY24" s="62">
        <f ca="1">AVERAGE(OFFSET($CX$3,0,0,'Données projet'!$E$13+1,1))-AVERAGE(OFFSET($H$3,0,0,'Données projet'!$E$13+1,1))</f>
        <v>265.25572936607409</v>
      </c>
      <c r="CZ24" s="62">
        <f t="shared" si="42"/>
        <v>307.96244316129071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60.495940839551373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7.5641025641025639</v>
      </c>
      <c r="DO24" s="13">
        <f>IF('Données projet'!$A$166&gt;35,DO23+DN24-DW23,IF(A24&lt;'Données projet'!$A$166,$DL$205^A24,IF(A24='Données projet'!$A$166,'Données projet'!$B$166,DO23+DN24-DW23)))</f>
        <v>92.179487179487168</v>
      </c>
      <c r="DP24" s="18">
        <f>DO24*VLOOKUP('Données projet'!$B$14,Paramètres!$A$1:$I$89,3,0)*VLOOKUP('Données projet'!$B$14,Paramètres!$A$1:$I$89,5,0)</f>
        <v>87.717999999999989</v>
      </c>
      <c r="DQ24" s="14">
        <f t="shared" si="43"/>
        <v>24.014041608889237</v>
      </c>
      <c r="DR24" s="22">
        <f t="shared" si="16"/>
        <v>194.59997246881539</v>
      </c>
      <c r="DS24" s="62">
        <f t="shared" si="17"/>
        <v>442.08508888050369</v>
      </c>
      <c r="DT24" s="62">
        <f ca="1">AVERAGE(OFFSET($DS$3,0,0,'Données projet'!$E$14+1,1))-AVERAGE(OFFSET($H$3,0,0,'Données projet'!$E$14+1,1))</f>
        <v>425.41154182732936</v>
      </c>
      <c r="DU24" s="62">
        <f t="shared" si="44"/>
        <v>306.44721925744591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60.495940839551373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14.739999999999998</v>
      </c>
      <c r="EJ24" s="13">
        <f>IF('Données projet'!$A$192&gt;35,EJ23+EI24-ER23,IF(A24&lt;'Données projet'!$A$192,$EG$205^A24,IF(A24='Données projet'!$A$192,'Données projet'!$B$192,EJ23+EI24-ER23)))</f>
        <v>81.54000000000002</v>
      </c>
      <c r="EK24" s="18">
        <f>EJ24*VLOOKUP('Données projet'!$B$15,Paramètres!$A$1:$I$89,3,0)*VLOOKUP('Données projet'!$B$15,Paramètres!$A$1:$I$89,5,0)</f>
        <v>59.785128000000007</v>
      </c>
      <c r="EL24" s="14">
        <f t="shared" si="45"/>
        <v>17.113931291149598</v>
      </c>
      <c r="EM24" s="22">
        <f t="shared" si="19"/>
        <v>133.93252826541888</v>
      </c>
      <c r="EN24" s="62">
        <f t="shared" si="20"/>
        <v>381.41764467710721</v>
      </c>
      <c r="EO24" s="62">
        <f ca="1">AVERAGE(OFFSET($EN$3,0,0,'Données projet'!$E$15+1,1))-AVERAGE(OFFSET($H$3,0,0,'Données projet'!$E$15+1,1))</f>
        <v>357.57626046668958</v>
      </c>
      <c r="EP24" s="62">
        <f t="shared" si="46"/>
        <v>386.90439522046199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60.495940839551373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10.6</v>
      </c>
      <c r="FE24" s="13">
        <f>IF('Données projet'!$A$218&gt;35,FE23+FD24-FM23,IF(A24&lt;'Données projet'!$A$218,$FB$205^A24,IF(A24='Données projet'!$A$218,'Données projet'!$B$218,FE23+FD24-FM23)))</f>
        <v>98.59999999999998</v>
      </c>
      <c r="FF24" s="18">
        <f>FE24*VLOOKUP('Données projet'!$B$16,Paramètres!$A$1:$I$89,3,0)*VLOOKUP('Données projet'!$B$16,Paramètres!$A$1:$I$89,5,0)</f>
        <v>76.907999999999987</v>
      </c>
      <c r="FG24" s="14">
        <f t="shared" si="47"/>
        <v>21.379448490435635</v>
      </c>
      <c r="FH24" s="22">
        <f t="shared" si="22"/>
        <v>171.18397278750868</v>
      </c>
      <c r="FI24" s="62">
        <f t="shared" si="23"/>
        <v>418.669089199197</v>
      </c>
      <c r="FJ24" s="62">
        <f ca="1">AVERAGE(OFFSET($FI$3,0,0,'Données projet'!$E$16+1,1))-AVERAGE(OFFSET($H$3,0,0,'Données projet'!$E$16+1,1))</f>
        <v>303.56663121833833</v>
      </c>
      <c r="FK24" s="62">
        <f t="shared" si="48"/>
        <v>293.97736357938038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60.495940839551373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14.739999999999998</v>
      </c>
      <c r="FZ24" s="13">
        <f>IF('Données projet'!$A$244&gt;35,FZ23+FY24-GH23,IF(A24&lt;'Données projet'!$A$244,$FW$205^A24,IF(A24='Données projet'!$A$244,'Données projet'!$B$244,FZ23+FY24-GH23)))</f>
        <v>81.54000000000002</v>
      </c>
      <c r="GA24" s="18">
        <f>FZ24*VLOOKUP('Données projet'!$B$17,Paramètres!$A$1:$I$89,3,0)*VLOOKUP('Données projet'!$B$17,Paramètres!$A$1:$I$89,5,0)</f>
        <v>64.873224000000022</v>
      </c>
      <c r="GB24" s="14">
        <f t="shared" si="49"/>
        <v>18.39471758117234</v>
      </c>
      <c r="GC24" s="22">
        <f t="shared" si="25"/>
        <v>145.0249982538752</v>
      </c>
      <c r="GD24" s="62">
        <f t="shared" si="26"/>
        <v>392.51011466556349</v>
      </c>
      <c r="GE24" s="62">
        <f ca="1">AVERAGE(OFFSET($GD$3,0,0,'Données projet'!$E$17+1,1))-AVERAGE(OFFSET($H$3,0,0,'Données projet'!$E$17+1,1))</f>
        <v>383.71724511025587</v>
      </c>
      <c r="GF24" s="62">
        <f t="shared" si="50"/>
        <v>415.10774719533185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60.495940839551373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8.4615384615384617</v>
      </c>
      <c r="GU24" s="13">
        <f>IF('Données projet'!$A$270&gt;35,GU23+GT24-HC23,IF(A24&lt;'Données projet'!$A$270,$GR$205^A24,IF(A24='Données projet'!$A$270,'Données projet'!$B$270,GU23+GT24-HC23)))</f>
        <v>75.128205128205138</v>
      </c>
      <c r="GV24" s="18">
        <f>GU24*VLOOKUP('Données projet'!$B$18,Paramètres!$A$1:$I$89,3,0)*VLOOKUP('Données projet'!$B$18,Paramètres!$A$1:$I$89,5,0)</f>
        <v>50.396000000000001</v>
      </c>
      <c r="GW24" s="14">
        <f t="shared" si="51"/>
        <v>14.71598138852033</v>
      </c>
      <c r="GX24" s="22">
        <f t="shared" si="28"/>
        <v>113.40336758500625</v>
      </c>
      <c r="GY24" s="62">
        <f t="shared" si="29"/>
        <v>360.88848399669456</v>
      </c>
      <c r="GZ24" s="62">
        <f ca="1">AVERAGE(OFFSET($GY$3,0,0,'Données projet'!$E$18+1,1))-AVERAGE(OFFSET($H$3,0,0,'Données projet'!$E$18+1,1))</f>
        <v>329.93956600482801</v>
      </c>
      <c r="HA24" s="62">
        <f t="shared" si="52"/>
        <v>268.69186630599165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2.7450000000000001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10.065</v>
      </c>
      <c r="H25" s="70">
        <f t="shared" si="1"/>
        <v>216.40666666666667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60.660815018092038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2">
        <f t="shared" si="0"/>
        <v>425.20539012083486</v>
      </c>
      <c r="S25" s="62">
        <f ca="1">AVERAGE(OFFSET($R$3,0,0,'Données projet'!$E$9+1,1))-AVERAGE(OFFSET($H$3,0,0,'Données projet'!$E$9+1,1))</f>
        <v>551.67307965706379</v>
      </c>
      <c r="T25" s="62">
        <f t="shared" si="34"/>
        <v>288.70738860523943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60.660815018092038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87.4</v>
      </c>
      <c r="AJ25" s="14">
        <f>AI25*VLOOKUP('Données projet'!$B$10,Paramètres!$A$1:$I$89,3,0)*VLOOKUP('Données projet'!$B$10,Paramètres!$A$1:$I$89,5,0)</f>
        <v>73.625760000000014</v>
      </c>
      <c r="AK25" s="14">
        <f t="shared" si="35"/>
        <v>20.571198174996731</v>
      </c>
      <c r="AL25" s="22">
        <f t="shared" si="4"/>
        <v>164.05970215478601</v>
      </c>
      <c r="AM25" s="62">
        <f t="shared" si="5"/>
        <v>413.37157944334569</v>
      </c>
      <c r="AN25" s="62">
        <f ca="1">AVERAGE(OFFSET($AM$3,0,0,'Données projet'!$E$10+1,1))-AVERAGE(OFFSET($H$3,0,0,'Données projet'!$E$10+1,1))</f>
        <v>518.18933270904506</v>
      </c>
      <c r="AO25" s="62">
        <f t="shared" si="36"/>
        <v>272.44431899810411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60.660815018092038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2.8518518518518516</v>
      </c>
      <c r="BD25" s="13">
        <f>IF('Données projet'!$A$88&gt;35,BD24+BC25-BL24,IF(A25&lt;'Données projet'!$A$88,$BA$205^A25,IF(A25='Données projet'!$A$88,'Données projet'!$B$88,BD24+BC25-BL24)))</f>
        <v>34.446142261782732</v>
      </c>
      <c r="BE25" s="14">
        <f>BD25*VLOOKUP('Données projet'!$B$11,Paramètres!$A$1:$I$89,3,0)*VLOOKUP('Données projet'!$B$11,Paramètres!$A$1:$I$89,5,0)</f>
        <v>29.554790060609587</v>
      </c>
      <c r="BF25" s="14">
        <f t="shared" si="37"/>
        <v>9.1833018277304088</v>
      </c>
      <c r="BG25" s="22">
        <f t="shared" si="7"/>
        <v>67.468843372192154</v>
      </c>
      <c r="BH25" s="62">
        <f t="shared" si="8"/>
        <v>316.78072066075185</v>
      </c>
      <c r="BI25" s="62">
        <f ca="1">AVERAGE(OFFSET($BH$3,0,0,'Données projet'!$E$11+1,1))-AVERAGE(OFFSET($H$3,0,0,'Données projet'!$E$11+1,1))</f>
        <v>464.73160475167867</v>
      </c>
      <c r="BJ25" s="62">
        <f t="shared" si="38"/>
        <v>241.31968359962227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60.660815018092038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9.6</v>
      </c>
      <c r="BY25" s="13">
        <f>IF('Données projet'!$A$114&gt;35,BY24+BX25-CG24,IF(A25&lt;'Données projet'!$A$114,$BV$205^A25,IF(A25='Données projet'!$A$114,'Données projet'!$B$114,BY24+BX25-CG24)))</f>
        <v>124.19999999999999</v>
      </c>
      <c r="BZ25" s="14">
        <f>BY25*VLOOKUP('Données projet'!$B$12,Paramètres!$A$1:$I$89,3,0)*VLOOKUP('Données projet'!$B$12,Paramètres!$A$1:$I$89,5,0)</f>
        <v>81.375839999999997</v>
      </c>
      <c r="CA25" s="14">
        <f t="shared" si="39"/>
        <v>22.473249586041113</v>
      </c>
      <c r="CB25" s="22">
        <f t="shared" si="10"/>
        <v>180.87049769568827</v>
      </c>
      <c r="CC25" s="62">
        <f t="shared" si="11"/>
        <v>430.18237498424799</v>
      </c>
      <c r="CD25" s="62">
        <f ca="1">AVERAGE(OFFSET($CC$3,0,0,'Données projet'!$E$12+1,1))-AVERAGE(OFFSET($H$3,0,0,'Données projet'!$E$12+1,1))</f>
        <v>292.13851489852607</v>
      </c>
      <c r="CE25" s="62">
        <f t="shared" si="40"/>
        <v>280.10866188737418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60.660815018092038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8.6</v>
      </c>
      <c r="CT25" s="13">
        <f>IF('Données projet'!$A$140&gt;35,CT24+CS25-DB24,IF(A25&lt;'Données projet'!$A$140,$CQ$205^A25,IF(A25='Données projet'!$A$140,'Données projet'!$B$140,CT24+CS25-DB24)))</f>
        <v>76.199999999999989</v>
      </c>
      <c r="CU25" s="18">
        <f>CT25*VLOOKUP('Données projet'!$B$13,Paramètres!$A$1:$I$89,3,0)*VLOOKUP('Données projet'!$B$13,Paramètres!$A$1:$I$89,5,0)</f>
        <v>61.813439999999993</v>
      </c>
      <c r="CV25" s="14">
        <f t="shared" si="41"/>
        <v>17.625965961121132</v>
      </c>
      <c r="CW25" s="22">
        <f t="shared" si="13"/>
        <v>138.35696538228595</v>
      </c>
      <c r="CX25" s="62">
        <f t="shared" si="14"/>
        <v>387.66884267084561</v>
      </c>
      <c r="CY25" s="62">
        <f ca="1">AVERAGE(OFFSET($CX$3,0,0,'Données projet'!$E$13+1,1))-AVERAGE(OFFSET($H$3,0,0,'Données projet'!$E$13+1,1))</f>
        <v>265.25572936607409</v>
      </c>
      <c r="CZ25" s="62">
        <f t="shared" si="42"/>
        <v>307.96244316129071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60.660815018092038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7.5641025641025639</v>
      </c>
      <c r="DO25" s="13">
        <f>IF('Données projet'!$A$166&gt;35,DO24+DN25-DW24,IF(A25&lt;'Données projet'!$A$166,$DL$205^A25,IF(A25='Données projet'!$A$166,'Données projet'!$B$166,DO24+DN25-DW24)))</f>
        <v>99.743589743589737</v>
      </c>
      <c r="DP25" s="18">
        <f>DO25*VLOOKUP('Données projet'!$B$14,Paramètres!$A$1:$I$89,3,0)*VLOOKUP('Données projet'!$B$14,Paramètres!$A$1:$I$89,5,0)</f>
        <v>94.915999999999997</v>
      </c>
      <c r="DQ25" s="14">
        <f t="shared" si="43"/>
        <v>25.747151184602235</v>
      </c>
      <c r="DR25" s="22">
        <f t="shared" si="16"/>
        <v>210.1549883131822</v>
      </c>
      <c r="DS25" s="62">
        <f t="shared" si="17"/>
        <v>459.46686560174192</v>
      </c>
      <c r="DT25" s="62">
        <f ca="1">AVERAGE(OFFSET($DS$3,0,0,'Données projet'!$E$14+1,1))-AVERAGE(OFFSET($H$3,0,0,'Données projet'!$E$14+1,1))</f>
        <v>425.41154182732936</v>
      </c>
      <c r="DU25" s="62">
        <f t="shared" si="44"/>
        <v>306.44721925744591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60.660815018092038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14.739999999999998</v>
      </c>
      <c r="EJ25" s="13">
        <f>IF('Données projet'!$A$192&gt;35,EJ24+EI25-ER24,IF(A25&lt;'Données projet'!$A$192,$EG$205^A25,IF(A25='Données projet'!$A$192,'Données projet'!$B$192,EJ24+EI25-ER24)))</f>
        <v>96.280000000000015</v>
      </c>
      <c r="EK25" s="18">
        <f>EJ25*VLOOKUP('Données projet'!$B$15,Paramètres!$A$1:$I$89,3,0)*VLOOKUP('Données projet'!$B$15,Paramètres!$A$1:$I$89,5,0)</f>
        <v>70.592496000000011</v>
      </c>
      <c r="EL25" s="14">
        <f t="shared" si="45"/>
        <v>19.82052295498838</v>
      </c>
      <c r="EM25" s="22">
        <f t="shared" si="19"/>
        <v>157.46934134660478</v>
      </c>
      <c r="EN25" s="62">
        <f t="shared" si="20"/>
        <v>406.78121863516446</v>
      </c>
      <c r="EO25" s="62">
        <f ca="1">AVERAGE(OFFSET($EN$3,0,0,'Données projet'!$E$15+1,1))-AVERAGE(OFFSET($H$3,0,0,'Données projet'!$E$15+1,1))</f>
        <v>357.57626046668958</v>
      </c>
      <c r="EP25" s="62">
        <f t="shared" si="46"/>
        <v>386.90439522046199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60.660815018092038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10.6</v>
      </c>
      <c r="FE25" s="13">
        <f>IF('Données projet'!$A$218&gt;35,FE24+FD25-FM24,IF(A25&lt;'Données projet'!$A$218,$FB$205^A25,IF(A25='Données projet'!$A$218,'Données projet'!$B$218,FE24+FD25-FM24)))</f>
        <v>109.19999999999997</v>
      </c>
      <c r="FF25" s="18">
        <f>FE25*VLOOKUP('Données projet'!$B$16,Paramètres!$A$1:$I$89,3,0)*VLOOKUP('Données projet'!$B$16,Paramètres!$A$1:$I$89,5,0)</f>
        <v>85.175999999999988</v>
      </c>
      <c r="FG25" s="14">
        <f t="shared" si="47"/>
        <v>23.398088487656434</v>
      </c>
      <c r="FH25" s="22">
        <f t="shared" si="22"/>
        <v>189.09987078266826</v>
      </c>
      <c r="FI25" s="62">
        <f t="shared" si="23"/>
        <v>438.41174807122798</v>
      </c>
      <c r="FJ25" s="62">
        <f ca="1">AVERAGE(OFFSET($FI$3,0,0,'Données projet'!$E$16+1,1))-AVERAGE(OFFSET($H$3,0,0,'Données projet'!$E$16+1,1))</f>
        <v>303.56663121833833</v>
      </c>
      <c r="FK25" s="62">
        <f t="shared" si="48"/>
        <v>293.97736357938038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60.660815018092038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14.739999999999998</v>
      </c>
      <c r="FZ25" s="13">
        <f>IF('Données projet'!$A$244&gt;35,FZ24+FY25-GH24,IF(A25&lt;'Données projet'!$A$244,$FW$205^A25,IF(A25='Données projet'!$A$244,'Données projet'!$B$244,FZ24+FY25-GH24)))</f>
        <v>96.280000000000015</v>
      </c>
      <c r="GA25" s="18">
        <f>FZ25*VLOOKUP('Données projet'!$B$17,Paramètres!$A$1:$I$89,3,0)*VLOOKUP('Données projet'!$B$17,Paramètres!$A$1:$I$89,5,0)</f>
        <v>76.600368000000017</v>
      </c>
      <c r="GB25" s="14">
        <f t="shared" si="49"/>
        <v>21.30386735026233</v>
      </c>
      <c r="GC25" s="22">
        <f t="shared" si="25"/>
        <v>170.51654323504027</v>
      </c>
      <c r="GD25" s="62">
        <f t="shared" si="26"/>
        <v>419.82842052359996</v>
      </c>
      <c r="GE25" s="62">
        <f ca="1">AVERAGE(OFFSET($GD$3,0,0,'Données projet'!$E$17+1,1))-AVERAGE(OFFSET($H$3,0,0,'Données projet'!$E$17+1,1))</f>
        <v>383.71724511025587</v>
      </c>
      <c r="GF25" s="62">
        <f t="shared" si="50"/>
        <v>415.10774719533185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60.660815018092038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8.4615384615384617</v>
      </c>
      <c r="GU25" s="13">
        <f>IF('Données projet'!$A$270&gt;35,GU24+GT25-HC24,IF(A25&lt;'Données projet'!$A$270,$GR$205^A25,IF(A25='Données projet'!$A$270,'Données projet'!$B$270,GU24+GT25-HC24)))</f>
        <v>83.589743589743605</v>
      </c>
      <c r="GV25" s="18">
        <f>GU25*VLOOKUP('Données projet'!$B$18,Paramètres!$A$1:$I$89,3,0)*VLOOKUP('Données projet'!$B$18,Paramètres!$A$1:$I$89,5,0)</f>
        <v>56.07200000000001</v>
      </c>
      <c r="GW25" s="14">
        <f t="shared" si="51"/>
        <v>16.17126790367621</v>
      </c>
      <c r="GX25" s="22">
        <f t="shared" si="28"/>
        <v>125.82369159890273</v>
      </c>
      <c r="GY25" s="62">
        <f t="shared" si="29"/>
        <v>375.1355688874624</v>
      </c>
      <c r="GZ25" s="62">
        <f ca="1">AVERAGE(OFFSET($GY$3,0,0,'Données projet'!$E$18+1,1))-AVERAGE(OFFSET($H$3,0,0,'Données projet'!$E$18+1,1))</f>
        <v>329.93956600482801</v>
      </c>
      <c r="HA25" s="62">
        <f t="shared" si="52"/>
        <v>268.69186630599165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2.7450000000000001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10.065</v>
      </c>
      <c r="H26" s="70">
        <f t="shared" si="1"/>
        <v>216.40666666666667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60.822828998238464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2">
        <f t="shared" si="0"/>
        <v>441.13287058509502</v>
      </c>
      <c r="S26" s="62">
        <f ca="1">AVERAGE(OFFSET($R$3,0,0,'Données projet'!$E$9+1,1))-AVERAGE(OFFSET($H$3,0,0,'Données projet'!$E$9+1,1))</f>
        <v>551.67307965706379</v>
      </c>
      <c r="T26" s="62">
        <f t="shared" si="34"/>
        <v>288.70738860523943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60.822828998238464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94.600000000000009</v>
      </c>
      <c r="AJ26" s="14">
        <f>AI26*VLOOKUP('Données projet'!$B$10,Paramètres!$A$1:$I$89,3,0)*VLOOKUP('Données projet'!$B$10,Paramètres!$A$1:$I$89,5,0)</f>
        <v>79.691040000000015</v>
      </c>
      <c r="AK26" s="14">
        <f t="shared" si="35"/>
        <v>22.061624798490286</v>
      </c>
      <c r="AL26" s="22">
        <f t="shared" si="4"/>
        <v>177.21922452403726</v>
      </c>
      <c r="AM26" s="62">
        <f t="shared" si="5"/>
        <v>428.34737529535607</v>
      </c>
      <c r="AN26" s="62">
        <f ca="1">AVERAGE(OFFSET($AM$3,0,0,'Données projet'!$E$10+1,1))-AVERAGE(OFFSET($H$3,0,0,'Données projet'!$E$10+1,1))</f>
        <v>518.18933270904506</v>
      </c>
      <c r="AO26" s="62">
        <f t="shared" si="36"/>
        <v>272.44431899810411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60.822828998238464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2.8518518518518516</v>
      </c>
      <c r="BD26" s="13">
        <f>IF('Données projet'!$A$88&gt;35,BD25+BC26-BL25,IF(A26&lt;'Données projet'!$A$88,$BA$205^A26,IF(A26='Données projet'!$A$88,'Données projet'!$B$88,BD25+BC26-BL25)))</f>
        <v>40.458578299039118</v>
      </c>
      <c r="BE26" s="14">
        <f>BD26*VLOOKUP('Données projet'!$B$11,Paramètres!$A$1:$I$89,3,0)*VLOOKUP('Données projet'!$B$11,Paramètres!$A$1:$I$89,5,0)</f>
        <v>34.713460180575566</v>
      </c>
      <c r="BF26" s="14">
        <f t="shared" si="37"/>
        <v>10.586100538092712</v>
      </c>
      <c r="BG26" s="22">
        <f t="shared" si="7"/>
        <v>78.896734918347235</v>
      </c>
      <c r="BH26" s="62">
        <f t="shared" si="8"/>
        <v>330.02488568966606</v>
      </c>
      <c r="BI26" s="62">
        <f ca="1">AVERAGE(OFFSET($BH$3,0,0,'Données projet'!$E$11+1,1))-AVERAGE(OFFSET($H$3,0,0,'Données projet'!$E$11+1,1))</f>
        <v>464.73160475167867</v>
      </c>
      <c r="BJ26" s="62">
        <f t="shared" si="38"/>
        <v>241.31968359962227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60.822828998238464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9.6</v>
      </c>
      <c r="BY26" s="13">
        <f>IF('Données projet'!$A$114&gt;35,BY25+BX26-CG25,IF(A26&lt;'Données projet'!$A$114,$BV$205^A26,IF(A26='Données projet'!$A$114,'Données projet'!$B$114,BY25+BX26-CG25)))</f>
        <v>133.79999999999998</v>
      </c>
      <c r="BZ26" s="14">
        <f>BY26*VLOOKUP('Données projet'!$B$12,Paramètres!$A$1:$I$89,3,0)*VLOOKUP('Données projet'!$B$12,Paramètres!$A$1:$I$89,5,0)</f>
        <v>87.665759999999992</v>
      </c>
      <c r="CA26" s="14">
        <f t="shared" si="39"/>
        <v>24.001404420225327</v>
      </c>
      <c r="CB26" s="22">
        <f t="shared" si="10"/>
        <v>194.48697803189245</v>
      </c>
      <c r="CC26" s="62">
        <f t="shared" si="11"/>
        <v>445.61512880321129</v>
      </c>
      <c r="CD26" s="62">
        <f ca="1">AVERAGE(OFFSET($CC$3,0,0,'Données projet'!$E$12+1,1))-AVERAGE(OFFSET($H$3,0,0,'Données projet'!$E$12+1,1))</f>
        <v>292.13851489852607</v>
      </c>
      <c r="CE26" s="62">
        <f t="shared" si="40"/>
        <v>280.10866188737418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60.822828998238464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8.6</v>
      </c>
      <c r="CT26" s="13">
        <f>IF('Données projet'!$A$140&gt;35,CT25+CS26-DB25,IF(A26&lt;'Données projet'!$A$140,$CQ$205^A26,IF(A26='Données projet'!$A$140,'Données projet'!$B$140,CT25+CS26-DB25)))</f>
        <v>84.799999999999983</v>
      </c>
      <c r="CU26" s="18">
        <f>CT26*VLOOKUP('Données projet'!$B$13,Paramètres!$A$1:$I$89,3,0)*VLOOKUP('Données projet'!$B$13,Paramètres!$A$1:$I$89,5,0)</f>
        <v>68.789759999999987</v>
      </c>
      <c r="CV26" s="14">
        <f t="shared" si="41"/>
        <v>19.372607944380292</v>
      </c>
      <c r="CW26" s="22">
        <f t="shared" si="13"/>
        <v>153.54945750312899</v>
      </c>
      <c r="CX26" s="62">
        <f t="shared" si="14"/>
        <v>404.67760827444783</v>
      </c>
      <c r="CY26" s="62">
        <f ca="1">AVERAGE(OFFSET($CX$3,0,0,'Données projet'!$E$13+1,1))-AVERAGE(OFFSET($H$3,0,0,'Données projet'!$E$13+1,1))</f>
        <v>265.25572936607409</v>
      </c>
      <c r="CZ26" s="62">
        <f t="shared" si="42"/>
        <v>307.96244316129071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60.822828998238464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7.5641025641025639</v>
      </c>
      <c r="DO26" s="13">
        <f>IF('Données projet'!$A$166&gt;35,DO25+DN26-DW25,IF(A26&lt;'Données projet'!$A$166,$DL$205^A26,IF(A26='Données projet'!$A$166,'Données projet'!$B$166,DO25+DN26-DW25)))</f>
        <v>107.30769230769231</v>
      </c>
      <c r="DP26" s="18">
        <f>DO26*VLOOKUP('Données projet'!$B$14,Paramètres!$A$1:$I$89,3,0)*VLOOKUP('Données projet'!$B$14,Paramètres!$A$1:$I$89,5,0)</f>
        <v>102.114</v>
      </c>
      <c r="DQ26" s="14">
        <f t="shared" si="43"/>
        <v>27.465014076024996</v>
      </c>
      <c r="DR26" s="22">
        <f t="shared" si="16"/>
        <v>225.68344951574352</v>
      </c>
      <c r="DS26" s="62">
        <f t="shared" si="17"/>
        <v>476.81160028706233</v>
      </c>
      <c r="DT26" s="62">
        <f ca="1">AVERAGE(OFFSET($DS$3,0,0,'Données projet'!$E$14+1,1))-AVERAGE(OFFSET($H$3,0,0,'Données projet'!$E$14+1,1))</f>
        <v>425.41154182732936</v>
      </c>
      <c r="DU26" s="62">
        <f t="shared" si="44"/>
        <v>306.44721925744591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60.822828998238464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14.739999999999998</v>
      </c>
      <c r="EJ26" s="13">
        <f>IF('Données projet'!$A$192&gt;35,EJ25+EI26-ER25,IF(A26&lt;'Données projet'!$A$192,$EG$205^A26,IF(A26='Données projet'!$A$192,'Données projet'!$B$192,EJ25+EI26-ER25)))</f>
        <v>111.02000000000001</v>
      </c>
      <c r="EK26" s="18">
        <f>EJ26*VLOOKUP('Données projet'!$B$15,Paramètres!$A$1:$I$89,3,0)*VLOOKUP('Données projet'!$B$15,Paramètres!$A$1:$I$89,5,0)</f>
        <v>81.399864000000008</v>
      </c>
      <c r="EL26" s="14">
        <f t="shared" si="45"/>
        <v>22.479111830915393</v>
      </c>
      <c r="EM26" s="22">
        <f t="shared" si="19"/>
        <v>180.92254957217764</v>
      </c>
      <c r="EN26" s="62">
        <f t="shared" si="20"/>
        <v>432.05070034349649</v>
      </c>
      <c r="EO26" s="62">
        <f ca="1">AVERAGE(OFFSET($EN$3,0,0,'Données projet'!$E$15+1,1))-AVERAGE(OFFSET($H$3,0,0,'Données projet'!$E$15+1,1))</f>
        <v>357.57626046668958</v>
      </c>
      <c r="EP26" s="62">
        <f t="shared" si="46"/>
        <v>386.90439522046199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60.822828998238464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10.6</v>
      </c>
      <c r="FE26" s="13">
        <f>IF('Données projet'!$A$218&gt;35,FE25+FD26-FM25,IF(A26&lt;'Données projet'!$A$218,$FB$205^A26,IF(A26='Données projet'!$A$218,'Données projet'!$B$218,FE25+FD26-FM25)))</f>
        <v>119.79999999999997</v>
      </c>
      <c r="FF26" s="18">
        <f>FE26*VLOOKUP('Données projet'!$B$16,Paramètres!$A$1:$I$89,3,0)*VLOOKUP('Données projet'!$B$16,Paramètres!$A$1:$I$89,5,0)</f>
        <v>93.443999999999974</v>
      </c>
      <c r="FG26" s="14">
        <f t="shared" si="47"/>
        <v>25.394010816431489</v>
      </c>
      <c r="FH26" s="22">
        <f t="shared" si="22"/>
        <v>206.97620217195148</v>
      </c>
      <c r="FI26" s="62">
        <f t="shared" si="23"/>
        <v>458.10435294327033</v>
      </c>
      <c r="FJ26" s="62">
        <f ca="1">AVERAGE(OFFSET($FI$3,0,0,'Données projet'!$E$16+1,1))-AVERAGE(OFFSET($H$3,0,0,'Données projet'!$E$16+1,1))</f>
        <v>303.56663121833833</v>
      </c>
      <c r="FK26" s="62">
        <f t="shared" si="48"/>
        <v>293.97736357938038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60.822828998238464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14.739999999999998</v>
      </c>
      <c r="FZ26" s="13">
        <f>IF('Données projet'!$A$244&gt;35,FZ25+FY26-GH25,IF(A26&lt;'Données projet'!$A$244,$FW$205^A26,IF(A26='Données projet'!$A$244,'Données projet'!$B$244,FZ25+FY26-GH25)))</f>
        <v>111.02000000000001</v>
      </c>
      <c r="GA26" s="18">
        <f>FZ26*VLOOKUP('Données projet'!$B$17,Paramètres!$A$1:$I$89,3,0)*VLOOKUP('Données projet'!$B$17,Paramètres!$A$1:$I$89,5,0)</f>
        <v>88.327512000000013</v>
      </c>
      <c r="GB26" s="14">
        <f t="shared" si="49"/>
        <v>24.161421859810599</v>
      </c>
      <c r="GC26" s="22">
        <f t="shared" si="25"/>
        <v>195.91822647250351</v>
      </c>
      <c r="GD26" s="62">
        <f t="shared" si="26"/>
        <v>447.04637724382235</v>
      </c>
      <c r="GE26" s="62">
        <f ca="1">AVERAGE(OFFSET($GD$3,0,0,'Données projet'!$E$17+1,1))-AVERAGE(OFFSET($H$3,0,0,'Données projet'!$E$17+1,1))</f>
        <v>383.71724511025587</v>
      </c>
      <c r="GF26" s="62">
        <f t="shared" si="50"/>
        <v>415.10774719533185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60.822828998238464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8.4615384615384617</v>
      </c>
      <c r="GU26" s="13">
        <f>IF('Données projet'!$A$270&gt;35,GU25+GT26-HC25,IF(A26&lt;'Données projet'!$A$270,$GR$205^A26,IF(A26='Données projet'!$A$270,'Données projet'!$B$270,GU25+GT26-HC25)))</f>
        <v>92.051282051282072</v>
      </c>
      <c r="GV26" s="18">
        <f>GU26*VLOOKUP('Données projet'!$B$18,Paramètres!$A$1:$I$89,3,0)*VLOOKUP('Données projet'!$B$18,Paramètres!$A$1:$I$89,5,0)</f>
        <v>61.748000000000012</v>
      </c>
      <c r="GW26" s="14">
        <f t="shared" si="51"/>
        <v>17.609476905605174</v>
      </c>
      <c r="GX26" s="22">
        <f t="shared" si="28"/>
        <v>138.21427227726235</v>
      </c>
      <c r="GY26" s="62">
        <f t="shared" si="29"/>
        <v>389.34242304858117</v>
      </c>
      <c r="GZ26" s="62">
        <f ca="1">AVERAGE(OFFSET($GY$3,0,0,'Données projet'!$E$18+1,1))-AVERAGE(OFFSET($H$3,0,0,'Données projet'!$E$18+1,1))</f>
        <v>329.93956600482801</v>
      </c>
      <c r="HA26" s="62">
        <f t="shared" si="52"/>
        <v>268.69186630599165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2.7450000000000001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10.065</v>
      </c>
      <c r="H27" s="70">
        <f t="shared" si="1"/>
        <v>216.40666666666667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60.982032398038349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2">
        <f t="shared" si="0"/>
        <v>457.02563309810137</v>
      </c>
      <c r="S27" s="62">
        <f ca="1">AVERAGE(OFFSET($R$3,0,0,'Données projet'!$E$9+1,1))-AVERAGE(OFFSET($H$3,0,0,'Données projet'!$E$9+1,1))</f>
        <v>551.67307965706379</v>
      </c>
      <c r="T27" s="62">
        <f t="shared" si="34"/>
        <v>288.70738860523943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60.982032398038349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101.80000000000001</v>
      </c>
      <c r="AJ27" s="14">
        <f>AI27*VLOOKUP('Données projet'!$B$10,Paramètres!$A$1:$I$89,3,0)*VLOOKUP('Données projet'!$B$10,Paramètres!$A$1:$I$89,5,0)</f>
        <v>85.756320000000017</v>
      </c>
      <c r="AK27" s="14">
        <f t="shared" si="35"/>
        <v>23.538892352228263</v>
      </c>
      <c r="AL27" s="22">
        <f t="shared" si="4"/>
        <v>190.35582818013089</v>
      </c>
      <c r="AM27" s="62">
        <f t="shared" si="5"/>
        <v>443.28994697293814</v>
      </c>
      <c r="AN27" s="62">
        <f ca="1">AVERAGE(OFFSET($AM$3,0,0,'Données projet'!$E$10+1,1))-AVERAGE(OFFSET($H$3,0,0,'Données projet'!$E$10+1,1))</f>
        <v>518.18933270904506</v>
      </c>
      <c r="AO27" s="62">
        <f t="shared" si="36"/>
        <v>272.44431899810411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60.982032398038349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2.8518518518518516</v>
      </c>
      <c r="BD27" s="13">
        <f>IF('Données projet'!$A$88&gt;35,BD26+BC27-BL26,IF(A27&lt;'Données projet'!$A$88,$BA$205^A27,IF(A27='Données projet'!$A$88,'Données projet'!$B$88,BD26+BC27-BL26)))</f>
        <v>47.520460942750645</v>
      </c>
      <c r="BE27" s="14">
        <f>BD27*VLOOKUP('Données projet'!$B$11,Paramètres!$A$1:$I$89,3,0)*VLOOKUP('Données projet'!$B$11,Paramètres!$A$1:$I$89,5,0)</f>
        <v>40.772555488880059</v>
      </c>
      <c r="BF27" s="14">
        <f t="shared" si="37"/>
        <v>12.203184290884069</v>
      </c>
      <c r="BG27" s="22">
        <f t="shared" si="7"/>
        <v>92.266080116422515</v>
      </c>
      <c r="BH27" s="62">
        <f t="shared" si="8"/>
        <v>345.20019890922975</v>
      </c>
      <c r="BI27" s="62">
        <f ca="1">AVERAGE(OFFSET($BH$3,0,0,'Données projet'!$E$11+1,1))-AVERAGE(OFFSET($H$3,0,0,'Données projet'!$E$11+1,1))</f>
        <v>464.73160475167867</v>
      </c>
      <c r="BJ27" s="62">
        <f t="shared" si="38"/>
        <v>241.31968359962227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60.982032398038349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9.6</v>
      </c>
      <c r="BY27" s="13">
        <f>IF('Données projet'!$A$114&gt;35,BY26+BX27-CG26,IF(A27&lt;'Données projet'!$A$114,$BV$205^A27,IF(A27='Données projet'!$A$114,'Données projet'!$B$114,BY26+BX27-CG26)))</f>
        <v>143.39999999999998</v>
      </c>
      <c r="BZ27" s="14">
        <f>BY27*VLOOKUP('Données projet'!$B$12,Paramètres!$A$1:$I$89,3,0)*VLOOKUP('Données projet'!$B$12,Paramètres!$A$1:$I$89,5,0)</f>
        <v>93.955679999999987</v>
      </c>
      <c r="CA27" s="14">
        <f t="shared" si="39"/>
        <v>25.516838392731955</v>
      </c>
      <c r="CB27" s="22">
        <f t="shared" si="10"/>
        <v>208.08130286734146</v>
      </c>
      <c r="CC27" s="62">
        <f t="shared" si="11"/>
        <v>461.01542166014872</v>
      </c>
      <c r="CD27" s="62">
        <f ca="1">AVERAGE(OFFSET($CC$3,0,0,'Données projet'!$E$12+1,1))-AVERAGE(OFFSET($H$3,0,0,'Données projet'!$E$12+1,1))</f>
        <v>292.13851489852607</v>
      </c>
      <c r="CE27" s="62">
        <f t="shared" si="40"/>
        <v>280.10866188737418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60.982032398038349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8.6</v>
      </c>
      <c r="CT27" s="13">
        <f>IF('Données projet'!$A$140&gt;35,CT26+CS27-DB26,IF(A27&lt;'Données projet'!$A$140,$CQ$205^A27,IF(A27='Données projet'!$A$140,'Données projet'!$B$140,CT26+CS27-DB26)))</f>
        <v>93.399999999999977</v>
      </c>
      <c r="CU27" s="18">
        <f>CT27*VLOOKUP('Données projet'!$B$13,Paramètres!$A$1:$I$89,3,0)*VLOOKUP('Données projet'!$B$13,Paramètres!$A$1:$I$89,5,0)</f>
        <v>75.766079999999988</v>
      </c>
      <c r="CV27" s="14">
        <f t="shared" si="41"/>
        <v>21.09871541273251</v>
      </c>
      <c r="CW27" s="22">
        <f t="shared" si="13"/>
        <v>168.70618534384241</v>
      </c>
      <c r="CX27" s="62">
        <f t="shared" si="14"/>
        <v>421.64030413664966</v>
      </c>
      <c r="CY27" s="62">
        <f ca="1">AVERAGE(OFFSET($CX$3,0,0,'Données projet'!$E$13+1,1))-AVERAGE(OFFSET($H$3,0,0,'Données projet'!$E$13+1,1))</f>
        <v>265.25572936607409</v>
      </c>
      <c r="CZ27" s="62">
        <f t="shared" si="42"/>
        <v>307.96244316129071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60.982032398038349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7.5641025641025639</v>
      </c>
      <c r="DO27" s="13">
        <f>IF('Données projet'!$A$166&gt;35,DO26+DN27-DW26,IF(A27&lt;'Données projet'!$A$166,$DL$205^A27,IF(A27='Données projet'!$A$166,'Données projet'!$B$166,DO26+DN27-DW26)))</f>
        <v>114.87179487179488</v>
      </c>
      <c r="DP27" s="18">
        <f>DO27*VLOOKUP('Données projet'!$B$14,Paramètres!$A$1:$I$89,3,0)*VLOOKUP('Données projet'!$B$14,Paramètres!$A$1:$I$89,5,0)</f>
        <v>109.31200000000001</v>
      </c>
      <c r="DQ27" s="14">
        <f t="shared" si="43"/>
        <v>29.168827262472544</v>
      </c>
      <c r="DR27" s="22">
        <f t="shared" si="16"/>
        <v>241.18744081547302</v>
      </c>
      <c r="DS27" s="62">
        <f t="shared" si="17"/>
        <v>494.12155960828028</v>
      </c>
      <c r="DT27" s="62">
        <f ca="1">AVERAGE(OFFSET($DS$3,0,0,'Données projet'!$E$14+1,1))-AVERAGE(OFFSET($H$3,0,0,'Données projet'!$E$14+1,1))</f>
        <v>425.41154182732936</v>
      </c>
      <c r="DU27" s="62">
        <f t="shared" si="44"/>
        <v>306.44721925744591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60.982032398038349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14.739999999999998</v>
      </c>
      <c r="EJ27" s="13">
        <f>IF('Données projet'!$A$192&gt;35,EJ26+EI27-ER26,IF(A27&lt;'Données projet'!$A$192,$EG$205^A27,IF(A27='Données projet'!$A$192,'Données projet'!$B$192,EJ26+EI27-ER26)))</f>
        <v>125.76</v>
      </c>
      <c r="EK27" s="18">
        <f>EJ27*VLOOKUP('Données projet'!$B$15,Paramètres!$A$1:$I$89,3,0)*VLOOKUP('Données projet'!$B$15,Paramètres!$A$1:$I$89,5,0)</f>
        <v>92.207232000000005</v>
      </c>
      <c r="EL27" s="14">
        <f t="shared" si="45"/>
        <v>25.096803228719384</v>
      </c>
      <c r="EM27" s="22">
        <f t="shared" si="19"/>
        <v>204.3045280233529</v>
      </c>
      <c r="EN27" s="62">
        <f t="shared" si="20"/>
        <v>457.23864681616016</v>
      </c>
      <c r="EO27" s="62">
        <f ca="1">AVERAGE(OFFSET($EN$3,0,0,'Données projet'!$E$15+1,1))-AVERAGE(OFFSET($H$3,0,0,'Données projet'!$E$15+1,1))</f>
        <v>357.57626046668958</v>
      </c>
      <c r="EP27" s="62">
        <f t="shared" si="46"/>
        <v>386.90439522046199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60.982032398038349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10.6</v>
      </c>
      <c r="FE27" s="13">
        <f>IF('Données projet'!$A$218&gt;35,FE26+FD27-FM26,IF(A27&lt;'Données projet'!$A$218,$FB$205^A27,IF(A27='Données projet'!$A$218,'Données projet'!$B$218,FE26+FD27-FM26)))</f>
        <v>130.39999999999998</v>
      </c>
      <c r="FF27" s="18">
        <f>FE27*VLOOKUP('Données projet'!$B$16,Paramètres!$A$1:$I$89,3,0)*VLOOKUP('Données projet'!$B$16,Paramètres!$A$1:$I$89,5,0)</f>
        <v>101.71199999999999</v>
      </c>
      <c r="FG27" s="14">
        <f t="shared" si="47"/>
        <v>27.369454120725656</v>
      </c>
      <c r="FH27" s="22">
        <f t="shared" si="22"/>
        <v>224.81686592693052</v>
      </c>
      <c r="FI27" s="62">
        <f t="shared" si="23"/>
        <v>477.75098471973774</v>
      </c>
      <c r="FJ27" s="62">
        <f ca="1">AVERAGE(OFFSET($FI$3,0,0,'Données projet'!$E$16+1,1))-AVERAGE(OFFSET($H$3,0,0,'Données projet'!$E$16+1,1))</f>
        <v>303.56663121833833</v>
      </c>
      <c r="FK27" s="62">
        <f t="shared" si="48"/>
        <v>293.97736357938038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60.982032398038349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14.739999999999998</v>
      </c>
      <c r="FZ27" s="13">
        <f>IF('Données projet'!$A$244&gt;35,FZ26+FY27-GH26,IF(A27&lt;'Données projet'!$A$244,$FW$205^A27,IF(A27='Données projet'!$A$244,'Données projet'!$B$244,FZ26+FY27-GH26)))</f>
        <v>125.76</v>
      </c>
      <c r="GA27" s="18">
        <f>FZ27*VLOOKUP('Données projet'!$B$17,Paramètres!$A$1:$I$89,3,0)*VLOOKUP('Données projet'!$B$17,Paramètres!$A$1:$I$89,5,0)</f>
        <v>100.05465600000001</v>
      </c>
      <c r="GB27" s="14">
        <f t="shared" si="49"/>
        <v>26.97501817255089</v>
      </c>
      <c r="GC27" s="22">
        <f t="shared" si="25"/>
        <v>221.24334918385946</v>
      </c>
      <c r="GD27" s="62">
        <f t="shared" si="26"/>
        <v>474.17746797666672</v>
      </c>
      <c r="GE27" s="62">
        <f ca="1">AVERAGE(OFFSET($GD$3,0,0,'Données projet'!$E$17+1,1))-AVERAGE(OFFSET($H$3,0,0,'Données projet'!$E$17+1,1))</f>
        <v>383.71724511025587</v>
      </c>
      <c r="GF27" s="62">
        <f t="shared" si="50"/>
        <v>415.10774719533185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60.982032398038349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8.4615384615384617</v>
      </c>
      <c r="GU27" s="13">
        <f>IF('Données projet'!$A$270&gt;35,GU26+GT27-HC26,IF(A27&lt;'Données projet'!$A$270,$GR$205^A27,IF(A27='Données projet'!$A$270,'Données projet'!$B$270,GU26+GT27-HC26)))</f>
        <v>100.51282051282054</v>
      </c>
      <c r="GV27" s="18">
        <f>GU27*VLOOKUP('Données projet'!$B$18,Paramètres!$A$1:$I$89,3,0)*VLOOKUP('Données projet'!$B$18,Paramètres!$A$1:$I$89,5,0)</f>
        <v>67.424000000000021</v>
      </c>
      <c r="GW27" s="14">
        <f t="shared" si="51"/>
        <v>19.032356736143235</v>
      </c>
      <c r="GX27" s="22">
        <f t="shared" si="28"/>
        <v>150.57815464878283</v>
      </c>
      <c r="GY27" s="62">
        <f t="shared" si="29"/>
        <v>403.51227344159008</v>
      </c>
      <c r="GZ27" s="62">
        <f ca="1">AVERAGE(OFFSET($GY$3,0,0,'Données projet'!$E$18+1,1))-AVERAGE(OFFSET($H$3,0,0,'Données projet'!$E$18+1,1))</f>
        <v>329.93956600482801</v>
      </c>
      <c r="HA27" s="62">
        <f t="shared" si="52"/>
        <v>268.69186630599165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2.7450000000000001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10.065</v>
      </c>
      <c r="H28" s="70">
        <f t="shared" si="1"/>
        <v>216.40666666666667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61.138473974777185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2">
        <f t="shared" si="0"/>
        <v>472.88577944248431</v>
      </c>
      <c r="S28" s="62">
        <f ca="1">AVERAGE(OFFSET($R$3,0,0,'Données projet'!$E$9+1,1))-AVERAGE(OFFSET($H$3,0,0,'Données projet'!$E$9+1,1))</f>
        <v>551.67307965706379</v>
      </c>
      <c r="T28" s="62">
        <f t="shared" si="34"/>
        <v>288.70738860523943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61.138473974777185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109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109.00000000000001</v>
      </c>
      <c r="AJ28" s="14">
        <f>AI28*VLOOKUP('Données projet'!$B$10,Paramètres!$A$1:$I$89,3,0)*VLOOKUP('Données projet'!$B$10,Paramètres!$A$1:$I$89,5,0)</f>
        <v>91.821600000000018</v>
      </c>
      <c r="AK28" s="14">
        <f t="shared" si="35"/>
        <v>25.004037394505982</v>
      </c>
      <c r="AL28" s="22">
        <f t="shared" si="4"/>
        <v>203.47131846209797</v>
      </c>
      <c r="AM28" s="62">
        <f t="shared" si="5"/>
        <v>458.20127859183651</v>
      </c>
      <c r="AN28" s="62">
        <f ca="1">AVERAGE(OFFSET($AM$3,0,0,'Données projet'!$E$10+1,1))-AVERAGE(OFFSET($H$3,0,0,'Données projet'!$E$10+1,1))</f>
        <v>518.18933270904506</v>
      </c>
      <c r="AO28" s="62">
        <f t="shared" si="36"/>
        <v>272.44431899810411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34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61.138473974777185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2.8518518518518516</v>
      </c>
      <c r="BD28" s="13">
        <f>IF('Données projet'!$A$88&gt;35,BD27+BC28-BL27,IF(A28&lt;'Données projet'!$A$88,$BA$205^A28,IF(A28='Données projet'!$A$88,'Données projet'!$B$88,BD27+BC28-BL27)))</f>
        <v>55.81496689084404</v>
      </c>
      <c r="BE28" s="14">
        <f>BD28*VLOOKUP('Données projet'!$B$11,Paramètres!$A$1:$I$89,3,0)*VLOOKUP('Données projet'!$B$11,Paramètres!$A$1:$I$89,5,0)</f>
        <v>47.889241592344192</v>
      </c>
      <c r="BF28" s="14">
        <f t="shared" si="37"/>
        <v>14.067286278022651</v>
      </c>
      <c r="BG28" s="22">
        <f t="shared" si="7"/>
        <v>107.90761937422224</v>
      </c>
      <c r="BH28" s="62">
        <f t="shared" si="8"/>
        <v>362.63757950396075</v>
      </c>
      <c r="BI28" s="62">
        <f ca="1">AVERAGE(OFFSET($BH$3,0,0,'Données projet'!$E$11+1,1))-AVERAGE(OFFSET($H$3,0,0,'Données projet'!$E$11+1,1))</f>
        <v>464.73160475167867</v>
      </c>
      <c r="BJ28" s="62">
        <f t="shared" si="38"/>
        <v>241.31968359962227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61.138473974777185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153</v>
      </c>
      <c r="BW28" s="13">
        <f>VLOOKUP(A28,'Données projet'!$A$113:$I$133,9,0)</f>
        <v>9.6</v>
      </c>
      <c r="BX28" s="13">
        <f t="array" ref="BX28">INDEX(BW:BW,MIN(IF(ISNUMBER(BW28:BW224),ROW(BW28:BW224),"")))</f>
        <v>9.6</v>
      </c>
      <c r="BY28" s="13">
        <f>IF('Données projet'!$A$114&gt;35,BY27+BX28-CG27,IF(A28&lt;'Données projet'!$A$114,$BV$205^A28,IF(A28='Données projet'!$A$114,'Données projet'!$B$114,BY27+BX28-CG27)))</f>
        <v>152.99999999999997</v>
      </c>
      <c r="BZ28" s="14">
        <f>BY28*VLOOKUP('Données projet'!$B$12,Paramètres!$A$1:$I$89,3,0)*VLOOKUP('Données projet'!$B$12,Paramètres!$A$1:$I$89,5,0)</f>
        <v>100.2456</v>
      </c>
      <c r="CA28" s="14">
        <f t="shared" si="39"/>
        <v>27.020500005754936</v>
      </c>
      <c r="CB28" s="22">
        <f t="shared" si="10"/>
        <v>221.65512417668984</v>
      </c>
      <c r="CC28" s="62">
        <f t="shared" si="11"/>
        <v>476.38508430642838</v>
      </c>
      <c r="CD28" s="62">
        <f ca="1">AVERAGE(OFFSET($CC$3,0,0,'Données projet'!$E$12+1,1))-AVERAGE(OFFSET($H$3,0,0,'Données projet'!$E$12+1,1))</f>
        <v>292.13851489852607</v>
      </c>
      <c r="CE28" s="62">
        <f t="shared" si="40"/>
        <v>280.10866188737418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36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61.138473974777185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102</v>
      </c>
      <c r="CR28" s="13">
        <f>VLOOKUP(A28,'Données projet'!$A$139:$I$159,9,0)</f>
        <v>8.6</v>
      </c>
      <c r="CS28" s="13">
        <f t="array" ref="CS28">INDEX(CR:CR,MIN(IF(ISNUMBER(CR28:CR224),ROW(CR28:CR224),"")))</f>
        <v>8.6</v>
      </c>
      <c r="CT28" s="13">
        <f>IF('Données projet'!$A$140&gt;35,CT27+CS28-DB27,IF(A28&lt;'Données projet'!$A$140,$CQ$205^A28,IF(A28='Données projet'!$A$140,'Données projet'!$B$140,CT27+CS28-DB27)))</f>
        <v>101.99999999999997</v>
      </c>
      <c r="CU28" s="18">
        <f>CT28*VLOOKUP('Données projet'!$B$13,Paramètres!$A$1:$I$89,3,0)*VLOOKUP('Données projet'!$B$13,Paramètres!$A$1:$I$89,5,0)</f>
        <v>82.742399999999975</v>
      </c>
      <c r="CV28" s="14">
        <f t="shared" si="41"/>
        <v>22.806394174303183</v>
      </c>
      <c r="CW28" s="22">
        <f t="shared" si="13"/>
        <v>183.83081652024464</v>
      </c>
      <c r="CX28" s="62">
        <f t="shared" si="14"/>
        <v>438.56077664998315</v>
      </c>
      <c r="CY28" s="62">
        <f ca="1">AVERAGE(OFFSET($CX$3,0,0,'Données projet'!$E$13+1,1))-AVERAGE(OFFSET($H$3,0,0,'Données projet'!$E$13+1,1))</f>
        <v>265.25572936607409</v>
      </c>
      <c r="CZ28" s="62">
        <f t="shared" si="42"/>
        <v>307.96244316129071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61.138473974777185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122.43589743589743</v>
      </c>
      <c r="DM28" s="13">
        <f>VLOOKUP(A28,'Données projet'!$A$165:$I$185,9,0)</f>
        <v>7.5641025641025639</v>
      </c>
      <c r="DN28" s="13">
        <f t="array" ref="DN28">INDEX(DM:DM,MIN(IF(ISNUMBER(DM28:DM224),ROW(DM28:DM224),"")))</f>
        <v>7.5641025641025639</v>
      </c>
      <c r="DO28" s="13">
        <f>IF('Données projet'!$A$166&gt;35,DO27+DN28-DW27,IF(A28&lt;'Données projet'!$A$166,$DL$205^A28,IF(A28='Données projet'!$A$166,'Données projet'!$B$166,DO27+DN28-DW27)))</f>
        <v>122.43589743589745</v>
      </c>
      <c r="DP28" s="18">
        <f>DO28*VLOOKUP('Données projet'!$B$14,Paramètres!$A$1:$I$89,3,0)*VLOOKUP('Données projet'!$B$14,Paramètres!$A$1:$I$89,5,0)</f>
        <v>116.51000000000002</v>
      </c>
      <c r="DQ28" s="14">
        <f t="shared" si="43"/>
        <v>30.859621169021747</v>
      </c>
      <c r="DR28" s="22">
        <f t="shared" si="16"/>
        <v>256.66875686937959</v>
      </c>
      <c r="DS28" s="62">
        <f t="shared" si="17"/>
        <v>511.39871699911816</v>
      </c>
      <c r="DT28" s="62">
        <f ca="1">AVERAGE(OFFSET($DS$3,0,0,'Données projet'!$E$14+1,1))-AVERAGE(OFFSET($H$3,0,0,'Données projet'!$E$14+1,1))</f>
        <v>425.41154182732936</v>
      </c>
      <c r="DU28" s="62">
        <f t="shared" si="44"/>
        <v>306.44721925744591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35.897435897435898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61.138473974777185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140.5</v>
      </c>
      <c r="EH28" s="13">
        <f>VLOOKUP(A28,'Données projet'!$A$191:$I$211,9,0)</f>
        <v>14.739999999999998</v>
      </c>
      <c r="EI28" s="13">
        <f t="array" ref="EI28">INDEX(EH:EH,MIN(IF(ISNUMBER(EH28:EH224),ROW(EH28:EH224),"")))</f>
        <v>14.739999999999998</v>
      </c>
      <c r="EJ28" s="13">
        <f>IF('Données projet'!$A$192&gt;35,EJ27+EI28-ER27,IF(A28&lt;'Données projet'!$A$192,$EG$205^A28,IF(A28='Données projet'!$A$192,'Données projet'!$B$192,EJ27+EI28-ER27)))</f>
        <v>140.5</v>
      </c>
      <c r="EK28" s="18">
        <f>EJ28*VLOOKUP('Données projet'!$B$15,Paramètres!$A$1:$I$89,3,0)*VLOOKUP('Données projet'!$B$15,Paramètres!$A$1:$I$89,5,0)</f>
        <v>103.0146</v>
      </c>
      <c r="EL28" s="14">
        <f t="shared" si="45"/>
        <v>27.678938285581953</v>
      </c>
      <c r="EM28" s="22">
        <f t="shared" si="19"/>
        <v>227.62457918072189</v>
      </c>
      <c r="EN28" s="62">
        <f t="shared" si="20"/>
        <v>482.35453931046044</v>
      </c>
      <c r="EO28" s="62">
        <f ca="1">AVERAGE(OFFSET($EN$3,0,0,'Données projet'!$E$15+1,1))-AVERAGE(OFFSET($H$3,0,0,'Données projet'!$E$15+1,1))</f>
        <v>357.57626046668958</v>
      </c>
      <c r="EP28" s="62">
        <f t="shared" si="46"/>
        <v>386.90439522046199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61.138473974777185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141</v>
      </c>
      <c r="FC28" s="13">
        <f>VLOOKUP(A28,'Données projet'!$A$217:$I$237,9,0)</f>
        <v>10.6</v>
      </c>
      <c r="FD28" s="13">
        <f t="array" ref="FD28">INDEX(FC:FC,MIN(IF(ISNUMBER(FC28:FC224),ROW(FC28:FC224),"")))</f>
        <v>10.6</v>
      </c>
      <c r="FE28" s="13">
        <f>IF('Données projet'!$A$218&gt;35,FE27+FD28-FM27,IF(A28&lt;'Données projet'!$A$218,$FB$205^A28,IF(A28='Données projet'!$A$218,'Données projet'!$B$218,FE27+FD28-FM27)))</f>
        <v>140.99999999999997</v>
      </c>
      <c r="FF28" s="18">
        <f>FE28*VLOOKUP('Données projet'!$B$16,Paramètres!$A$1:$I$89,3,0)*VLOOKUP('Données projet'!$B$16,Paramètres!$A$1:$I$89,5,0)</f>
        <v>109.97999999999998</v>
      </c>
      <c r="FG28" s="14">
        <f t="shared" si="47"/>
        <v>29.326272366698234</v>
      </c>
      <c r="FH28" s="22">
        <f t="shared" si="22"/>
        <v>242.62509103866606</v>
      </c>
      <c r="FI28" s="62">
        <f t="shared" si="23"/>
        <v>497.3550511684046</v>
      </c>
      <c r="FJ28" s="62">
        <f ca="1">AVERAGE(OFFSET($FI$3,0,0,'Données projet'!$E$16+1,1))-AVERAGE(OFFSET($H$3,0,0,'Données projet'!$E$16+1,1))</f>
        <v>303.56663121833833</v>
      </c>
      <c r="FK28" s="62">
        <f t="shared" si="48"/>
        <v>293.97736357938038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55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61.138473974777185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140.5</v>
      </c>
      <c r="FX28" s="13">
        <f>VLOOKUP(A28,'Données projet'!$A$243:$I$263,9,0)</f>
        <v>14.739999999999998</v>
      </c>
      <c r="FY28" s="13">
        <f t="array" ref="FY28">INDEX(FX:FX,MIN(IF(ISNUMBER(FX28:FX224),ROW(FX28:FX224),"")))</f>
        <v>14.739999999999998</v>
      </c>
      <c r="FZ28" s="13">
        <f>IF('Données projet'!$A$244&gt;35,FZ27+FY28-GH27,IF(A28&lt;'Données projet'!$A$244,$FW$205^A28,IF(A28='Données projet'!$A$244,'Données projet'!$B$244,FZ27+FY28-GH27)))</f>
        <v>140.5</v>
      </c>
      <c r="GA28" s="18">
        <f>FZ28*VLOOKUP('Données projet'!$B$17,Paramètres!$A$1:$I$89,3,0)*VLOOKUP('Données projet'!$B$17,Paramètres!$A$1:$I$89,5,0)</f>
        <v>111.7818</v>
      </c>
      <c r="GB28" s="14">
        <f t="shared" si="49"/>
        <v>29.750397150027219</v>
      </c>
      <c r="GC28" s="22">
        <f t="shared" si="25"/>
        <v>246.5019100362974</v>
      </c>
      <c r="GD28" s="62">
        <f t="shared" si="26"/>
        <v>501.23187016603595</v>
      </c>
      <c r="GE28" s="62">
        <f ca="1">AVERAGE(OFFSET($GD$3,0,0,'Données projet'!$E$17+1,1))-AVERAGE(OFFSET($H$3,0,0,'Données projet'!$E$17+1,1))</f>
        <v>383.71724511025587</v>
      </c>
      <c r="GF28" s="62">
        <f t="shared" si="50"/>
        <v>415.10774719533185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61.138473974777185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108.97435897435896</v>
      </c>
      <c r="GS28" s="13">
        <f>VLOOKUP(A28,'Données projet'!$A$269:$I$289,9,0)</f>
        <v>8.4615384615384617</v>
      </c>
      <c r="GT28" s="13">
        <f t="array" ref="GT28">INDEX(GS:GS,MIN(IF(ISNUMBER(GS28:GS224),ROW(GS28:GS224),"")))</f>
        <v>8.4615384615384617</v>
      </c>
      <c r="GU28" s="13">
        <f>IF('Données projet'!$A$270&gt;35,GU27+GT28-HC27,IF(A28&lt;'Données projet'!$A$270,$GR$205^A28,IF(A28='Données projet'!$A$270,'Données projet'!$B$270,GU27+GT28-HC27)))</f>
        <v>108.97435897435901</v>
      </c>
      <c r="GV28" s="18">
        <f>GU28*VLOOKUP('Données projet'!$B$18,Paramètres!$A$1:$I$89,3,0)*VLOOKUP('Données projet'!$B$18,Paramètres!$A$1:$I$89,5,0)</f>
        <v>73.100000000000023</v>
      </c>
      <c r="GW28" s="14">
        <f t="shared" si="51"/>
        <v>20.44134457781275</v>
      </c>
      <c r="GX28" s="22">
        <f t="shared" si="28"/>
        <v>162.91784180635725</v>
      </c>
      <c r="GY28" s="62">
        <f t="shared" si="29"/>
        <v>417.64780193609579</v>
      </c>
      <c r="GZ28" s="62">
        <f ca="1">AVERAGE(OFFSET($GY$3,0,0,'Données projet'!$E$18+1,1))-AVERAGE(OFFSET($H$3,0,0,'Données projet'!$E$18+1,1))</f>
        <v>329.93956600482801</v>
      </c>
      <c r="HA28" s="62">
        <f t="shared" si="52"/>
        <v>268.69186630599165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2.7450000000000001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10.065</v>
      </c>
      <c r="H29" s="70">
        <f t="shared" si="1"/>
        <v>216.40666666666667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61.292201639910573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426.12930274634289</v>
      </c>
      <c r="S29" s="62">
        <f ca="1">AVERAGE(OFFSET($R$3,0,0,'Données projet'!$E$9+1,1))-AVERAGE(OFFSET($H$3,0,0,'Données projet'!$E$9+1,1))</f>
        <v>551.67307965706379</v>
      </c>
      <c r="T29" s="62">
        <f t="shared" si="34"/>
        <v>288.70738860523943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61.292201639910573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70.930080000000018</v>
      </c>
      <c r="AK29" s="14">
        <f t="shared" si="35"/>
        <v>19.904251483253464</v>
      </c>
      <c r="AL29" s="22">
        <f t="shared" si="4"/>
        <v>158.20312733333313</v>
      </c>
      <c r="AM29" s="62">
        <f t="shared" si="5"/>
        <v>414.71897779078301</v>
      </c>
      <c r="AN29" s="62">
        <f ca="1">AVERAGE(OFFSET($AM$3,0,0,'Données projet'!$E$10+1,1))-AVERAGE(OFFSET($H$3,0,0,'Données projet'!$E$10+1,1))</f>
        <v>518.18933270904506</v>
      </c>
      <c r="AO29" s="62">
        <f t="shared" si="36"/>
        <v>272.44431899810411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61.292201639910573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2.8518518518518516</v>
      </c>
      <c r="BD29" s="13">
        <f>IF('Données projet'!$A$88&gt;35,BD28+BC29-BL28,IF(A29&lt;'Données projet'!$A$88,$BA$205^A29,IF(A29='Données projet'!$A$88,'Données projet'!$B$88,BD28+BC29-BL28)))</f>
        <v>65.557245599514019</v>
      </c>
      <c r="BE29" s="14">
        <f>BD29*VLOOKUP('Données projet'!$B$11,Paramètres!$A$1:$I$89,3,0)*VLOOKUP('Données projet'!$B$11,Paramètres!$A$1:$I$89,5,0)</f>
        <v>56.248116724383038</v>
      </c>
      <c r="BF29" s="14">
        <f t="shared" si="37"/>
        <v>16.216139862418505</v>
      </c>
      <c r="BG29" s="22">
        <f t="shared" si="7"/>
        <v>126.20858022201269</v>
      </c>
      <c r="BH29" s="62">
        <f t="shared" si="8"/>
        <v>382.72443067946261</v>
      </c>
      <c r="BI29" s="62">
        <f ca="1">AVERAGE(OFFSET($BH$3,0,0,'Données projet'!$E$11+1,1))-AVERAGE(OFFSET($H$3,0,0,'Données projet'!$E$11+1,1))</f>
        <v>464.73160475167867</v>
      </c>
      <c r="BJ29" s="62">
        <f t="shared" si="38"/>
        <v>241.31968359962227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61.292201639910573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8.8000000000000007</v>
      </c>
      <c r="BY29" s="13">
        <f>IF('Données projet'!$A$114&gt;35,BY28+BX29-CG28,IF(A29&lt;'Données projet'!$A$114,$BV$205^A29,IF(A29='Données projet'!$A$114,'Données projet'!$B$114,BY28+BX29-CG28)))</f>
        <v>125.79999999999998</v>
      </c>
      <c r="BZ29" s="14">
        <f>BY29*VLOOKUP('Données projet'!$B$12,Paramètres!$A$1:$I$89,3,0)*VLOOKUP('Données projet'!$B$12,Paramètres!$A$1:$I$89,5,0)</f>
        <v>82.424159999999986</v>
      </c>
      <c r="CA29" s="14">
        <f t="shared" si="39"/>
        <v>22.728870146421784</v>
      </c>
      <c r="CB29" s="22">
        <f t="shared" si="10"/>
        <v>183.14152750501788</v>
      </c>
      <c r="CC29" s="62">
        <f t="shared" si="11"/>
        <v>439.65737796246776</v>
      </c>
      <c r="CD29" s="62">
        <f ca="1">AVERAGE(OFFSET($CC$3,0,0,'Données projet'!$E$12+1,1))-AVERAGE(OFFSET($H$3,0,0,'Données projet'!$E$12+1,1))</f>
        <v>292.13851489852607</v>
      </c>
      <c r="CE29" s="62">
        <f t="shared" si="40"/>
        <v>280.10866188737418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61.292201639910573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8.8000000000000007</v>
      </c>
      <c r="CT29" s="13">
        <f>IF('Données projet'!$A$140&gt;35,CT28+CS29-DB28,IF(A29&lt;'Données projet'!$A$140,$CQ$205^A29,IF(A29='Données projet'!$A$140,'Données projet'!$B$140,CT28+CS29-DB28)))</f>
        <v>110.79999999999997</v>
      </c>
      <c r="CU29" s="18">
        <f>CT29*VLOOKUP('Données projet'!$B$13,Paramètres!$A$1:$I$89,3,0)*VLOOKUP('Données projet'!$B$13,Paramètres!$A$1:$I$89,5,0)</f>
        <v>89.880959999999973</v>
      </c>
      <c r="CV29" s="14">
        <f t="shared" si="41"/>
        <v>24.536513201257339</v>
      </c>
      <c r="CW29" s="22">
        <f t="shared" si="13"/>
        <v>199.27709915885649</v>
      </c>
      <c r="CX29" s="62">
        <f t="shared" si="14"/>
        <v>455.79294961630637</v>
      </c>
      <c r="CY29" s="62">
        <f ca="1">AVERAGE(OFFSET($CX$3,0,0,'Données projet'!$E$13+1,1))-AVERAGE(OFFSET($H$3,0,0,'Données projet'!$E$13+1,1))</f>
        <v>265.25572936607409</v>
      </c>
      <c r="CZ29" s="62">
        <f t="shared" si="42"/>
        <v>307.96244316129071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61.292201639910573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7.4358974358974361</v>
      </c>
      <c r="DO29" s="13">
        <f>IF('Données projet'!$A$166&gt;35,DO28+DN29-DW28,IF(A29&lt;'Données projet'!$A$166,$DL$205^A29,IF(A29='Données projet'!$A$166,'Données projet'!$B$166,DO28+DN29-DW28)))</f>
        <v>93.974358974358992</v>
      </c>
      <c r="DP29" s="18">
        <f>DO29*VLOOKUP('Données projet'!$B$14,Paramètres!$A$1:$I$89,3,0)*VLOOKUP('Données projet'!$B$14,Paramètres!$A$1:$I$89,5,0)</f>
        <v>89.426000000000016</v>
      </c>
      <c r="DQ29" s="14">
        <f t="shared" si="43"/>
        <v>24.426738508211891</v>
      </c>
      <c r="DR29" s="22">
        <f t="shared" si="16"/>
        <v>198.29351956846904</v>
      </c>
      <c r="DS29" s="62">
        <f t="shared" si="17"/>
        <v>454.80937002591895</v>
      </c>
      <c r="DT29" s="62">
        <f ca="1">AVERAGE(OFFSET($DS$3,0,0,'Données projet'!$E$14+1,1))-AVERAGE(OFFSET($H$3,0,0,'Données projet'!$E$14+1,1))</f>
        <v>425.41154182732936</v>
      </c>
      <c r="DU29" s="62">
        <f t="shared" si="44"/>
        <v>306.44721925744591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61.292201639910573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14.260000000000002</v>
      </c>
      <c r="EJ29" s="13">
        <f>IF('Données projet'!$A$192&gt;35,EJ28+EI29-ER28,IF(A29&lt;'Données projet'!$A$192,$EG$205^A29,IF(A29='Données projet'!$A$192,'Données projet'!$B$192,EJ28+EI29-ER28)))</f>
        <v>154.76</v>
      </c>
      <c r="EK29" s="18">
        <f>EJ29*VLOOKUP('Données projet'!$B$15,Paramètres!$A$1:$I$89,3,0)*VLOOKUP('Données projet'!$B$15,Paramètres!$A$1:$I$89,5,0)</f>
        <v>113.47003199999999</v>
      </c>
      <c r="EL29" s="14">
        <f t="shared" si="45"/>
        <v>30.147067487856493</v>
      </c>
      <c r="EM29" s="22">
        <f t="shared" si="19"/>
        <v>250.13311494134999</v>
      </c>
      <c r="EN29" s="62">
        <f t="shared" si="20"/>
        <v>506.64896539879987</v>
      </c>
      <c r="EO29" s="62">
        <f ca="1">AVERAGE(OFFSET($EN$3,0,0,'Données projet'!$E$15+1,1))-AVERAGE(OFFSET($H$3,0,0,'Données projet'!$E$15+1,1))</f>
        <v>357.57626046668958</v>
      </c>
      <c r="EP29" s="62">
        <f t="shared" si="46"/>
        <v>386.90439522046199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61.292201639910573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11.5</v>
      </c>
      <c r="FE29" s="13">
        <f>IF('Données projet'!$A$218&gt;35,FE28+FD29-FM28,IF(A29&lt;'Données projet'!$A$218,$FB$205^A29,IF(A29='Données projet'!$A$218,'Données projet'!$B$218,FE28+FD29-FM28)))</f>
        <v>97.499999999999972</v>
      </c>
      <c r="FF29" s="18">
        <f>FE29*VLOOKUP('Données projet'!$B$16,Paramètres!$A$1:$I$89,3,0)*VLOOKUP('Données projet'!$B$16,Paramètres!$A$1:$I$89,5,0)</f>
        <v>76.049999999999983</v>
      </c>
      <c r="FG29" s="14">
        <f t="shared" si="47"/>
        <v>21.168560890749262</v>
      </c>
      <c r="FH29" s="22">
        <f t="shared" si="22"/>
        <v>169.32232688472158</v>
      </c>
      <c r="FI29" s="62">
        <f t="shared" si="23"/>
        <v>425.83817734217149</v>
      </c>
      <c r="FJ29" s="62">
        <f ca="1">AVERAGE(OFFSET($FI$3,0,0,'Données projet'!$E$16+1,1))-AVERAGE(OFFSET($H$3,0,0,'Données projet'!$E$16+1,1))</f>
        <v>303.56663121833833</v>
      </c>
      <c r="FK29" s="62">
        <f t="shared" si="48"/>
        <v>293.97736357938038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61.292201639910573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14.260000000000002</v>
      </c>
      <c r="FZ29" s="13">
        <f>IF('Données projet'!$A$244&gt;35,FZ28+FY29-GH28,IF(A29&lt;'Données projet'!$A$244,$FW$205^A29,IF(A29='Données projet'!$A$244,'Données projet'!$B$244,FZ28+FY29-GH28)))</f>
        <v>154.76</v>
      </c>
      <c r="GA29" s="18">
        <f>FZ29*VLOOKUP('Données projet'!$B$17,Paramètres!$A$1:$I$89,3,0)*VLOOKUP('Données projet'!$B$17,Paramètres!$A$1:$I$89,5,0)</f>
        <v>123.127056</v>
      </c>
      <c r="GB29" s="14">
        <f t="shared" si="49"/>
        <v>32.403238210173519</v>
      </c>
      <c r="GC29" s="22">
        <f t="shared" si="25"/>
        <v>270.88192908271884</v>
      </c>
      <c r="GD29" s="62">
        <f t="shared" si="26"/>
        <v>527.39777954016881</v>
      </c>
      <c r="GE29" s="62">
        <f ca="1">AVERAGE(OFFSET($GD$3,0,0,'Données projet'!$E$17+1,1))-AVERAGE(OFFSET($H$3,0,0,'Données projet'!$E$17+1,1))</f>
        <v>383.71724511025587</v>
      </c>
      <c r="GF29" s="62">
        <f t="shared" si="50"/>
        <v>415.10774719533185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61.292201639910573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8.0769230769230802</v>
      </c>
      <c r="GU29" s="13">
        <f>IF('Données projet'!$A$270&gt;35,GU28+GT29-HC28,IF(A29&lt;'Données projet'!$A$270,$GR$205^A29,IF(A29='Données projet'!$A$270,'Données projet'!$B$270,GU28+GT29-HC28)))</f>
        <v>117.05128205128209</v>
      </c>
      <c r="GV29" s="18">
        <f>GU29*VLOOKUP('Données projet'!$B$18,Paramètres!$A$1:$I$89,3,0)*VLOOKUP('Données projet'!$B$18,Paramètres!$A$1:$I$89,5,0)</f>
        <v>78.518000000000029</v>
      </c>
      <c r="GW29" s="14">
        <f t="shared" si="51"/>
        <v>21.774434027551713</v>
      </c>
      <c r="GX29" s="22">
        <f t="shared" si="28"/>
        <v>174.6759892646526</v>
      </c>
      <c r="GY29" s="62">
        <f t="shared" si="29"/>
        <v>431.19183972210249</v>
      </c>
      <c r="GZ29" s="62">
        <f ca="1">AVERAGE(OFFSET($GY$3,0,0,'Données projet'!$E$18+1,1))-AVERAGE(OFFSET($H$3,0,0,'Données projet'!$E$18+1,1))</f>
        <v>329.93956600482801</v>
      </c>
      <c r="HA29" s="62">
        <f t="shared" si="52"/>
        <v>268.69186630599165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2.7450000000000001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10.065</v>
      </c>
      <c r="H30" s="70">
        <f t="shared" si="1"/>
        <v>216.40666666666667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61.443262473737462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445.94656614086955</v>
      </c>
      <c r="S30" s="62">
        <f ca="1">AVERAGE(OFFSET($R$3,0,0,'Données projet'!$E$9+1,1))-AVERAGE(OFFSET($H$3,0,0,'Données projet'!$E$9+1,1))</f>
        <v>551.67307965706379</v>
      </c>
      <c r="T30" s="62">
        <f t="shared" si="34"/>
        <v>288.70738860523943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61.443262473737462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78.680160000000029</v>
      </c>
      <c r="AK30" s="14">
        <f t="shared" si="35"/>
        <v>21.814164609384523</v>
      </c>
      <c r="AL30" s="22">
        <f t="shared" si="4"/>
        <v>175.02761536134474</v>
      </c>
      <c r="AM30" s="62">
        <f t="shared" si="5"/>
        <v>433.31957776504873</v>
      </c>
      <c r="AN30" s="62">
        <f ca="1">AVERAGE(OFFSET($AM$3,0,0,'Données projet'!$E$10+1,1))-AVERAGE(OFFSET($H$3,0,0,'Données projet'!$E$10+1,1))</f>
        <v>518.18933270904506</v>
      </c>
      <c r="AO30" s="62">
        <f t="shared" si="36"/>
        <v>272.44431899810411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61.443262473737462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>
        <f>VLOOKUP(A30,'Données projet'!$A$87:$I$107,2,0)</f>
        <v>77</v>
      </c>
      <c r="BB30" s="13">
        <f>VLOOKUP(A30,'Données projet'!$A$87:$I$107,9,0)</f>
        <v>2.8518518518518516</v>
      </c>
      <c r="BC30" s="13">
        <f t="array" ref="BC30">INDEX(BB:BB,MIN(IF(ISNUMBER(BB30:BB226),ROW(BB30:BB226),"")))</f>
        <v>2.8518518518518516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66.066000000000003</v>
      </c>
      <c r="BF30" s="14">
        <f t="shared" si="37"/>
        <v>18.69324238096624</v>
      </c>
      <c r="BG30" s="22">
        <f t="shared" si="7"/>
        <v>147.62234714684953</v>
      </c>
      <c r="BH30" s="62">
        <f t="shared" si="8"/>
        <v>405.91430955055353</v>
      </c>
      <c r="BI30" s="62">
        <f ca="1">AVERAGE(OFFSET($BH$3,0,0,'Données projet'!$E$11+1,1))-AVERAGE(OFFSET($H$3,0,0,'Données projet'!$E$11+1,1))</f>
        <v>464.73160475167867</v>
      </c>
      <c r="BJ30" s="62">
        <f t="shared" si="38"/>
        <v>241.31968359962227</v>
      </c>
      <c r="BK30" s="16">
        <f>IF(ISNA(VLOOKUP(A30,'Données projet'!$A$87:$I$107,3,0)),0,VLOOKUP(A30,'Données projet'!$A$87:$I$107,3,0))</f>
        <v>1</v>
      </c>
      <c r="BL30" s="16">
        <f>IF(ISNA(VLOOKUP(A30,'Données projet'!$A$87:$I$107,4,0)),0,VLOOKUP(A30,'Données projet'!$A$87:$I$107,4,0))</f>
        <v>12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61.443262473737462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8.8000000000000007</v>
      </c>
      <c r="BY30" s="13">
        <f>IF('Données projet'!$A$114&gt;35,BY29+BX30-CG29,IF(A30&lt;'Données projet'!$A$114,$BV$205^A30,IF(A30='Données projet'!$A$114,'Données projet'!$B$114,BY29+BX30-CG29)))</f>
        <v>134.6</v>
      </c>
      <c r="BZ30" s="14">
        <f>BY30*VLOOKUP('Données projet'!$B$12,Paramètres!$A$1:$I$89,3,0)*VLOOKUP('Données projet'!$B$12,Paramètres!$A$1:$I$89,5,0)</f>
        <v>88.189920000000001</v>
      </c>
      <c r="CA30" s="14">
        <f t="shared" si="39"/>
        <v>24.128162431798632</v>
      </c>
      <c r="CB30" s="22">
        <f t="shared" si="10"/>
        <v>195.62066023538262</v>
      </c>
      <c r="CC30" s="62">
        <f t="shared" si="11"/>
        <v>453.91262263908663</v>
      </c>
      <c r="CD30" s="62">
        <f ca="1">AVERAGE(OFFSET($CC$3,0,0,'Données projet'!$E$12+1,1))-AVERAGE(OFFSET($H$3,0,0,'Données projet'!$E$12+1,1))</f>
        <v>292.13851489852607</v>
      </c>
      <c r="CE30" s="62">
        <f t="shared" si="40"/>
        <v>280.10866188737418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61.443262473737462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8.8000000000000007</v>
      </c>
      <c r="CT30" s="13">
        <f>IF('Données projet'!$A$140&gt;35,CT29+CS30-DB29,IF(A30&lt;'Données projet'!$A$140,$CQ$205^A30,IF(A30='Données projet'!$A$140,'Données projet'!$B$140,CT29+CS30-DB29)))</f>
        <v>119.59999999999997</v>
      </c>
      <c r="CU30" s="18">
        <f>CT30*VLOOKUP('Données projet'!$B$13,Paramètres!$A$1:$I$89,3,0)*VLOOKUP('Données projet'!$B$13,Paramètres!$A$1:$I$89,5,0)</f>
        <v>97.019519999999986</v>
      </c>
      <c r="CV30" s="14">
        <f t="shared" si="41"/>
        <v>26.250693712468323</v>
      </c>
      <c r="CW30" s="22">
        <f t="shared" si="13"/>
        <v>214.69562221588228</v>
      </c>
      <c r="CX30" s="62">
        <f t="shared" si="14"/>
        <v>472.9875846195863</v>
      </c>
      <c r="CY30" s="62">
        <f ca="1">AVERAGE(OFFSET($CX$3,0,0,'Données projet'!$E$13+1,1))-AVERAGE(OFFSET($H$3,0,0,'Données projet'!$E$13+1,1))</f>
        <v>265.25572936607409</v>
      </c>
      <c r="CZ30" s="62">
        <f t="shared" si="42"/>
        <v>307.96244316129071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61.443262473737462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7.4358974358974361</v>
      </c>
      <c r="DO30" s="13">
        <f>IF('Données projet'!$A$166&gt;35,DO29+DN30-DW29,IF(A30&lt;'Données projet'!$A$166,$DL$205^A30,IF(A30='Données projet'!$A$166,'Données projet'!$B$166,DO29+DN30-DW29)))</f>
        <v>101.41025641025642</v>
      </c>
      <c r="DP30" s="18">
        <f>DO30*VLOOKUP('Données projet'!$B$14,Paramètres!$A$1:$I$89,3,0)*VLOOKUP('Données projet'!$B$14,Paramètres!$A$1:$I$89,5,0)</f>
        <v>96.50200000000001</v>
      </c>
      <c r="DQ30" s="14">
        <f t="shared" si="43"/>
        <v>26.126928217693919</v>
      </c>
      <c r="DR30" s="22">
        <f t="shared" si="16"/>
        <v>213.57871664581691</v>
      </c>
      <c r="DS30" s="62">
        <f t="shared" si="17"/>
        <v>471.87067904952096</v>
      </c>
      <c r="DT30" s="62">
        <f ca="1">AVERAGE(OFFSET($DS$3,0,0,'Données projet'!$E$14+1,1))-AVERAGE(OFFSET($H$3,0,0,'Données projet'!$E$14+1,1))</f>
        <v>425.41154182732936</v>
      </c>
      <c r="DU30" s="62">
        <f t="shared" si="44"/>
        <v>306.44721925744591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61.443262473737462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14.260000000000002</v>
      </c>
      <c r="EJ30" s="13">
        <f>IF('Données projet'!$A$192&gt;35,EJ29+EI30-ER29,IF(A30&lt;'Données projet'!$A$192,$EG$205^A30,IF(A30='Données projet'!$A$192,'Données projet'!$B$192,EJ29+EI30-ER29)))</f>
        <v>169.01999999999998</v>
      </c>
      <c r="EK30" s="18">
        <f>EJ30*VLOOKUP('Données projet'!$B$15,Paramètres!$A$1:$I$89,3,0)*VLOOKUP('Données projet'!$B$15,Paramètres!$A$1:$I$89,5,0)</f>
        <v>123.92546399999999</v>
      </c>
      <c r="EL30" s="14">
        <f t="shared" si="45"/>
        <v>32.58882709773377</v>
      </c>
      <c r="EM30" s="22">
        <f t="shared" si="19"/>
        <v>272.59572366188627</v>
      </c>
      <c r="EN30" s="62">
        <f t="shared" si="20"/>
        <v>530.88768606559029</v>
      </c>
      <c r="EO30" s="62">
        <f ca="1">AVERAGE(OFFSET($EN$3,0,0,'Données projet'!$E$15+1,1))-AVERAGE(OFFSET($H$3,0,0,'Données projet'!$E$15+1,1))</f>
        <v>357.57626046668958</v>
      </c>
      <c r="EP30" s="62">
        <f t="shared" si="46"/>
        <v>386.90439522046199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61.443262473737462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11.5</v>
      </c>
      <c r="FE30" s="13">
        <f>IF('Données projet'!$A$218&gt;35,FE29+FD30-FM29,IF(A30&lt;'Données projet'!$A$218,$FB$205^A30,IF(A30='Données projet'!$A$218,'Données projet'!$B$218,FE29+FD30-FM29)))</f>
        <v>108.99999999999997</v>
      </c>
      <c r="FF30" s="18">
        <f>FE30*VLOOKUP('Données projet'!$B$16,Paramètres!$A$1:$I$89,3,0)*VLOOKUP('Données projet'!$B$16,Paramètres!$A$1:$I$89,5,0)</f>
        <v>85.019999999999982</v>
      </c>
      <c r="FG30" s="14">
        <f t="shared" si="47"/>
        <v>23.360218970693108</v>
      </c>
      <c r="FH30" s="22">
        <f t="shared" si="22"/>
        <v>188.76221470729047</v>
      </c>
      <c r="FI30" s="62">
        <f t="shared" si="23"/>
        <v>447.05417711099449</v>
      </c>
      <c r="FJ30" s="62">
        <f ca="1">AVERAGE(OFFSET($FI$3,0,0,'Données projet'!$E$16+1,1))-AVERAGE(OFFSET($H$3,0,0,'Données projet'!$E$16+1,1))</f>
        <v>303.56663121833833</v>
      </c>
      <c r="FK30" s="62">
        <f t="shared" si="48"/>
        <v>293.97736357938038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61.443262473737462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14.260000000000002</v>
      </c>
      <c r="FZ30" s="13">
        <f>IF('Données projet'!$A$244&gt;35,FZ29+FY30-GH29,IF(A30&lt;'Données projet'!$A$244,$FW$205^A30,IF(A30='Données projet'!$A$244,'Données projet'!$B$244,FZ29+FY30-GH29)))</f>
        <v>169.01999999999998</v>
      </c>
      <c r="GA30" s="18">
        <f>FZ30*VLOOKUP('Données projet'!$B$17,Paramètres!$A$1:$I$89,3,0)*VLOOKUP('Données projet'!$B$17,Paramètres!$A$1:$I$89,5,0)</f>
        <v>134.47231199999999</v>
      </c>
      <c r="GB30" s="14">
        <f t="shared" si="49"/>
        <v>35.027736208949172</v>
      </c>
      <c r="GC30" s="22">
        <f t="shared" si="25"/>
        <v>295.21258396391971</v>
      </c>
      <c r="GD30" s="62">
        <f t="shared" si="26"/>
        <v>553.50454636762379</v>
      </c>
      <c r="GE30" s="62">
        <f ca="1">AVERAGE(OFFSET($GD$3,0,0,'Données projet'!$E$17+1,1))-AVERAGE(OFFSET($H$3,0,0,'Données projet'!$E$17+1,1))</f>
        <v>383.71724511025587</v>
      </c>
      <c r="GF30" s="62">
        <f t="shared" si="50"/>
        <v>415.10774719533185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61.443262473737462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8.0769230769230802</v>
      </c>
      <c r="GU30" s="13">
        <f>IF('Données projet'!$A$270&gt;35,GU29+GT30-HC29,IF(A30&lt;'Données projet'!$A$270,$GR$205^A30,IF(A30='Données projet'!$A$270,'Données projet'!$B$270,GU29+GT30-HC29)))</f>
        <v>125.12820512820517</v>
      </c>
      <c r="GV30" s="18">
        <f>GU30*VLOOKUP('Données projet'!$B$18,Paramètres!$A$1:$I$89,3,0)*VLOOKUP('Données projet'!$B$18,Paramètres!$A$1:$I$89,5,0)</f>
        <v>83.936000000000021</v>
      </c>
      <c r="GW30" s="14">
        <f t="shared" si="51"/>
        <v>23.096850074431298</v>
      </c>
      <c r="GX30" s="22">
        <f t="shared" si="28"/>
        <v>186.41554721296791</v>
      </c>
      <c r="GY30" s="62">
        <f t="shared" si="29"/>
        <v>444.70750961667193</v>
      </c>
      <c r="GZ30" s="62">
        <f ca="1">AVERAGE(OFFSET($GY$3,0,0,'Données projet'!$E$18+1,1))-AVERAGE(OFFSET($H$3,0,0,'Données projet'!$E$18+1,1))</f>
        <v>329.93956600482801</v>
      </c>
      <c r="HA30" s="62">
        <f t="shared" si="52"/>
        <v>268.69186630599165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2.7450000000000001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10.065</v>
      </c>
      <c r="H31" s="70">
        <f t="shared" si="1"/>
        <v>216.40666666666667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61.591702739818892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465.71375868950281</v>
      </c>
      <c r="S31" s="62">
        <f ca="1">AVERAGE(OFFSET($R$3,0,0,'Données projet'!$E$9+1,1))-AVERAGE(OFFSET($H$3,0,0,'Données projet'!$E$9+1,1))</f>
        <v>551.67307965706379</v>
      </c>
      <c r="T31" s="62">
        <f t="shared" si="34"/>
        <v>288.70738860523943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61.591702739818892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86.430240000000026</v>
      </c>
      <c r="AK31" s="14">
        <f t="shared" si="35"/>
        <v>23.702267442352529</v>
      </c>
      <c r="AL31" s="22">
        <f t="shared" si="4"/>
        <v>191.81411712876402</v>
      </c>
      <c r="AM31" s="62">
        <f t="shared" si="5"/>
        <v>451.87258273032216</v>
      </c>
      <c r="AN31" s="62">
        <f ca="1">AVERAGE(OFFSET($AM$3,0,0,'Données projet'!$E$10+1,1))-AVERAGE(OFFSET($H$3,0,0,'Données projet'!$E$10+1,1))</f>
        <v>518.18933270904506</v>
      </c>
      <c r="AO31" s="62">
        <f t="shared" si="36"/>
        <v>272.44431899810411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61.591702739818892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12.333333333333334</v>
      </c>
      <c r="BD31" s="13">
        <f>IF('Données projet'!$A$88&gt;35,BD30+BC31-BL30,IF(A31&lt;'Données projet'!$A$88,$BA$205^A31,IF(A31='Données projet'!$A$88,'Données projet'!$B$88,BD30+BC31-BL30)))</f>
        <v>77.333333333333329</v>
      </c>
      <c r="BE31" s="14">
        <f>BD31*VLOOKUP('Données projet'!$B$11,Paramètres!$A$1:$I$89,3,0)*VLOOKUP('Données projet'!$B$11,Paramètres!$A$1:$I$89,5,0)</f>
        <v>66.352000000000004</v>
      </c>
      <c r="BF31" s="14">
        <f t="shared" si="37"/>
        <v>18.764728069895565</v>
      </c>
      <c r="BG31" s="22">
        <f t="shared" si="7"/>
        <v>148.24496805506811</v>
      </c>
      <c r="BH31" s="62">
        <f t="shared" si="8"/>
        <v>408.30343365662628</v>
      </c>
      <c r="BI31" s="62">
        <f ca="1">AVERAGE(OFFSET($BH$3,0,0,'Données projet'!$E$11+1,1))-AVERAGE(OFFSET($H$3,0,0,'Données projet'!$E$11+1,1))</f>
        <v>464.73160475167867</v>
      </c>
      <c r="BJ31" s="62">
        <f t="shared" si="38"/>
        <v>241.31968359962227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61.591702739818892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8.8000000000000007</v>
      </c>
      <c r="BY31" s="13">
        <f>IF('Données projet'!$A$114&gt;35,BY30+BX31-CG30,IF(A31&lt;'Données projet'!$A$114,$BV$205^A31,IF(A31='Données projet'!$A$114,'Données projet'!$B$114,BY30+BX31-CG30)))</f>
        <v>143.4</v>
      </c>
      <c r="BZ31" s="14">
        <f>BY31*VLOOKUP('Données projet'!$B$12,Paramètres!$A$1:$I$89,3,0)*VLOOKUP('Données projet'!$B$12,Paramètres!$A$1:$I$89,5,0)</f>
        <v>93.955680000000001</v>
      </c>
      <c r="CA31" s="14">
        <f t="shared" si="39"/>
        <v>25.516838392731955</v>
      </c>
      <c r="CB31" s="22">
        <f t="shared" si="10"/>
        <v>208.08130286734149</v>
      </c>
      <c r="CC31" s="62">
        <f t="shared" si="11"/>
        <v>468.13976846889966</v>
      </c>
      <c r="CD31" s="62">
        <f ca="1">AVERAGE(OFFSET($CC$3,0,0,'Données projet'!$E$12+1,1))-AVERAGE(OFFSET($H$3,0,0,'Données projet'!$E$12+1,1))</f>
        <v>292.13851489852607</v>
      </c>
      <c r="CE31" s="62">
        <f t="shared" si="40"/>
        <v>280.10866188737418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61.591702739818892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8.8000000000000007</v>
      </c>
      <c r="CT31" s="13">
        <f>IF('Données projet'!$A$140&gt;35,CT30+CS31-DB30,IF(A31&lt;'Données projet'!$A$140,$CQ$205^A31,IF(A31='Données projet'!$A$140,'Données projet'!$B$140,CT30+CS31-DB30)))</f>
        <v>128.39999999999998</v>
      </c>
      <c r="CU31" s="18">
        <f>CT31*VLOOKUP('Données projet'!$B$13,Paramètres!$A$1:$I$89,3,0)*VLOOKUP('Données projet'!$B$13,Paramètres!$A$1:$I$89,5,0)</f>
        <v>104.15807999999998</v>
      </c>
      <c r="CV31" s="14">
        <f t="shared" si="41"/>
        <v>27.950241801489337</v>
      </c>
      <c r="CW31" s="22">
        <f t="shared" si="13"/>
        <v>230.08866047092724</v>
      </c>
      <c r="CX31" s="62">
        <f t="shared" si="14"/>
        <v>490.14712607248543</v>
      </c>
      <c r="CY31" s="62">
        <f ca="1">AVERAGE(OFFSET($CX$3,0,0,'Données projet'!$E$13+1,1))-AVERAGE(OFFSET($H$3,0,0,'Données projet'!$E$13+1,1))</f>
        <v>265.25572936607409</v>
      </c>
      <c r="CZ31" s="62">
        <f t="shared" si="42"/>
        <v>307.96244316129071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61.591702739818892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7.4358974358974361</v>
      </c>
      <c r="DO31" s="13">
        <f>IF('Données projet'!$A$166&gt;35,DO30+DN31-DW30,IF(A31&lt;'Données projet'!$A$166,$DL$205^A31,IF(A31='Données projet'!$A$166,'Données projet'!$B$166,DO30+DN31-DW30)))</f>
        <v>108.84615384615385</v>
      </c>
      <c r="DP31" s="18">
        <f>DO31*VLOOKUP('Données projet'!$B$14,Paramètres!$A$1:$I$89,3,0)*VLOOKUP('Données projet'!$B$14,Paramètres!$A$1:$I$89,5,0)</f>
        <v>103.57800000000002</v>
      </c>
      <c r="DQ31" s="14">
        <f t="shared" si="43"/>
        <v>27.812654852530578</v>
      </c>
      <c r="DR31" s="22">
        <f t="shared" si="16"/>
        <v>228.83872386815744</v>
      </c>
      <c r="DS31" s="62">
        <f t="shared" si="17"/>
        <v>488.89718946971561</v>
      </c>
      <c r="DT31" s="62">
        <f ca="1">AVERAGE(OFFSET($DS$3,0,0,'Données projet'!$E$14+1,1))-AVERAGE(OFFSET($H$3,0,0,'Données projet'!$E$14+1,1))</f>
        <v>425.41154182732936</v>
      </c>
      <c r="DU31" s="62">
        <f t="shared" si="44"/>
        <v>306.44721925744591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61.591702739818892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14.260000000000002</v>
      </c>
      <c r="EJ31" s="13">
        <f>IF('Données projet'!$A$192&gt;35,EJ30+EI31-ER30,IF(A31&lt;'Données projet'!$A$192,$EG$205^A31,IF(A31='Données projet'!$A$192,'Données projet'!$B$192,EJ30+EI31-ER30)))</f>
        <v>183.27999999999997</v>
      </c>
      <c r="EK31" s="18">
        <f>EJ31*VLOOKUP('Données projet'!$B$15,Paramètres!$A$1:$I$89,3,0)*VLOOKUP('Données projet'!$B$15,Paramètres!$A$1:$I$89,5,0)</f>
        <v>134.38089599999998</v>
      </c>
      <c r="EL31" s="14">
        <f t="shared" si="45"/>
        <v>35.006694824713001</v>
      </c>
      <c r="EM31" s="22">
        <f t="shared" si="19"/>
        <v>295.01672068637509</v>
      </c>
      <c r="EN31" s="62">
        <f t="shared" si="20"/>
        <v>555.07518628793332</v>
      </c>
      <c r="EO31" s="62">
        <f ca="1">AVERAGE(OFFSET($EN$3,0,0,'Données projet'!$E$15+1,1))-AVERAGE(OFFSET($H$3,0,0,'Données projet'!$E$15+1,1))</f>
        <v>357.57626046668958</v>
      </c>
      <c r="EP31" s="62">
        <f t="shared" si="46"/>
        <v>386.90439522046199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61.591702739818892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11.5</v>
      </c>
      <c r="FE31" s="13">
        <f>IF('Données projet'!$A$218&gt;35,FE30+FD31-FM30,IF(A31&lt;'Données projet'!$A$218,$FB$205^A31,IF(A31='Données projet'!$A$218,'Données projet'!$B$218,FE30+FD31-FM30)))</f>
        <v>120.49999999999997</v>
      </c>
      <c r="FF31" s="18">
        <f>FE31*VLOOKUP('Données projet'!$B$16,Paramètres!$A$1:$I$89,3,0)*VLOOKUP('Données projet'!$B$16,Paramètres!$A$1:$I$89,5,0)</f>
        <v>93.989999999999981</v>
      </c>
      <c r="FG31" s="14">
        <f t="shared" si="47"/>
        <v>25.525074036970079</v>
      </c>
      <c r="FH31" s="22">
        <f t="shared" si="22"/>
        <v>208.15542061438953</v>
      </c>
      <c r="FI31" s="62">
        <f t="shared" si="23"/>
        <v>468.2138862159477</v>
      </c>
      <c r="FJ31" s="62">
        <f ca="1">AVERAGE(OFFSET($FI$3,0,0,'Données projet'!$E$16+1,1))-AVERAGE(OFFSET($H$3,0,0,'Données projet'!$E$16+1,1))</f>
        <v>303.56663121833833</v>
      </c>
      <c r="FK31" s="62">
        <f t="shared" si="48"/>
        <v>293.97736357938038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61.591702739818892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14.260000000000002</v>
      </c>
      <c r="FZ31" s="13">
        <f>IF('Données projet'!$A$244&gt;35,FZ30+FY31-GH30,IF(A31&lt;'Données projet'!$A$244,$FW$205^A31,IF(A31='Données projet'!$A$244,'Données projet'!$B$244,FZ30+FY31-GH30)))</f>
        <v>183.27999999999997</v>
      </c>
      <c r="GA31" s="18">
        <f>FZ31*VLOOKUP('Données projet'!$B$17,Paramètres!$A$1:$I$89,3,0)*VLOOKUP('Données projet'!$B$17,Paramètres!$A$1:$I$89,5,0)</f>
        <v>145.81756799999999</v>
      </c>
      <c r="GB31" s="14">
        <f t="shared" si="49"/>
        <v>37.626554284689291</v>
      </c>
      <c r="GC31" s="22">
        <f t="shared" si="25"/>
        <v>319.49851297916712</v>
      </c>
      <c r="GD31" s="62">
        <f t="shared" si="26"/>
        <v>579.55697858072529</v>
      </c>
      <c r="GE31" s="62">
        <f ca="1">AVERAGE(OFFSET($GD$3,0,0,'Données projet'!$E$17+1,1))-AVERAGE(OFFSET($H$3,0,0,'Données projet'!$E$17+1,1))</f>
        <v>383.71724511025587</v>
      </c>
      <c r="GF31" s="62">
        <f t="shared" si="50"/>
        <v>415.10774719533185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61.591702739818892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8.0769230769230802</v>
      </c>
      <c r="GU31" s="13">
        <f>IF('Données projet'!$A$270&gt;35,GU30+GT31-HC30,IF(A31&lt;'Données projet'!$A$270,$GR$205^A31,IF(A31='Données projet'!$A$270,'Données projet'!$B$270,GU30+GT31-HC30)))</f>
        <v>133.20512820512823</v>
      </c>
      <c r="GV31" s="18">
        <f>GU31*VLOOKUP('Données projet'!$B$18,Paramètres!$A$1:$I$89,3,0)*VLOOKUP('Données projet'!$B$18,Paramètres!$A$1:$I$89,5,0)</f>
        <v>89.354000000000013</v>
      </c>
      <c r="GW31" s="14">
        <f t="shared" si="51"/>
        <v>24.40936009026365</v>
      </c>
      <c r="GX31" s="22">
        <f t="shared" si="28"/>
        <v>198.13785215720918</v>
      </c>
      <c r="GY31" s="62">
        <f t="shared" si="29"/>
        <v>458.19631775876735</v>
      </c>
      <c r="GZ31" s="62">
        <f ca="1">AVERAGE(OFFSET($GY$3,0,0,'Données projet'!$E$18+1,1))-AVERAGE(OFFSET($H$3,0,0,'Données projet'!$E$18+1,1))</f>
        <v>329.93956600482801</v>
      </c>
      <c r="HA31" s="62">
        <f t="shared" si="52"/>
        <v>268.69186630599165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2.7450000000000001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10.065</v>
      </c>
      <c r="H32" s="70">
        <f t="shared" si="1"/>
        <v>216.40666666666667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61.737567899146526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485.43508785207143</v>
      </c>
      <c r="S32" s="62">
        <f ca="1">AVERAGE(OFFSET($R$3,0,0,'Données projet'!$E$9+1,1))-AVERAGE(OFFSET($H$3,0,0,'Données projet'!$E$9+1,1))</f>
        <v>551.67307965706379</v>
      </c>
      <c r="T32" s="62">
        <f t="shared" si="34"/>
        <v>288.70738860523943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61.737567899146526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94.180320000000037</v>
      </c>
      <c r="AK32" s="14">
        <f t="shared" si="35"/>
        <v>25.570738079029208</v>
      </c>
      <c r="AL32" s="22">
        <f t="shared" si="4"/>
        <v>208.56642615430928</v>
      </c>
      <c r="AM32" s="62">
        <f t="shared" si="5"/>
        <v>470.38195289562435</v>
      </c>
      <c r="AN32" s="62">
        <f ca="1">AVERAGE(OFFSET($AM$3,0,0,'Données projet'!$E$10+1,1))-AVERAGE(OFFSET($H$3,0,0,'Données projet'!$E$10+1,1))</f>
        <v>518.18933270904506</v>
      </c>
      <c r="AO32" s="62">
        <f t="shared" si="36"/>
        <v>272.44431899810411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61.737567899146526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12.333333333333334</v>
      </c>
      <c r="BD32" s="13">
        <f>IF('Données projet'!$A$88&gt;35,BD31+BC32-BL31,IF(A32&lt;'Données projet'!$A$88,$BA$205^A32,IF(A32='Données projet'!$A$88,'Données projet'!$B$88,BD31+BC32-BL31)))</f>
        <v>89.666666666666657</v>
      </c>
      <c r="BE32" s="14">
        <f>BD32*VLOOKUP('Données projet'!$B$11,Paramètres!$A$1:$I$89,3,0)*VLOOKUP('Données projet'!$B$11,Paramètres!$A$1:$I$89,5,0)</f>
        <v>76.933999999999997</v>
      </c>
      <c r="BF32" s="14">
        <f t="shared" si="37"/>
        <v>21.385834734197029</v>
      </c>
      <c r="BG32" s="22">
        <f t="shared" si="7"/>
        <v>171.24037882872651</v>
      </c>
      <c r="BH32" s="62">
        <f t="shared" si="8"/>
        <v>433.05590557004155</v>
      </c>
      <c r="BI32" s="62">
        <f ca="1">AVERAGE(OFFSET($BH$3,0,0,'Données projet'!$E$11+1,1))-AVERAGE(OFFSET($H$3,0,0,'Données projet'!$E$11+1,1))</f>
        <v>464.73160475167867</v>
      </c>
      <c r="BJ32" s="62">
        <f t="shared" si="38"/>
        <v>241.31968359962227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61.737567899146526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8.8000000000000007</v>
      </c>
      <c r="BY32" s="13">
        <f>IF('Données projet'!$A$114&gt;35,BY31+BX32-CG31,IF(A32&lt;'Données projet'!$A$114,$BV$205^A32,IF(A32='Données projet'!$A$114,'Données projet'!$B$114,BY31+BX32-CG31)))</f>
        <v>152.20000000000002</v>
      </c>
      <c r="BZ32" s="14">
        <f>BY32*VLOOKUP('Données projet'!$B$12,Paramètres!$A$1:$I$89,3,0)*VLOOKUP('Données projet'!$B$12,Paramètres!$A$1:$I$89,5,0)</f>
        <v>99.721440000000015</v>
      </c>
      <c r="CA32" s="14">
        <f t="shared" si="39"/>
        <v>26.895623699520389</v>
      </c>
      <c r="CB32" s="22">
        <f t="shared" si="10"/>
        <v>220.52471927666468</v>
      </c>
      <c r="CC32" s="62">
        <f t="shared" si="11"/>
        <v>482.34024601797978</v>
      </c>
      <c r="CD32" s="62">
        <f ca="1">AVERAGE(OFFSET($CC$3,0,0,'Données projet'!$E$12+1,1))-AVERAGE(OFFSET($H$3,0,0,'Données projet'!$E$12+1,1))</f>
        <v>292.13851489852607</v>
      </c>
      <c r="CE32" s="62">
        <f t="shared" si="40"/>
        <v>280.10866188737418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61.737567899146526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8.8000000000000007</v>
      </c>
      <c r="CT32" s="13">
        <f>IF('Données projet'!$A$140&gt;35,CT31+CS32-DB31,IF(A32&lt;'Données projet'!$A$140,$CQ$205^A32,IF(A32='Données projet'!$A$140,'Données projet'!$B$140,CT31+CS32-DB31)))</f>
        <v>137.19999999999999</v>
      </c>
      <c r="CU32" s="18">
        <f>CT32*VLOOKUP('Données projet'!$B$13,Paramètres!$A$1:$I$89,3,0)*VLOOKUP('Données projet'!$B$13,Paramètres!$A$1:$I$89,5,0)</f>
        <v>111.29664</v>
      </c>
      <c r="CV32" s="14">
        <f t="shared" si="41"/>
        <v>29.636274399319777</v>
      </c>
      <c r="CW32" s="22">
        <f t="shared" si="13"/>
        <v>245.45815924548194</v>
      </c>
      <c r="CX32" s="62">
        <f t="shared" si="14"/>
        <v>507.27368598679698</v>
      </c>
      <c r="CY32" s="62">
        <f ca="1">AVERAGE(OFFSET($CX$3,0,0,'Données projet'!$E$13+1,1))-AVERAGE(OFFSET($H$3,0,0,'Données projet'!$E$13+1,1))</f>
        <v>265.25572936607409</v>
      </c>
      <c r="CZ32" s="62">
        <f t="shared" si="42"/>
        <v>307.96244316129071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61.737567899146526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7.4358974358974361</v>
      </c>
      <c r="DO32" s="13">
        <f>IF('Données projet'!$A$166&gt;35,DO31+DN32-DW31,IF(A32&lt;'Données projet'!$A$166,$DL$205^A32,IF(A32='Données projet'!$A$166,'Données projet'!$B$166,DO31+DN32-DW31)))</f>
        <v>116.28205128205128</v>
      </c>
      <c r="DP32" s="18">
        <f>DO32*VLOOKUP('Données projet'!$B$14,Paramètres!$A$1:$I$89,3,0)*VLOOKUP('Données projet'!$B$14,Paramètres!$A$1:$I$89,5,0)</f>
        <v>110.654</v>
      </c>
      <c r="DQ32" s="14">
        <f t="shared" si="43"/>
        <v>29.48501887296996</v>
      </c>
      <c r="DR32" s="22">
        <f t="shared" si="16"/>
        <v>244.0754578704227</v>
      </c>
      <c r="DS32" s="62">
        <f t="shared" si="17"/>
        <v>505.89098461173774</v>
      </c>
      <c r="DT32" s="62">
        <f ca="1">AVERAGE(OFFSET($DS$3,0,0,'Données projet'!$E$14+1,1))-AVERAGE(OFFSET($H$3,0,0,'Données projet'!$E$14+1,1))</f>
        <v>425.41154182732936</v>
      </c>
      <c r="DU32" s="62">
        <f t="shared" si="44"/>
        <v>306.44721925744591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61.737567899146526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14.260000000000002</v>
      </c>
      <c r="EJ32" s="13">
        <f>IF('Données projet'!$A$192&gt;35,EJ31+EI32-ER31,IF(A32&lt;'Données projet'!$A$192,$EG$205^A32,IF(A32='Données projet'!$A$192,'Données projet'!$B$192,EJ31+EI32-ER31)))</f>
        <v>197.53999999999996</v>
      </c>
      <c r="EK32" s="18">
        <f>EJ32*VLOOKUP('Données projet'!$B$15,Paramètres!$A$1:$I$89,3,0)*VLOOKUP('Données projet'!$B$15,Paramètres!$A$1:$I$89,5,0)</f>
        <v>144.83632799999995</v>
      </c>
      <c r="EL32" s="14">
        <f t="shared" si="45"/>
        <v>37.402740912462832</v>
      </c>
      <c r="EM32" s="22">
        <f t="shared" si="19"/>
        <v>317.39971168920596</v>
      </c>
      <c r="EN32" s="62">
        <f t="shared" si="20"/>
        <v>579.21523843052103</v>
      </c>
      <c r="EO32" s="62">
        <f ca="1">AVERAGE(OFFSET($EN$3,0,0,'Données projet'!$E$15+1,1))-AVERAGE(OFFSET($H$3,0,0,'Données projet'!$E$15+1,1))</f>
        <v>357.57626046668958</v>
      </c>
      <c r="EP32" s="62">
        <f t="shared" si="46"/>
        <v>386.90439522046199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61.737567899146526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11.5</v>
      </c>
      <c r="FE32" s="13">
        <f>IF('Données projet'!$A$218&gt;35,FE31+FD32-FM31,IF(A32&lt;'Données projet'!$A$218,$FB$205^A32,IF(A32='Données projet'!$A$218,'Données projet'!$B$218,FE31+FD32-FM31)))</f>
        <v>131.99999999999997</v>
      </c>
      <c r="FF32" s="18">
        <f>FE32*VLOOKUP('Données projet'!$B$16,Paramètres!$A$1:$I$89,3,0)*VLOOKUP('Données projet'!$B$16,Paramètres!$A$1:$I$89,5,0)</f>
        <v>102.95999999999998</v>
      </c>
      <c r="FG32" s="14">
        <f t="shared" si="47"/>
        <v>27.665975080374633</v>
      </c>
      <c r="FH32" s="22">
        <f t="shared" si="22"/>
        <v>227.50690659831912</v>
      </c>
      <c r="FI32" s="62">
        <f t="shared" si="23"/>
        <v>489.32243333963419</v>
      </c>
      <c r="FJ32" s="62">
        <f ca="1">AVERAGE(OFFSET($FI$3,0,0,'Données projet'!$E$16+1,1))-AVERAGE(OFFSET($H$3,0,0,'Données projet'!$E$16+1,1))</f>
        <v>303.56663121833833</v>
      </c>
      <c r="FK32" s="62">
        <f t="shared" si="48"/>
        <v>293.97736357938038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61.737567899146526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14.260000000000002</v>
      </c>
      <c r="FZ32" s="13">
        <f>IF('Données projet'!$A$244&gt;35,FZ31+FY32-GH31,IF(A32&lt;'Données projet'!$A$244,$FW$205^A32,IF(A32='Données projet'!$A$244,'Données projet'!$B$244,FZ31+FY32-GH31)))</f>
        <v>197.53999999999996</v>
      </c>
      <c r="GA32" s="18">
        <f>FZ32*VLOOKUP('Données projet'!$B$17,Paramètres!$A$1:$I$89,3,0)*VLOOKUP('Données projet'!$B$17,Paramètres!$A$1:$I$89,5,0)</f>
        <v>157.162824</v>
      </c>
      <c r="GB32" s="14">
        <f t="shared" si="49"/>
        <v>40.201917615639708</v>
      </c>
      <c r="GC32" s="22">
        <f t="shared" si="25"/>
        <v>343.7435916472391</v>
      </c>
      <c r="GD32" s="62">
        <f t="shared" si="26"/>
        <v>605.55911838855423</v>
      </c>
      <c r="GE32" s="62">
        <f ca="1">AVERAGE(OFFSET($GD$3,0,0,'Données projet'!$E$17+1,1))-AVERAGE(OFFSET($H$3,0,0,'Données projet'!$E$17+1,1))</f>
        <v>383.71724511025587</v>
      </c>
      <c r="GF32" s="62">
        <f t="shared" si="50"/>
        <v>415.10774719533185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61.737567899146526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8.0769230769230802</v>
      </c>
      <c r="GU32" s="13">
        <f>IF('Données projet'!$A$270&gt;35,GU31+GT32-HC31,IF(A32&lt;'Données projet'!$A$270,$GR$205^A32,IF(A32='Données projet'!$A$270,'Données projet'!$B$270,GU31+GT32-HC31)))</f>
        <v>141.28205128205133</v>
      </c>
      <c r="GV32" s="18">
        <f>GU32*VLOOKUP('Données projet'!$B$18,Paramètres!$A$1:$I$89,3,0)*VLOOKUP('Données projet'!$B$18,Paramètres!$A$1:$I$89,5,0)</f>
        <v>94.772000000000034</v>
      </c>
      <c r="GW32" s="14">
        <f t="shared" si="51"/>
        <v>25.712633129183839</v>
      </c>
      <c r="GX32" s="22">
        <f t="shared" si="28"/>
        <v>209.8440693666619</v>
      </c>
      <c r="GY32" s="62">
        <f t="shared" si="29"/>
        <v>471.65959610797699</v>
      </c>
      <c r="GZ32" s="62">
        <f ca="1">AVERAGE(OFFSET($GY$3,0,0,'Données projet'!$E$18+1,1))-AVERAGE(OFFSET($H$3,0,0,'Données projet'!$E$18+1,1))</f>
        <v>329.93956600482801</v>
      </c>
      <c r="HA32" s="62">
        <f t="shared" si="52"/>
        <v>268.69186630599165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2.7450000000000001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10.065</v>
      </c>
      <c r="H33" s="70">
        <f t="shared" si="1"/>
        <v>216.40666666666667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61.88090262406547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505.11405527190607</v>
      </c>
      <c r="S33" s="62">
        <f ca="1">AVERAGE(OFFSET($R$3,0,0,'Données projet'!$E$9+1,1))-AVERAGE(OFFSET($H$3,0,0,'Données projet'!$E$9+1,1))</f>
        <v>551.67307965706379</v>
      </c>
      <c r="T33" s="62">
        <f t="shared" si="34"/>
        <v>288.70738860523943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61.88090262406547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101.93040000000003</v>
      </c>
      <c r="AK33" s="14">
        <f t="shared" si="35"/>
        <v>27.421375718582158</v>
      </c>
      <c r="AL33" s="22">
        <f t="shared" si="4"/>
        <v>225.28767604319731</v>
      </c>
      <c r="AM33" s="62">
        <f t="shared" si="5"/>
        <v>488.85098566477075</v>
      </c>
      <c r="AN33" s="62">
        <f ca="1">AVERAGE(OFFSET($AM$3,0,0,'Données projet'!$E$10+1,1))-AVERAGE(OFFSET($H$3,0,0,'Données projet'!$E$10+1,1))</f>
        <v>518.18933270904506</v>
      </c>
      <c r="AO33" s="62">
        <f t="shared" si="36"/>
        <v>272.44431899810411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61.88090262406547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102</v>
      </c>
      <c r="BB33" s="13">
        <f>VLOOKUP(A33,'Données projet'!$A$87:$I$107,9,0)</f>
        <v>12.333333333333334</v>
      </c>
      <c r="BC33" s="13">
        <f t="array" ref="BC33">INDEX(BB:BB,MIN(IF(ISNUMBER(BB33:BB229),ROW(BB33:BB229),"")))</f>
        <v>12.333333333333334</v>
      </c>
      <c r="BD33" s="13">
        <f>IF('Données projet'!$A$88&gt;35,BD32+BC33-BL32,IF(A33&lt;'Données projet'!$A$88,$BA$205^A33,IF(A33='Données projet'!$A$88,'Données projet'!$B$88,BD32+BC33-BL32)))</f>
        <v>101.99999999999999</v>
      </c>
      <c r="BE33" s="14">
        <f>BD33*VLOOKUP('Données projet'!$B$11,Paramètres!$A$1:$I$89,3,0)*VLOOKUP('Données projet'!$B$11,Paramètres!$A$1:$I$89,5,0)</f>
        <v>87.515999999999991</v>
      </c>
      <c r="BF33" s="14">
        <f t="shared" si="37"/>
        <v>23.965171662037644</v>
      </c>
      <c r="BG33" s="22">
        <f t="shared" si="7"/>
        <v>194.16304064471555</v>
      </c>
      <c r="BH33" s="62">
        <f t="shared" si="8"/>
        <v>457.72635026628893</v>
      </c>
      <c r="BI33" s="62">
        <f ca="1">AVERAGE(OFFSET($BH$3,0,0,'Données projet'!$E$11+1,1))-AVERAGE(OFFSET($H$3,0,0,'Données projet'!$E$11+1,1))</f>
        <v>464.73160475167867</v>
      </c>
      <c r="BJ33" s="62">
        <f t="shared" si="38"/>
        <v>241.31968359962227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13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61.88090262406547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161</v>
      </c>
      <c r="BW33" s="13">
        <f>VLOOKUP(A33,'Données projet'!$A$113:$I$133,9,0)</f>
        <v>8.8000000000000007</v>
      </c>
      <c r="BX33" s="13">
        <f t="array" ref="BX33">INDEX(BW:BW,MIN(IF(ISNUMBER(BW33:BW229),ROW(BW33:BW229),"")))</f>
        <v>8.8000000000000007</v>
      </c>
      <c r="BY33" s="13">
        <f>IF('Données projet'!$A$114&gt;35,BY32+BX33-CG32,IF(A33&lt;'Données projet'!$A$114,$BV$205^A33,IF(A33='Données projet'!$A$114,'Données projet'!$B$114,BY32+BX33-CG32)))</f>
        <v>161.00000000000003</v>
      </c>
      <c r="BZ33" s="14">
        <f>BY33*VLOOKUP('Données projet'!$B$12,Paramètres!$A$1:$I$89,3,0)*VLOOKUP('Données projet'!$B$12,Paramètres!$A$1:$I$89,5,0)</f>
        <v>105.48720000000002</v>
      </c>
      <c r="CA33" s="14">
        <f t="shared" si="39"/>
        <v>28.265155367923839</v>
      </c>
      <c r="CB33" s="22">
        <f t="shared" si="10"/>
        <v>232.95201893246738</v>
      </c>
      <c r="CC33" s="62">
        <f t="shared" si="11"/>
        <v>496.51532855404082</v>
      </c>
      <c r="CD33" s="62">
        <f ca="1">AVERAGE(OFFSET($CC$3,0,0,'Données projet'!$E$12+1,1))-AVERAGE(OFFSET($H$3,0,0,'Données projet'!$E$12+1,1))</f>
        <v>292.13851489852607</v>
      </c>
      <c r="CE33" s="62">
        <f t="shared" si="40"/>
        <v>280.10866188737418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61.88090262406547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146</v>
      </c>
      <c r="CR33" s="13">
        <f>VLOOKUP(A33,'Données projet'!$A$139:$I$159,9,0)</f>
        <v>8.8000000000000007</v>
      </c>
      <c r="CS33" s="13">
        <f t="array" ref="CS33">INDEX(CR:CR,MIN(IF(ISNUMBER(CR33:CR229),ROW(CR33:CR229),"")))</f>
        <v>8.8000000000000007</v>
      </c>
      <c r="CT33" s="13">
        <f>IF('Données projet'!$A$140&gt;35,CT32+CS33-DB32,IF(A33&lt;'Données projet'!$A$140,$CQ$205^A33,IF(A33='Données projet'!$A$140,'Données projet'!$B$140,CT32+CS33-DB32)))</f>
        <v>146</v>
      </c>
      <c r="CU33" s="18">
        <f>CT33*VLOOKUP('Données projet'!$B$13,Paramètres!$A$1:$I$89,3,0)*VLOOKUP('Données projet'!$B$13,Paramètres!$A$1:$I$89,5,0)</f>
        <v>118.43520000000001</v>
      </c>
      <c r="CV33" s="14">
        <f t="shared" si="41"/>
        <v>31.309757056296963</v>
      </c>
      <c r="CW33" s="22">
        <f t="shared" si="13"/>
        <v>260.80580020638394</v>
      </c>
      <c r="CX33" s="62">
        <f t="shared" si="14"/>
        <v>524.36910982795735</v>
      </c>
      <c r="CY33" s="62">
        <f ca="1">AVERAGE(OFFSET($CX$3,0,0,'Données projet'!$E$13+1,1))-AVERAGE(OFFSET($H$3,0,0,'Données projet'!$E$13+1,1))</f>
        <v>265.25572936607409</v>
      </c>
      <c r="CZ33" s="62">
        <f t="shared" si="42"/>
        <v>307.96244316129071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61.88090262406547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123.71794871794872</v>
      </c>
      <c r="DM33" s="13">
        <f>VLOOKUP(A33,'Données projet'!$A$165:$I$185,9,0)</f>
        <v>7.4358974358974361</v>
      </c>
      <c r="DN33" s="13">
        <f t="array" ref="DN33">INDEX(DM:DM,MIN(IF(ISNUMBER(DM33:DM229),ROW(DM33:DM229),"")))</f>
        <v>7.4358974358974361</v>
      </c>
      <c r="DO33" s="13">
        <f>IF('Données projet'!$A$166&gt;35,DO32+DN33-DW32,IF(A33&lt;'Données projet'!$A$166,$DL$205^A33,IF(A33='Données projet'!$A$166,'Données projet'!$B$166,DO32+DN33-DW32)))</f>
        <v>123.71794871794872</v>
      </c>
      <c r="DP33" s="18">
        <f>DO33*VLOOKUP('Données projet'!$B$14,Paramètres!$A$1:$I$89,3,0)*VLOOKUP('Données projet'!$B$14,Paramètres!$A$1:$I$89,5,0)</f>
        <v>117.73</v>
      </c>
      <c r="DQ33" s="14">
        <f t="shared" si="43"/>
        <v>31.144972039735432</v>
      </c>
      <c r="DR33" s="22">
        <f t="shared" si="16"/>
        <v>259.29057630253919</v>
      </c>
      <c r="DS33" s="62">
        <f t="shared" si="17"/>
        <v>522.85388592411255</v>
      </c>
      <c r="DT33" s="62">
        <f ca="1">AVERAGE(OFFSET($DS$3,0,0,'Données projet'!$E$14+1,1))-AVERAGE(OFFSET($H$3,0,0,'Données projet'!$E$14+1,1))</f>
        <v>425.41154182732936</v>
      </c>
      <c r="DU33" s="62">
        <f t="shared" si="44"/>
        <v>306.44721925744591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61.88090262406547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211.8</v>
      </c>
      <c r="EH33" s="13">
        <f>VLOOKUP(A33,'Données projet'!$A$191:$I$211,9,0)</f>
        <v>14.260000000000002</v>
      </c>
      <c r="EI33" s="13">
        <f t="array" ref="EI33">INDEX(EH:EH,MIN(IF(ISNUMBER(EH33:EH229),ROW(EH33:EH229),"")))</f>
        <v>14.260000000000002</v>
      </c>
      <c r="EJ33" s="13">
        <f>IF('Données projet'!$A$192&gt;35,EJ32+EI33-ER32,IF(A33&lt;'Données projet'!$A$192,$EG$205^A33,IF(A33='Données projet'!$A$192,'Données projet'!$B$192,EJ32+EI33-ER32)))</f>
        <v>211.79999999999995</v>
      </c>
      <c r="EK33" s="18">
        <f>EJ33*VLOOKUP('Données projet'!$B$15,Paramètres!$A$1:$I$89,3,0)*VLOOKUP('Données projet'!$B$15,Paramètres!$A$1:$I$89,5,0)</f>
        <v>155.29175999999998</v>
      </c>
      <c r="EL33" s="14">
        <f t="shared" si="45"/>
        <v>39.778719769696814</v>
      </c>
      <c r="EM33" s="22">
        <f t="shared" si="19"/>
        <v>339.74775226555522</v>
      </c>
      <c r="EN33" s="62">
        <f t="shared" si="20"/>
        <v>603.31106188712863</v>
      </c>
      <c r="EO33" s="62">
        <f ca="1">AVERAGE(OFFSET($EN$3,0,0,'Données projet'!$E$15+1,1))-AVERAGE(OFFSET($H$3,0,0,'Données projet'!$E$15+1,1))</f>
        <v>357.57626046668958</v>
      </c>
      <c r="EP33" s="62">
        <f t="shared" si="46"/>
        <v>386.90439522046199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70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61.88090262406547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11.5</v>
      </c>
      <c r="FE33" s="13">
        <f>IF('Données projet'!$A$218&gt;35,FE32+FD33-FM32,IF(A33&lt;'Données projet'!$A$218,$FB$205^A33,IF(A33='Données projet'!$A$218,'Données projet'!$B$218,FE32+FD33-FM32)))</f>
        <v>143.49999999999997</v>
      </c>
      <c r="FF33" s="18">
        <f>FE33*VLOOKUP('Données projet'!$B$16,Paramètres!$A$1:$I$89,3,0)*VLOOKUP('Données projet'!$B$16,Paramètres!$A$1:$I$89,5,0)</f>
        <v>111.92999999999998</v>
      </c>
      <c r="FG33" s="14">
        <f t="shared" si="47"/>
        <v>29.785246291563833</v>
      </c>
      <c r="FH33" s="22">
        <f t="shared" si="22"/>
        <v>246.82072062447358</v>
      </c>
      <c r="FI33" s="62">
        <f t="shared" si="23"/>
        <v>510.38403024604702</v>
      </c>
      <c r="FJ33" s="62">
        <f ca="1">AVERAGE(OFFSET($FI$3,0,0,'Données projet'!$E$16+1,1))-AVERAGE(OFFSET($H$3,0,0,'Données projet'!$E$16+1,1))</f>
        <v>303.56663121833833</v>
      </c>
      <c r="FK33" s="62">
        <f t="shared" si="48"/>
        <v>293.97736357938038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61.88090262406547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211.8</v>
      </c>
      <c r="FX33" s="13">
        <f>VLOOKUP(A33,'Données projet'!$A$243:$I$263,9,0)</f>
        <v>14.260000000000002</v>
      </c>
      <c r="FY33" s="13">
        <f t="array" ref="FY33">INDEX(FX:FX,MIN(IF(ISNUMBER(FX33:FX229),ROW(FX33:FX229),"")))</f>
        <v>14.260000000000002</v>
      </c>
      <c r="FZ33" s="13">
        <f>IF('Données projet'!$A$244&gt;35,FZ32+FY33-GH32,IF(A33&lt;'Données projet'!$A$244,$FW$205^A33,IF(A33='Données projet'!$A$244,'Données projet'!$B$244,FZ32+FY33-GH32)))</f>
        <v>211.79999999999995</v>
      </c>
      <c r="GA33" s="18">
        <f>FZ33*VLOOKUP('Données projet'!$B$17,Paramètres!$A$1:$I$89,3,0)*VLOOKUP('Données projet'!$B$17,Paramètres!$A$1:$I$89,5,0)</f>
        <v>168.50807999999995</v>
      </c>
      <c r="GB33" s="14">
        <f t="shared" si="49"/>
        <v>42.755711908378117</v>
      </c>
      <c r="GC33" s="22">
        <f t="shared" si="25"/>
        <v>367.95110424042514</v>
      </c>
      <c r="GD33" s="62">
        <f t="shared" si="26"/>
        <v>631.51441386199849</v>
      </c>
      <c r="GE33" s="62">
        <f ca="1">AVERAGE(OFFSET($GD$3,0,0,'Données projet'!$E$17+1,1))-AVERAGE(OFFSET($H$3,0,0,'Données projet'!$E$17+1,1))</f>
        <v>383.71724511025587</v>
      </c>
      <c r="GF33" s="62">
        <f t="shared" si="50"/>
        <v>415.10774719533185</v>
      </c>
      <c r="GG33" s="16">
        <f>IF(ISNA(VLOOKUP(A33,'Données projet'!$A$243:$I$263,3,0)),0,VLOOKUP(A33,'Données projet'!$A$243:$I$263,3,0))</f>
        <v>2</v>
      </c>
      <c r="GH33" s="16">
        <f>IF(ISNA(VLOOKUP(A33,'Données projet'!$A$243:$I$263,4,0)),0,VLOOKUP(A33,'Données projet'!$A$243:$I$263,4,0))</f>
        <v>70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61.88090262406547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149.35897435897436</v>
      </c>
      <c r="GS33" s="13">
        <f>VLOOKUP(A33,'Données projet'!$A$269:$I$289,9,0)</f>
        <v>8.0769230769230802</v>
      </c>
      <c r="GT33" s="13">
        <f t="array" ref="GT33">INDEX(GS:GS,MIN(IF(ISNUMBER(GS33:GS229),ROW(GS33:GS229),"")))</f>
        <v>8.0769230769230802</v>
      </c>
      <c r="GU33" s="13">
        <f>IF('Données projet'!$A$270&gt;35,GU32+GT33-HC32,IF(A33&lt;'Données projet'!$A$270,$GR$205^A33,IF(A33='Données projet'!$A$270,'Données projet'!$B$270,GU32+GT33-HC32)))</f>
        <v>149.35897435897442</v>
      </c>
      <c r="GV33" s="18">
        <f>GU33*VLOOKUP('Données projet'!$B$18,Paramètres!$A$1:$I$89,3,0)*VLOOKUP('Données projet'!$B$18,Paramètres!$A$1:$I$89,5,0)</f>
        <v>100.19000000000005</v>
      </c>
      <c r="GW33" s="14">
        <f t="shared" si="51"/>
        <v>27.007257426460161</v>
      </c>
      <c r="GX33" s="22">
        <f t="shared" si="28"/>
        <v>221.53522335108485</v>
      </c>
      <c r="GY33" s="62">
        <f t="shared" si="29"/>
        <v>485.09853297265829</v>
      </c>
      <c r="GZ33" s="62">
        <f ca="1">AVERAGE(OFFSET($GY$3,0,0,'Données projet'!$E$18+1,1))-AVERAGE(OFFSET($H$3,0,0,'Données projet'!$E$18+1,1))</f>
        <v>329.93956600482801</v>
      </c>
      <c r="HA33" s="62">
        <f t="shared" si="52"/>
        <v>268.69186630599165</v>
      </c>
      <c r="HB33" s="16">
        <f>IF(ISNA(VLOOKUP(A33,'Données projet'!$A$269:$I$289,3,0)),0,VLOOKUP(A33,'Données projet'!$A$269:$I$289,3,0))</f>
        <v>2</v>
      </c>
      <c r="HC33" s="16">
        <f>IF(ISNA(VLOOKUP(A33,'Données projet'!$A$269:$I$289,4,0)),0,VLOOKUP(A33,'Données projet'!$A$269:$I$289,4,0))</f>
        <v>32.692307692307693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2.7450000000000001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10.065</v>
      </c>
      <c r="H34" s="70">
        <f t="shared" si="1"/>
        <v>216.40666666666667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62.021750811955499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2">
        <f t="shared" si="0"/>
        <v>526.64169216333892</v>
      </c>
      <c r="S34" s="62">
        <f ca="1">AVERAGE(OFFSET($R$3,0,0,'Données projet'!$E$9+1,1))-AVERAGE(OFFSET($H$3,0,0,'Données projet'!$E$9+1,1))</f>
        <v>551.67307965706379</v>
      </c>
      <c r="T34" s="62">
        <f t="shared" si="34"/>
        <v>288.70738860523943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62.021750811955499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131.80000000000004</v>
      </c>
      <c r="AJ34" s="14">
        <f>AI34*VLOOKUP('Données projet'!$B$10,Paramètres!$A$1:$I$89,3,0)*VLOOKUP('Données projet'!$B$10,Paramètres!$A$1:$I$89,5,0)</f>
        <v>111.02832000000005</v>
      </c>
      <c r="AK34" s="14">
        <f t="shared" si="35"/>
        <v>29.573133422929669</v>
      </c>
      <c r="AL34" s="22">
        <f t="shared" si="4"/>
        <v>244.88086471160261</v>
      </c>
      <c r="AM34" s="62">
        <f t="shared" si="5"/>
        <v>508.96061768877274</v>
      </c>
      <c r="AN34" s="62">
        <f ca="1">AVERAGE(OFFSET($AM$3,0,0,'Données projet'!$E$10+1,1))-AVERAGE(OFFSET($H$3,0,0,'Données projet'!$E$10+1,1))</f>
        <v>518.18933270904506</v>
      </c>
      <c r="AO34" s="62">
        <f t="shared" si="36"/>
        <v>272.44431899810411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62.021750811955499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14.166666666666666</v>
      </c>
      <c r="BD34" s="13">
        <f>IF('Données projet'!$A$88&gt;35,BD33+BC34-BL33,IF(A34&lt;'Données projet'!$A$88,$BA$205^A34,IF(A34='Données projet'!$A$88,'Données projet'!$B$88,BD33+BC34-BL33)))</f>
        <v>103.16666666666666</v>
      </c>
      <c r="BE34" s="14">
        <f>BD34*VLOOKUP('Données projet'!$B$11,Paramètres!$A$1:$I$89,3,0)*VLOOKUP('Données projet'!$B$11,Paramètres!$A$1:$I$89,5,0)</f>
        <v>88.51700000000001</v>
      </c>
      <c r="BF34" s="14">
        <f t="shared" si="37"/>
        <v>24.207215980626653</v>
      </c>
      <c r="BG34" s="22">
        <f t="shared" si="7"/>
        <v>196.32800949959145</v>
      </c>
      <c r="BH34" s="62">
        <f t="shared" si="8"/>
        <v>460.4077624767616</v>
      </c>
      <c r="BI34" s="62">
        <f ca="1">AVERAGE(OFFSET($BH$3,0,0,'Données projet'!$E$11+1,1))-AVERAGE(OFFSET($H$3,0,0,'Données projet'!$E$11+1,1))</f>
        <v>464.73160475167867</v>
      </c>
      <c r="BJ34" s="62">
        <f t="shared" si="38"/>
        <v>241.31968359962227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62.021750811955499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8.6</v>
      </c>
      <c r="BY34" s="13">
        <f>IF('Données projet'!$A$114&gt;35,BY33+BX34-CG33,IF(A34&lt;'Données projet'!$A$114,$BV$205^A34,IF(A34='Données projet'!$A$114,'Données projet'!$B$114,BY33+BX34-CG33)))</f>
        <v>169.60000000000002</v>
      </c>
      <c r="BZ34" s="14">
        <f>BY34*VLOOKUP('Données projet'!$B$12,Paramètres!$A$1:$I$89,3,0)*VLOOKUP('Données projet'!$B$12,Paramètres!$A$1:$I$89,5,0)</f>
        <v>111.12192000000003</v>
      </c>
      <c r="CA34" s="14">
        <f t="shared" si="39"/>
        <v>29.595161360044589</v>
      </c>
      <c r="CB34" s="22">
        <f t="shared" si="10"/>
        <v>245.08225003541108</v>
      </c>
      <c r="CC34" s="62">
        <f t="shared" si="11"/>
        <v>509.16200301258118</v>
      </c>
      <c r="CD34" s="62">
        <f ca="1">AVERAGE(OFFSET($CC$3,0,0,'Données projet'!$E$12+1,1))-AVERAGE(OFFSET($H$3,0,0,'Données projet'!$E$12+1,1))</f>
        <v>292.13851489852607</v>
      </c>
      <c r="CE34" s="62">
        <f t="shared" si="40"/>
        <v>280.10866188737418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62.021750811955499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8.8000000000000007</v>
      </c>
      <c r="CT34" s="13">
        <f>IF('Données projet'!$A$140&gt;35,CT33+CS34-DB33,IF(A34&lt;'Données projet'!$A$140,$CQ$205^A34,IF(A34='Données projet'!$A$140,'Données projet'!$B$140,CT33+CS34-DB33)))</f>
        <v>154.80000000000001</v>
      </c>
      <c r="CU34" s="18">
        <f>CT34*VLOOKUP('Données projet'!$B$13,Paramètres!$A$1:$I$89,3,0)*VLOOKUP('Données projet'!$B$13,Paramètres!$A$1:$I$89,5,0)</f>
        <v>125.57376000000002</v>
      </c>
      <c r="CV34" s="14">
        <f t="shared" si="41"/>
        <v>32.97153235129214</v>
      </c>
      <c r="CW34" s="22">
        <f t="shared" si="13"/>
        <v>276.13305084516719</v>
      </c>
      <c r="CX34" s="62">
        <f t="shared" si="14"/>
        <v>540.21280382233726</v>
      </c>
      <c r="CY34" s="62">
        <f ca="1">AVERAGE(OFFSET($CX$3,0,0,'Données projet'!$E$13+1,1))-AVERAGE(OFFSET($H$3,0,0,'Données projet'!$E$13+1,1))</f>
        <v>265.25572936607409</v>
      </c>
      <c r="CZ34" s="62">
        <f t="shared" si="42"/>
        <v>307.96244316129071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62.021750811955499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7.1794871794871797</v>
      </c>
      <c r="DO34" s="13">
        <f>IF('Données projet'!$A$166&gt;35,DO33+DN34-DW33,IF(A34&lt;'Données projet'!$A$166,$DL$205^A34,IF(A34='Données projet'!$A$166,'Données projet'!$B$166,DO33+DN34-DW33)))</f>
        <v>130.89743589743588</v>
      </c>
      <c r="DP34" s="18">
        <f>DO34*VLOOKUP('Données projet'!$B$14,Paramètres!$A$1:$I$89,3,0)*VLOOKUP('Données projet'!$B$14,Paramètres!$A$1:$I$89,5,0)</f>
        <v>124.56199999999998</v>
      </c>
      <c r="DQ34" s="14">
        <f t="shared" si="43"/>
        <v>32.736689328514629</v>
      </c>
      <c r="DR34" s="22">
        <f t="shared" si="16"/>
        <v>273.96188391382958</v>
      </c>
      <c r="DS34" s="62">
        <f t="shared" si="17"/>
        <v>538.04163689099971</v>
      </c>
      <c r="DT34" s="62">
        <f ca="1">AVERAGE(OFFSET($DS$3,0,0,'Données projet'!$E$14+1,1))-AVERAGE(OFFSET($H$3,0,0,'Données projet'!$E$14+1,1))</f>
        <v>425.41154182732936</v>
      </c>
      <c r="DU34" s="62">
        <f t="shared" si="44"/>
        <v>306.44721925744591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62.021750811955499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12.919999999999998</v>
      </c>
      <c r="EJ34" s="13">
        <f>IF('Données projet'!$A$192&gt;35,EJ33+EI34-ER33,IF(A34&lt;'Données projet'!$A$192,$EG$205^A34,IF(A34='Données projet'!$A$192,'Données projet'!$B$192,EJ33+EI34-ER33)))</f>
        <v>154.71999999999994</v>
      </c>
      <c r="EK34" s="18">
        <f>EJ34*VLOOKUP('Données projet'!$B$15,Paramètres!$A$1:$I$89,3,0)*VLOOKUP('Données projet'!$B$15,Paramètres!$A$1:$I$89,5,0)</f>
        <v>113.44070399999997</v>
      </c>
      <c r="EL34" s="14">
        <f t="shared" si="45"/>
        <v>30.140182414303599</v>
      </c>
      <c r="EM34" s="22">
        <f t="shared" si="19"/>
        <v>250.07004383824537</v>
      </c>
      <c r="EN34" s="62">
        <f t="shared" si="20"/>
        <v>514.14979681541547</v>
      </c>
      <c r="EO34" s="62">
        <f ca="1">AVERAGE(OFFSET($EN$3,0,0,'Données projet'!$E$15+1,1))-AVERAGE(OFFSET($H$3,0,0,'Données projet'!$E$15+1,1))</f>
        <v>357.57626046668958</v>
      </c>
      <c r="EP34" s="62">
        <f t="shared" si="46"/>
        <v>386.90439522046199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62.021750811955499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>
        <f>VLOOKUP(A34,'Données projet'!$A$217:$I$237,2,0)</f>
        <v>155</v>
      </c>
      <c r="FC34" s="13">
        <f>VLOOKUP(A34,'Données projet'!$A$217:$I$237,9,0)</f>
        <v>11.5</v>
      </c>
      <c r="FD34" s="13">
        <f t="array" ref="FD34">INDEX(FC:FC,MIN(IF(ISNUMBER(FC34:FC230),ROW(FC34:FC230),"")))</f>
        <v>11.5</v>
      </c>
      <c r="FE34" s="13">
        <f>IF('Données projet'!$A$218&gt;35,FE33+FD34-FM33,IF(A34&lt;'Données projet'!$A$218,$FB$205^A34,IF(A34='Données projet'!$A$218,'Données projet'!$B$218,FE33+FD34-FM33)))</f>
        <v>154.99999999999997</v>
      </c>
      <c r="FF34" s="18">
        <f>FE34*VLOOKUP('Données projet'!$B$16,Paramètres!$A$1:$I$89,3,0)*VLOOKUP('Données projet'!$B$16,Paramètres!$A$1:$I$89,5,0)</f>
        <v>120.89999999999998</v>
      </c>
      <c r="FG34" s="14">
        <f t="shared" si="47"/>
        <v>31.884818143351602</v>
      </c>
      <c r="FH34" s="22">
        <f t="shared" si="22"/>
        <v>266.10022493300397</v>
      </c>
      <c r="FI34" s="62">
        <f t="shared" si="23"/>
        <v>530.1799779101741</v>
      </c>
      <c r="FJ34" s="62">
        <f ca="1">AVERAGE(OFFSET($FI$3,0,0,'Données projet'!$E$16+1,1))-AVERAGE(OFFSET($H$3,0,0,'Données projet'!$E$16+1,1))</f>
        <v>303.56663121833833</v>
      </c>
      <c r="FK34" s="62">
        <f t="shared" si="48"/>
        <v>293.97736357938038</v>
      </c>
      <c r="FL34" s="16">
        <f>IF(ISNA(VLOOKUP(A34,'Données projet'!$A$217:$I$237,3,0)),0,VLOOKUP(A34,'Données projet'!$A$217:$I$237,3,0))</f>
        <v>2</v>
      </c>
      <c r="FM34" s="16">
        <f>IF(ISNA(VLOOKUP(A34,'Données projet'!$A$217:$I$237,4,0)),0,VLOOKUP(A34,'Données projet'!$A$217:$I$237,4,0))</f>
        <v>36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62.021750811955499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12.919999999999998</v>
      </c>
      <c r="FZ34" s="13">
        <f>IF('Données projet'!$A$244&gt;35,FZ33+FY34-GH33,IF(A34&lt;'Données projet'!$A$244,$FW$205^A34,IF(A34='Données projet'!$A$244,'Données projet'!$B$244,FZ33+FY34-GH33)))</f>
        <v>154.71999999999994</v>
      </c>
      <c r="GA34" s="18">
        <f>FZ34*VLOOKUP('Données projet'!$B$17,Paramètres!$A$1:$I$89,3,0)*VLOOKUP('Données projet'!$B$17,Paramètres!$A$1:$I$89,5,0)</f>
        <v>123.09523199999997</v>
      </c>
      <c r="GB34" s="14">
        <f t="shared" si="49"/>
        <v>32.395837865893974</v>
      </c>
      <c r="GC34" s="22">
        <f t="shared" si="25"/>
        <v>270.81361334976526</v>
      </c>
      <c r="GD34" s="62">
        <f t="shared" si="26"/>
        <v>534.89336632693539</v>
      </c>
      <c r="GE34" s="62">
        <f ca="1">AVERAGE(OFFSET($GD$3,0,0,'Données projet'!$E$17+1,1))-AVERAGE(OFFSET($H$3,0,0,'Données projet'!$E$17+1,1))</f>
        <v>383.71724511025587</v>
      </c>
      <c r="GF34" s="62">
        <f t="shared" si="50"/>
        <v>415.10774719533185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62.021750811955499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7.6923076923076881</v>
      </c>
      <c r="GU34" s="13">
        <f>IF('Données projet'!$A$270&gt;35,GU33+GT34-HC33,IF(A34&lt;'Données projet'!$A$270,$GR$205^A34,IF(A34='Données projet'!$A$270,'Données projet'!$B$270,GU33+GT34-HC33)))</f>
        <v>124.35897435897441</v>
      </c>
      <c r="GV34" s="18">
        <f>GU34*VLOOKUP('Données projet'!$B$18,Paramètres!$A$1:$I$89,3,0)*VLOOKUP('Données projet'!$B$18,Paramètres!$A$1:$I$89,5,0)</f>
        <v>83.42000000000003</v>
      </c>
      <c r="GW34" s="14">
        <f t="shared" si="51"/>
        <v>22.971343750654679</v>
      </c>
      <c r="GX34" s="22">
        <f t="shared" si="28"/>
        <v>185.2982570323903</v>
      </c>
      <c r="GY34" s="62">
        <f t="shared" si="29"/>
        <v>449.3780100095604</v>
      </c>
      <c r="GZ34" s="62">
        <f ca="1">AVERAGE(OFFSET($GY$3,0,0,'Données projet'!$E$18+1,1))-AVERAGE(OFFSET($H$3,0,0,'Données projet'!$E$18+1,1))</f>
        <v>329.93956600482801</v>
      </c>
      <c r="HA34" s="62">
        <f t="shared" si="52"/>
        <v>268.69186630599165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2.7450000000000001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10.065</v>
      </c>
      <c r="H35" s="70">
        <f t="shared" si="1"/>
        <v>216.40666666666667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62.160155598675018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2">
        <f t="shared" si="0"/>
        <v>548.12243098971521</v>
      </c>
      <c r="S35" s="62">
        <f ca="1">AVERAGE(OFFSET($R$3,0,0,'Données projet'!$E$9+1,1))-AVERAGE(OFFSET($H$3,0,0,'Données projet'!$E$9+1,1))</f>
        <v>551.67307965706379</v>
      </c>
      <c r="T35" s="62">
        <f t="shared" si="34"/>
        <v>288.70738860523943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62.160155598675018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142.60000000000005</v>
      </c>
      <c r="AJ35" s="14">
        <f>AI35*VLOOKUP('Données projet'!$B$10,Paramètres!$A$1:$I$89,3,0)*VLOOKUP('Données projet'!$B$10,Paramètres!$A$1:$I$89,5,0)</f>
        <v>120.12624000000005</v>
      </c>
      <c r="AK35" s="14">
        <f t="shared" si="35"/>
        <v>31.704440899018444</v>
      </c>
      <c r="AL35" s="22">
        <f t="shared" si="4"/>
        <v>264.43843589912387</v>
      </c>
      <c r="AM35" s="62">
        <f t="shared" si="5"/>
        <v>529.02567309426558</v>
      </c>
      <c r="AN35" s="62">
        <f ca="1">AVERAGE(OFFSET($AM$3,0,0,'Données projet'!$E$10+1,1))-AVERAGE(OFFSET($H$3,0,0,'Données projet'!$E$10+1,1))</f>
        <v>518.18933270904506</v>
      </c>
      <c r="AO35" s="62">
        <f t="shared" si="36"/>
        <v>272.44431899810411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62.160155598675018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14.166666666666666</v>
      </c>
      <c r="BD35" s="13">
        <f>IF('Données projet'!$A$88&gt;35,BD34+BC35-BL34,IF(A35&lt;'Données projet'!$A$88,$BA$205^A35,IF(A35='Données projet'!$A$88,'Données projet'!$B$88,BD34+BC35-BL34)))</f>
        <v>117.33333333333333</v>
      </c>
      <c r="BE35" s="14">
        <f>BD35*VLOOKUP('Données projet'!$B$11,Paramètres!$A$1:$I$89,3,0)*VLOOKUP('Données projet'!$B$11,Paramètres!$A$1:$I$89,5,0)</f>
        <v>100.672</v>
      </c>
      <c r="BF35" s="14">
        <f t="shared" si="37"/>
        <v>27.122029824032914</v>
      </c>
      <c r="BG35" s="22">
        <f t="shared" si="7"/>
        <v>222.57460194352402</v>
      </c>
      <c r="BH35" s="62">
        <f t="shared" si="8"/>
        <v>487.16183913866575</v>
      </c>
      <c r="BI35" s="62">
        <f ca="1">AVERAGE(OFFSET($BH$3,0,0,'Données projet'!$E$11+1,1))-AVERAGE(OFFSET($H$3,0,0,'Données projet'!$E$11+1,1))</f>
        <v>464.73160475167867</v>
      </c>
      <c r="BJ35" s="62">
        <f t="shared" si="38"/>
        <v>241.31968359962227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62.160155598675018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8.6</v>
      </c>
      <c r="BY35" s="13">
        <f>IF('Données projet'!$A$114&gt;35,BY34+BX35-CG34,IF(A35&lt;'Données projet'!$A$114,$BV$205^A35,IF(A35='Données projet'!$A$114,'Données projet'!$B$114,BY34+BX35-CG34)))</f>
        <v>178.20000000000002</v>
      </c>
      <c r="BZ35" s="14">
        <f>BY35*VLOOKUP('Données projet'!$B$12,Paramètres!$A$1:$I$89,3,0)*VLOOKUP('Données projet'!$B$12,Paramètres!$A$1:$I$89,5,0)</f>
        <v>116.75664000000002</v>
      </c>
      <c r="CA35" s="14">
        <f t="shared" si="39"/>
        <v>30.91733675897062</v>
      </c>
      <c r="CB35" s="22">
        <f t="shared" si="10"/>
        <v>257.19884285520715</v>
      </c>
      <c r="CC35" s="62">
        <f t="shared" si="11"/>
        <v>521.78608005034891</v>
      </c>
      <c r="CD35" s="62">
        <f ca="1">AVERAGE(OFFSET($CC$3,0,0,'Données projet'!$E$12+1,1))-AVERAGE(OFFSET($H$3,0,0,'Données projet'!$E$12+1,1))</f>
        <v>292.13851489852607</v>
      </c>
      <c r="CE35" s="62">
        <f t="shared" si="40"/>
        <v>280.10866188737418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62.160155598675018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8.8000000000000007</v>
      </c>
      <c r="CT35" s="13">
        <f>IF('Données projet'!$A$140&gt;35,CT34+CS35-DB34,IF(A35&lt;'Données projet'!$A$140,$CQ$205^A35,IF(A35='Données projet'!$A$140,'Données projet'!$B$140,CT34+CS35-DB34)))</f>
        <v>163.60000000000002</v>
      </c>
      <c r="CU35" s="18">
        <f>CT35*VLOOKUP('Données projet'!$B$13,Paramètres!$A$1:$I$89,3,0)*VLOOKUP('Données projet'!$B$13,Paramètres!$A$1:$I$89,5,0)</f>
        <v>132.71232000000003</v>
      </c>
      <c r="CV35" s="14">
        <f t="shared" si="41"/>
        <v>34.622341655285041</v>
      </c>
      <c r="CW35" s="22">
        <f t="shared" si="13"/>
        <v>291.44120238295483</v>
      </c>
      <c r="CX35" s="62">
        <f t="shared" si="14"/>
        <v>556.0284395780966</v>
      </c>
      <c r="CY35" s="62">
        <f ca="1">AVERAGE(OFFSET($CX$3,0,0,'Données projet'!$E$13+1,1))-AVERAGE(OFFSET($H$3,0,0,'Données projet'!$E$13+1,1))</f>
        <v>265.25572936607409</v>
      </c>
      <c r="CZ35" s="62">
        <f t="shared" si="42"/>
        <v>307.96244316129071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62.160155598675018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7.1794871794871797</v>
      </c>
      <c r="DO35" s="13">
        <f>IF('Données projet'!$A$166&gt;35,DO34+DN35-DW34,IF(A35&lt;'Données projet'!$A$166,$DL$205^A35,IF(A35='Données projet'!$A$166,'Données projet'!$B$166,DO34+DN35-DW34)))</f>
        <v>138.07692307692307</v>
      </c>
      <c r="DP35" s="18">
        <f>DO35*VLOOKUP('Données projet'!$B$14,Paramètres!$A$1:$I$89,3,0)*VLOOKUP('Données projet'!$B$14,Paramètres!$A$1:$I$89,5,0)</f>
        <v>131.39400000000001</v>
      </c>
      <c r="DQ35" s="14">
        <f t="shared" si="43"/>
        <v>34.318271576212204</v>
      </c>
      <c r="DR35" s="22">
        <f t="shared" si="16"/>
        <v>288.61553966190291</v>
      </c>
      <c r="DS35" s="62">
        <f t="shared" si="17"/>
        <v>553.20277685704468</v>
      </c>
      <c r="DT35" s="62">
        <f ca="1">AVERAGE(OFFSET($DS$3,0,0,'Données projet'!$E$14+1,1))-AVERAGE(OFFSET($H$3,0,0,'Données projet'!$E$14+1,1))</f>
        <v>425.41154182732936</v>
      </c>
      <c r="DU35" s="62">
        <f t="shared" si="44"/>
        <v>306.44721925744591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62.160155598675018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12.919999999999998</v>
      </c>
      <c r="EJ35" s="13">
        <f>IF('Données projet'!$A$192&gt;35,EJ34+EI35-ER34,IF(A35&lt;'Données projet'!$A$192,$EG$205^A35,IF(A35='Données projet'!$A$192,'Données projet'!$B$192,EJ34+EI35-ER34)))</f>
        <v>167.63999999999993</v>
      </c>
      <c r="EK35" s="18">
        <f>EJ35*VLOOKUP('Données projet'!$B$15,Paramètres!$A$1:$I$89,3,0)*VLOOKUP('Données projet'!$B$15,Paramètres!$A$1:$I$89,5,0)</f>
        <v>122.91364799999994</v>
      </c>
      <c r="EL35" s="14">
        <f t="shared" si="45"/>
        <v>32.353608109504151</v>
      </c>
      <c r="EM35" s="22">
        <f t="shared" si="19"/>
        <v>270.42380439071962</v>
      </c>
      <c r="EN35" s="62">
        <f t="shared" si="20"/>
        <v>535.01104158586145</v>
      </c>
      <c r="EO35" s="62">
        <f ca="1">AVERAGE(OFFSET($EN$3,0,0,'Données projet'!$E$15+1,1))-AVERAGE(OFFSET($H$3,0,0,'Données projet'!$E$15+1,1))</f>
        <v>357.57626046668958</v>
      </c>
      <c r="EP35" s="62">
        <f t="shared" si="46"/>
        <v>386.90439522046199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62.160155598675018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11.5</v>
      </c>
      <c r="FE35" s="13">
        <f>IF('Données projet'!$A$218&gt;35,FE34+FD35-FM34,IF(A35&lt;'Données projet'!$A$218,$FB$205^A35,IF(A35='Données projet'!$A$218,'Données projet'!$B$218,FE34+FD35-FM34)))</f>
        <v>130.49999999999997</v>
      </c>
      <c r="FF35" s="18">
        <f>FE35*VLOOKUP('Données projet'!$B$16,Paramètres!$A$1:$I$89,3,0)*VLOOKUP('Données projet'!$B$16,Paramètres!$A$1:$I$89,5,0)</f>
        <v>101.78999999999998</v>
      </c>
      <c r="FG35" s="14">
        <f t="shared" si="47"/>
        <v>27.38799903683508</v>
      </c>
      <c r="FH35" s="22">
        <f t="shared" si="22"/>
        <v>224.98501498915437</v>
      </c>
      <c r="FI35" s="62">
        <f t="shared" si="23"/>
        <v>489.57225218429613</v>
      </c>
      <c r="FJ35" s="62">
        <f ca="1">AVERAGE(OFFSET($FI$3,0,0,'Données projet'!$E$16+1,1))-AVERAGE(OFFSET($H$3,0,0,'Données projet'!$E$16+1,1))</f>
        <v>303.56663121833833</v>
      </c>
      <c r="FK35" s="62">
        <f t="shared" si="48"/>
        <v>293.97736357938038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62.160155598675018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12.919999999999998</v>
      </c>
      <c r="FZ35" s="13">
        <f>IF('Données projet'!$A$244&gt;35,FZ34+FY35-GH34,IF(A35&lt;'Données projet'!$A$244,$FW$205^A35,IF(A35='Données projet'!$A$244,'Données projet'!$B$244,FZ34+FY35-GH34)))</f>
        <v>167.63999999999993</v>
      </c>
      <c r="GA35" s="18">
        <f>FZ35*VLOOKUP('Données projet'!$B$17,Paramètres!$A$1:$I$89,3,0)*VLOOKUP('Données projet'!$B$17,Paramètres!$A$1:$I$89,5,0)</f>
        <v>133.37438399999996</v>
      </c>
      <c r="GB35" s="14">
        <f t="shared" si="49"/>
        <v>34.774913711031935</v>
      </c>
      <c r="GC35" s="22">
        <f t="shared" si="25"/>
        <v>292.86002684671388</v>
      </c>
      <c r="GD35" s="62">
        <f t="shared" si="26"/>
        <v>557.44726404185565</v>
      </c>
      <c r="GE35" s="62">
        <f ca="1">AVERAGE(OFFSET($GD$3,0,0,'Données projet'!$E$17+1,1))-AVERAGE(OFFSET($H$3,0,0,'Données projet'!$E$17+1,1))</f>
        <v>383.71724511025587</v>
      </c>
      <c r="GF35" s="62">
        <f t="shared" si="50"/>
        <v>415.10774719533185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62.160155598675018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7.6923076923076881</v>
      </c>
      <c r="GU35" s="13">
        <f>IF('Données projet'!$A$270&gt;35,GU34+GT35-HC34,IF(A35&lt;'Données projet'!$A$270,$GR$205^A35,IF(A35='Données projet'!$A$270,'Données projet'!$B$270,GU34+GT35-HC34)))</f>
        <v>132.0512820512821</v>
      </c>
      <c r="GV35" s="18">
        <f>GU35*VLOOKUP('Données projet'!$B$18,Paramètres!$A$1:$I$89,3,0)*VLOOKUP('Données projet'!$B$18,Paramètres!$A$1:$I$89,5,0)</f>
        <v>88.580000000000041</v>
      </c>
      <c r="GW35" s="14">
        <f t="shared" si="51"/>
        <v>24.222438846820232</v>
      </c>
      <c r="GX35" s="22">
        <f t="shared" si="28"/>
        <v>196.46424765821197</v>
      </c>
      <c r="GY35" s="62">
        <f t="shared" si="29"/>
        <v>461.05148485335371</v>
      </c>
      <c r="GZ35" s="62">
        <f ca="1">AVERAGE(OFFSET($GY$3,0,0,'Données projet'!$E$18+1,1))-AVERAGE(OFFSET($H$3,0,0,'Données projet'!$E$18+1,1))</f>
        <v>329.93956600482801</v>
      </c>
      <c r="HA35" s="62">
        <f t="shared" si="52"/>
        <v>268.69186630599165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2.7450000000000001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10.065</v>
      </c>
      <c r="H36" s="70">
        <f t="shared" si="1"/>
        <v>216.40666666666667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62.296159371771694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2">
        <f t="shared" si="0"/>
        <v>569.55962724023061</v>
      </c>
      <c r="S36" s="62">
        <f ca="1">AVERAGE(OFFSET($R$3,0,0,'Données projet'!$E$9+1,1))-AVERAGE(OFFSET($H$3,0,0,'Données projet'!$E$9+1,1))</f>
        <v>551.67307965706379</v>
      </c>
      <c r="T36" s="62">
        <f t="shared" si="34"/>
        <v>288.70738860523943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62.296159371771694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153.40000000000006</v>
      </c>
      <c r="AJ36" s="14">
        <f>AI36*VLOOKUP('Données projet'!$B$10,Paramètres!$A$1:$I$89,3,0)*VLOOKUP('Données projet'!$B$10,Paramètres!$A$1:$I$89,5,0)</f>
        <v>129.22416000000007</v>
      </c>
      <c r="AK36" s="14">
        <f t="shared" si="35"/>
        <v>33.81702308029579</v>
      </c>
      <c r="AL36" s="22">
        <f t="shared" si="4"/>
        <v>283.96339386484857</v>
      </c>
      <c r="AM36" s="62">
        <f t="shared" si="5"/>
        <v>549.04931156134478</v>
      </c>
      <c r="AN36" s="62">
        <f ca="1">AVERAGE(OFFSET($AM$3,0,0,'Données projet'!$E$10+1,1))-AVERAGE(OFFSET($H$3,0,0,'Données projet'!$E$10+1,1))</f>
        <v>518.18933270904506</v>
      </c>
      <c r="AO36" s="62">
        <f t="shared" si="36"/>
        <v>272.44431899810411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62.296159371771694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14.166666666666666</v>
      </c>
      <c r="BD36" s="13">
        <f>IF('Données projet'!$A$88&gt;35,BD35+BC36-BL35,IF(A36&lt;'Données projet'!$A$88,$BA$205^A36,IF(A36='Données projet'!$A$88,'Données projet'!$B$88,BD35+BC36-BL35)))</f>
        <v>131.5</v>
      </c>
      <c r="BE36" s="14">
        <f>BD36*VLOOKUP('Données projet'!$B$11,Paramètres!$A$1:$I$89,3,0)*VLOOKUP('Données projet'!$B$11,Paramètres!$A$1:$I$89,5,0)</f>
        <v>112.82700000000001</v>
      </c>
      <c r="BF36" s="14">
        <f t="shared" si="37"/>
        <v>29.996060965411449</v>
      </c>
      <c r="BG36" s="22">
        <f t="shared" si="7"/>
        <v>248.75016451475827</v>
      </c>
      <c r="BH36" s="62">
        <f t="shared" si="8"/>
        <v>513.83608221125451</v>
      </c>
      <c r="BI36" s="62">
        <f ca="1">AVERAGE(OFFSET($BH$3,0,0,'Données projet'!$E$11+1,1))-AVERAGE(OFFSET($H$3,0,0,'Données projet'!$E$11+1,1))</f>
        <v>464.73160475167867</v>
      </c>
      <c r="BJ36" s="62">
        <f t="shared" si="38"/>
        <v>241.31968359962227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62.296159371771694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8.6</v>
      </c>
      <c r="BY36" s="13">
        <f>IF('Données projet'!$A$114&gt;35,BY35+BX36-CG35,IF(A36&lt;'Données projet'!$A$114,$BV$205^A36,IF(A36='Données projet'!$A$114,'Données projet'!$B$114,BY35+BX36-CG35)))</f>
        <v>186.8</v>
      </c>
      <c r="BZ36" s="14">
        <f>BY36*VLOOKUP('Données projet'!$B$12,Paramètres!$A$1:$I$89,3,0)*VLOOKUP('Données projet'!$B$12,Paramètres!$A$1:$I$89,5,0)</f>
        <v>122.39136000000001</v>
      </c>
      <c r="CA36" s="14">
        <f t="shared" si="39"/>
        <v>32.232102612215037</v>
      </c>
      <c r="CB36" s="22">
        <f t="shared" si="10"/>
        <v>269.30253071627453</v>
      </c>
      <c r="CC36" s="62">
        <f t="shared" si="11"/>
        <v>534.38844841277069</v>
      </c>
      <c r="CD36" s="62">
        <f ca="1">AVERAGE(OFFSET($CC$3,0,0,'Données projet'!$E$12+1,1))-AVERAGE(OFFSET($H$3,0,0,'Données projet'!$E$12+1,1))</f>
        <v>292.13851489852607</v>
      </c>
      <c r="CE36" s="62">
        <f t="shared" si="40"/>
        <v>280.10866188737418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62.296159371771694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8.8000000000000007</v>
      </c>
      <c r="CT36" s="13">
        <f>IF('Données projet'!$A$140&gt;35,CT35+CS36-DB35,IF(A36&lt;'Données projet'!$A$140,$CQ$205^A36,IF(A36='Données projet'!$A$140,'Données projet'!$B$140,CT35+CS36-DB35)))</f>
        <v>172.40000000000003</v>
      </c>
      <c r="CU36" s="18">
        <f>CT36*VLOOKUP('Données projet'!$B$13,Paramètres!$A$1:$I$89,3,0)*VLOOKUP('Données projet'!$B$13,Paramètres!$A$1:$I$89,5,0)</f>
        <v>139.85088000000005</v>
      </c>
      <c r="CV36" s="14">
        <f t="shared" si="41"/>
        <v>36.262842078476233</v>
      </c>
      <c r="CW36" s="22">
        <f t="shared" si="13"/>
        <v>306.7313992866795</v>
      </c>
      <c r="CX36" s="62">
        <f t="shared" si="14"/>
        <v>571.81731698317571</v>
      </c>
      <c r="CY36" s="62">
        <f ca="1">AVERAGE(OFFSET($CX$3,0,0,'Données projet'!$E$13+1,1))-AVERAGE(OFFSET($H$3,0,0,'Données projet'!$E$13+1,1))</f>
        <v>265.25572936607409</v>
      </c>
      <c r="CZ36" s="62">
        <f t="shared" si="42"/>
        <v>307.96244316129071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62.296159371771694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7.1794871794871797</v>
      </c>
      <c r="DO36" s="13">
        <f>IF('Données projet'!$A$166&gt;35,DO35+DN36-DW35,IF(A36&lt;'Données projet'!$A$166,$DL$205^A36,IF(A36='Données projet'!$A$166,'Données projet'!$B$166,DO35+DN36-DW35)))</f>
        <v>145.25641025641025</v>
      </c>
      <c r="DP36" s="18">
        <f>DO36*VLOOKUP('Données projet'!$B$14,Paramètres!$A$1:$I$89,3,0)*VLOOKUP('Données projet'!$B$14,Paramètres!$A$1:$I$89,5,0)</f>
        <v>138.22599999999997</v>
      </c>
      <c r="DQ36" s="14">
        <f t="shared" si="43"/>
        <v>35.890305873918834</v>
      </c>
      <c r="DR36" s="22">
        <f t="shared" si="16"/>
        <v>303.25256606374194</v>
      </c>
      <c r="DS36" s="62">
        <f t="shared" si="17"/>
        <v>568.3384837602382</v>
      </c>
      <c r="DT36" s="62">
        <f ca="1">AVERAGE(OFFSET($DS$3,0,0,'Données projet'!$E$14+1,1))-AVERAGE(OFFSET($H$3,0,0,'Données projet'!$E$14+1,1))</f>
        <v>425.41154182732936</v>
      </c>
      <c r="DU36" s="62">
        <f t="shared" si="44"/>
        <v>306.44721925744591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62.296159371771694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12.919999999999998</v>
      </c>
      <c r="EJ36" s="13">
        <f>IF('Données projet'!$A$192&gt;35,EJ35+EI36-ER35,IF(A36&lt;'Données projet'!$A$192,$EG$205^A36,IF(A36='Données projet'!$A$192,'Données projet'!$B$192,EJ35+EI36-ER35)))</f>
        <v>180.55999999999992</v>
      </c>
      <c r="EK36" s="18">
        <f>EJ36*VLOOKUP('Données projet'!$B$15,Paramètres!$A$1:$I$89,3,0)*VLOOKUP('Données projet'!$B$15,Paramètres!$A$1:$I$89,5,0)</f>
        <v>132.38659199999992</v>
      </c>
      <c r="EL36" s="14">
        <f t="shared" si="45"/>
        <v>34.547245433823143</v>
      </c>
      <c r="EM36" s="22">
        <f t="shared" si="19"/>
        <v>290.74310019724186</v>
      </c>
      <c r="EN36" s="62">
        <f t="shared" si="20"/>
        <v>555.82901789373807</v>
      </c>
      <c r="EO36" s="62">
        <f ca="1">AVERAGE(OFFSET($EN$3,0,0,'Données projet'!$E$15+1,1))-AVERAGE(OFFSET($H$3,0,0,'Données projet'!$E$15+1,1))</f>
        <v>357.57626046668958</v>
      </c>
      <c r="EP36" s="62">
        <f t="shared" si="46"/>
        <v>386.90439522046199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62.296159371771694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11.5</v>
      </c>
      <c r="FE36" s="13">
        <f>IF('Données projet'!$A$218&gt;35,FE35+FD36-FM35,IF(A36&lt;'Données projet'!$A$218,$FB$205^A36,IF(A36='Données projet'!$A$218,'Données projet'!$B$218,FE35+FD36-FM35)))</f>
        <v>141.99999999999997</v>
      </c>
      <c r="FF36" s="18">
        <f>FE36*VLOOKUP('Données projet'!$B$16,Paramètres!$A$1:$I$89,3,0)*VLOOKUP('Données projet'!$B$16,Paramètres!$A$1:$I$89,5,0)</f>
        <v>110.75999999999998</v>
      </c>
      <c r="FG36" s="14">
        <f t="shared" si="47"/>
        <v>29.509974682362923</v>
      </c>
      <c r="FH36" s="22">
        <f t="shared" si="22"/>
        <v>244.30353923844871</v>
      </c>
      <c r="FI36" s="62">
        <f t="shared" si="23"/>
        <v>509.38945693494492</v>
      </c>
      <c r="FJ36" s="62">
        <f ca="1">AVERAGE(OFFSET($FI$3,0,0,'Données projet'!$E$16+1,1))-AVERAGE(OFFSET($H$3,0,0,'Données projet'!$E$16+1,1))</f>
        <v>303.56663121833833</v>
      </c>
      <c r="FK36" s="62">
        <f t="shared" si="48"/>
        <v>293.97736357938038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62.296159371771694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12.919999999999998</v>
      </c>
      <c r="FZ36" s="13">
        <f>IF('Données projet'!$A$244&gt;35,FZ35+FY36-GH35,IF(A36&lt;'Données projet'!$A$244,$FW$205^A36,IF(A36='Données projet'!$A$244,'Données projet'!$B$244,FZ35+FY36-GH35)))</f>
        <v>180.55999999999992</v>
      </c>
      <c r="GA36" s="18">
        <f>FZ36*VLOOKUP('Données projet'!$B$17,Paramètres!$A$1:$I$89,3,0)*VLOOKUP('Données projet'!$B$17,Paramètres!$A$1:$I$89,5,0)</f>
        <v>143.65353599999995</v>
      </c>
      <c r="GB36" s="14">
        <f t="shared" si="49"/>
        <v>37.132720247116019</v>
      </c>
      <c r="GC36" s="22">
        <f t="shared" si="25"/>
        <v>314.86939629706029</v>
      </c>
      <c r="GD36" s="62">
        <f t="shared" si="26"/>
        <v>579.9553139935565</v>
      </c>
      <c r="GE36" s="62">
        <f ca="1">AVERAGE(OFFSET($GD$3,0,0,'Données projet'!$E$17+1,1))-AVERAGE(OFFSET($H$3,0,0,'Données projet'!$E$17+1,1))</f>
        <v>383.71724511025587</v>
      </c>
      <c r="GF36" s="62">
        <f t="shared" si="50"/>
        <v>415.10774719533185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62.296159371771694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7.6923076923076881</v>
      </c>
      <c r="GU36" s="13">
        <f>IF('Données projet'!$A$270&gt;35,GU35+GT36-HC35,IF(A36&lt;'Données projet'!$A$270,$GR$205^A36,IF(A36='Données projet'!$A$270,'Données projet'!$B$270,GU35+GT36-HC35)))</f>
        <v>139.74358974358978</v>
      </c>
      <c r="GV36" s="18">
        <f>GU36*VLOOKUP('Données projet'!$B$18,Paramètres!$A$1:$I$89,3,0)*VLOOKUP('Données projet'!$B$18,Paramètres!$A$1:$I$89,5,0)</f>
        <v>93.740000000000023</v>
      </c>
      <c r="GW36" s="14">
        <f t="shared" si="51"/>
        <v>25.465074435109123</v>
      </c>
      <c r="GX36" s="22">
        <f t="shared" si="28"/>
        <v>207.61550464114839</v>
      </c>
      <c r="GY36" s="62">
        <f t="shared" si="29"/>
        <v>472.7014223376446</v>
      </c>
      <c r="GZ36" s="62">
        <f ca="1">AVERAGE(OFFSET($GY$3,0,0,'Données projet'!$E$18+1,1))-AVERAGE(OFFSET($H$3,0,0,'Données projet'!$E$18+1,1))</f>
        <v>329.93956600482801</v>
      </c>
      <c r="HA36" s="62">
        <f t="shared" si="52"/>
        <v>268.69186630599165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2.7450000000000001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10.065</v>
      </c>
      <c r="H37" s="70">
        <f t="shared" si="1"/>
        <v>216.40666666666667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62.429803783464038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2">
        <f t="shared" si="0"/>
        <v>590.95615758853796</v>
      </c>
      <c r="S37" s="62">
        <f ca="1">AVERAGE(OFFSET($R$3,0,0,'Données projet'!$E$9+1,1))-AVERAGE(OFFSET($H$3,0,0,'Données projet'!$E$9+1,1))</f>
        <v>551.67307965706379</v>
      </c>
      <c r="T37" s="62">
        <f t="shared" si="34"/>
        <v>288.70738860523943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62.429803783464038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164.20000000000007</v>
      </c>
      <c r="AJ37" s="14">
        <f>AI37*VLOOKUP('Données projet'!$B$10,Paramètres!$A$1:$I$89,3,0)*VLOOKUP('Données projet'!$B$10,Paramètres!$A$1:$I$89,5,0)</f>
        <v>138.32208000000008</v>
      </c>
      <c r="AK37" s="14">
        <f t="shared" si="35"/>
        <v>35.912348257500334</v>
      </c>
      <c r="AL37" s="22">
        <f t="shared" si="4"/>
        <v>303.45829588181323</v>
      </c>
      <c r="AM37" s="62">
        <f t="shared" si="5"/>
        <v>569.03424308784804</v>
      </c>
      <c r="AN37" s="62">
        <f ca="1">AVERAGE(OFFSET($AM$3,0,0,'Données projet'!$E$10+1,1))-AVERAGE(OFFSET($H$3,0,0,'Données projet'!$E$10+1,1))</f>
        <v>518.18933270904506</v>
      </c>
      <c r="AO37" s="62">
        <f t="shared" si="36"/>
        <v>272.44431899810411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62.429803783464038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14.166666666666666</v>
      </c>
      <c r="BD37" s="13">
        <f>IF('Données projet'!$A$88&gt;35,BD36+BC37-BL36,IF(A37&lt;'Données projet'!$A$88,$BA$205^A37,IF(A37='Données projet'!$A$88,'Données projet'!$B$88,BD36+BC37-BL36)))</f>
        <v>145.66666666666666</v>
      </c>
      <c r="BE37" s="14">
        <f>BD37*VLOOKUP('Données projet'!$B$11,Paramètres!$A$1:$I$89,3,0)*VLOOKUP('Données projet'!$B$11,Paramètres!$A$1:$I$89,5,0)</f>
        <v>124.98200000000001</v>
      </c>
      <c r="BF37" s="14">
        <f t="shared" si="37"/>
        <v>32.834203796212122</v>
      </c>
      <c r="BG37" s="22">
        <f t="shared" si="7"/>
        <v>274.86322161173609</v>
      </c>
      <c r="BH37" s="62">
        <f t="shared" si="8"/>
        <v>540.43916881777091</v>
      </c>
      <c r="BI37" s="62">
        <f ca="1">AVERAGE(OFFSET($BH$3,0,0,'Données projet'!$E$11+1,1))-AVERAGE(OFFSET($H$3,0,0,'Données projet'!$E$11+1,1))</f>
        <v>464.73160475167867</v>
      </c>
      <c r="BJ37" s="62">
        <f t="shared" si="38"/>
        <v>241.31968359962227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62.429803783464038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8.6</v>
      </c>
      <c r="BY37" s="13">
        <f>IF('Données projet'!$A$114&gt;35,BY36+BX37-CG36,IF(A37&lt;'Données projet'!$A$114,$BV$205^A37,IF(A37='Données projet'!$A$114,'Données projet'!$B$114,BY36+BX37-CG36)))</f>
        <v>195.4</v>
      </c>
      <c r="BZ37" s="14">
        <f>BY37*VLOOKUP('Données projet'!$B$12,Paramètres!$A$1:$I$89,3,0)*VLOOKUP('Données projet'!$B$12,Paramètres!$A$1:$I$89,5,0)</f>
        <v>128.02608000000001</v>
      </c>
      <c r="CA37" s="14">
        <f t="shared" si="39"/>
        <v>33.539839007242314</v>
      </c>
      <c r="CB37" s="22">
        <f t="shared" si="10"/>
        <v>281.39397560428034</v>
      </c>
      <c r="CC37" s="62">
        <f t="shared" si="11"/>
        <v>546.96992281031521</v>
      </c>
      <c r="CD37" s="62">
        <f ca="1">AVERAGE(OFFSET($CC$3,0,0,'Données projet'!$E$12+1,1))-AVERAGE(OFFSET($H$3,0,0,'Données projet'!$E$12+1,1))</f>
        <v>292.13851489852607</v>
      </c>
      <c r="CE37" s="62">
        <f t="shared" si="40"/>
        <v>280.10866188737418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62.429803783464038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8.8000000000000007</v>
      </c>
      <c r="CT37" s="13">
        <f>IF('Données projet'!$A$140&gt;35,CT36+CS37-DB36,IF(A37&lt;'Données projet'!$A$140,$CQ$205^A37,IF(A37='Données projet'!$A$140,'Données projet'!$B$140,CT36+CS37-DB36)))</f>
        <v>181.20000000000005</v>
      </c>
      <c r="CU37" s="18">
        <f>CT37*VLOOKUP('Données projet'!$B$13,Paramètres!$A$1:$I$89,3,0)*VLOOKUP('Données projet'!$B$13,Paramètres!$A$1:$I$89,5,0)</f>
        <v>146.98944000000006</v>
      </c>
      <c r="CV37" s="14">
        <f t="shared" si="41"/>
        <v>37.893619858723746</v>
      </c>
      <c r="CW37" s="22">
        <f t="shared" si="13"/>
        <v>322.00466258727732</v>
      </c>
      <c r="CX37" s="62">
        <f t="shared" si="14"/>
        <v>587.58060979331208</v>
      </c>
      <c r="CY37" s="62">
        <f ca="1">AVERAGE(OFFSET($CX$3,0,0,'Données projet'!$E$13+1,1))-AVERAGE(OFFSET($H$3,0,0,'Données projet'!$E$13+1,1))</f>
        <v>265.25572936607409</v>
      </c>
      <c r="CZ37" s="62">
        <f t="shared" si="42"/>
        <v>307.96244316129071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62.429803783464038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7.1794871794871797</v>
      </c>
      <c r="DO37" s="13">
        <f>IF('Données projet'!$A$166&gt;35,DO36+DN37-DW36,IF(A37&lt;'Données projet'!$A$166,$DL$205^A37,IF(A37='Données projet'!$A$166,'Données projet'!$B$166,DO36+DN37-DW36)))</f>
        <v>152.43589743589743</v>
      </c>
      <c r="DP37" s="18">
        <f>DO37*VLOOKUP('Données projet'!$B$14,Paramètres!$A$1:$I$89,3,0)*VLOOKUP('Données projet'!$B$14,Paramètres!$A$1:$I$89,5,0)</f>
        <v>145.05799999999999</v>
      </c>
      <c r="DQ37" s="14">
        <f t="shared" si="43"/>
        <v>37.453317998658314</v>
      </c>
      <c r="DR37" s="22">
        <f t="shared" si="16"/>
        <v>317.87387884766321</v>
      </c>
      <c r="DS37" s="62">
        <f t="shared" si="17"/>
        <v>583.44982605369796</v>
      </c>
      <c r="DT37" s="62">
        <f ca="1">AVERAGE(OFFSET($DS$3,0,0,'Données projet'!$E$14+1,1))-AVERAGE(OFFSET($H$3,0,0,'Données projet'!$E$14+1,1))</f>
        <v>425.41154182732936</v>
      </c>
      <c r="DU37" s="62">
        <f t="shared" si="44"/>
        <v>306.44721925744591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62.429803783464038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12.919999999999998</v>
      </c>
      <c r="EJ37" s="13">
        <f>IF('Données projet'!$A$192&gt;35,EJ36+EI37-ER36,IF(A37&lt;'Données projet'!$A$192,$EG$205^A37,IF(A37='Données projet'!$A$192,'Données projet'!$B$192,EJ36+EI37-ER36)))</f>
        <v>193.4799999999999</v>
      </c>
      <c r="EK37" s="18">
        <f>EJ37*VLOOKUP('Données projet'!$B$15,Paramètres!$A$1:$I$89,3,0)*VLOOKUP('Données projet'!$B$15,Paramètres!$A$1:$I$89,5,0)</f>
        <v>141.85953599999993</v>
      </c>
      <c r="EL37" s="14">
        <f t="shared" si="45"/>
        <v>36.722671388271863</v>
      </c>
      <c r="EM37" s="22">
        <f t="shared" si="19"/>
        <v>311.03067786790672</v>
      </c>
      <c r="EN37" s="62">
        <f t="shared" si="20"/>
        <v>576.60662507394159</v>
      </c>
      <c r="EO37" s="62">
        <f ca="1">AVERAGE(OFFSET($EN$3,0,0,'Données projet'!$E$15+1,1))-AVERAGE(OFFSET($H$3,0,0,'Données projet'!$E$15+1,1))</f>
        <v>357.57626046668958</v>
      </c>
      <c r="EP37" s="62">
        <f t="shared" si="46"/>
        <v>386.90439522046199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62.429803783464038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11.5</v>
      </c>
      <c r="FE37" s="13">
        <f>IF('Données projet'!$A$218&gt;35,FE36+FD37-FM36,IF(A37&lt;'Données projet'!$A$218,$FB$205^A37,IF(A37='Données projet'!$A$218,'Données projet'!$B$218,FE36+FD37-FM36)))</f>
        <v>153.49999999999997</v>
      </c>
      <c r="FF37" s="18">
        <f>FE37*VLOOKUP('Données projet'!$B$16,Paramètres!$A$1:$I$89,3,0)*VLOOKUP('Données projet'!$B$16,Paramètres!$A$1:$I$89,5,0)</f>
        <v>119.72999999999998</v>
      </c>
      <c r="FG37" s="14">
        <f t="shared" si="47"/>
        <v>31.612017974790529</v>
      </c>
      <c r="FH37" s="22">
        <f t="shared" si="22"/>
        <v>263.58734797276014</v>
      </c>
      <c r="FI37" s="62">
        <f t="shared" si="23"/>
        <v>529.1632951787949</v>
      </c>
      <c r="FJ37" s="62">
        <f ca="1">AVERAGE(OFFSET($FI$3,0,0,'Données projet'!$E$16+1,1))-AVERAGE(OFFSET($H$3,0,0,'Données projet'!$E$16+1,1))</f>
        <v>303.56663121833833</v>
      </c>
      <c r="FK37" s="62">
        <f t="shared" si="48"/>
        <v>293.97736357938038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62.429803783464038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12.919999999999998</v>
      </c>
      <c r="FZ37" s="13">
        <f>IF('Données projet'!$A$244&gt;35,FZ36+FY37-GH36,IF(A37&lt;'Données projet'!$A$244,$FW$205^A37,IF(A37='Données projet'!$A$244,'Données projet'!$B$244,FZ36+FY37-GH36)))</f>
        <v>193.4799999999999</v>
      </c>
      <c r="GA37" s="18">
        <f>FZ37*VLOOKUP('Données projet'!$B$17,Paramètres!$A$1:$I$89,3,0)*VLOOKUP('Données projet'!$B$17,Paramètres!$A$1:$I$89,5,0)</f>
        <v>153.93268799999993</v>
      </c>
      <c r="GB37" s="14">
        <f t="shared" si="49"/>
        <v>39.470952496040077</v>
      </c>
      <c r="GC37" s="22">
        <f t="shared" si="25"/>
        <v>336.84467386393629</v>
      </c>
      <c r="GD37" s="62">
        <f t="shared" si="26"/>
        <v>602.42062106997105</v>
      </c>
      <c r="GE37" s="62">
        <f ca="1">AVERAGE(OFFSET($GD$3,0,0,'Données projet'!$E$17+1,1))-AVERAGE(OFFSET($H$3,0,0,'Données projet'!$E$17+1,1))</f>
        <v>383.71724511025587</v>
      </c>
      <c r="GF37" s="62">
        <f t="shared" si="50"/>
        <v>415.10774719533185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62.429803783464038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7.6923076923076881</v>
      </c>
      <c r="GU37" s="13">
        <f>IF('Données projet'!$A$270&gt;35,GU36+GT37-HC36,IF(A37&lt;'Données projet'!$A$270,$GR$205^A37,IF(A37='Données projet'!$A$270,'Données projet'!$B$270,GU36+GT37-HC36)))</f>
        <v>147.43589743589746</v>
      </c>
      <c r="GV37" s="18">
        <f>GU37*VLOOKUP('Données projet'!$B$18,Paramètres!$A$1:$I$89,3,0)*VLOOKUP('Données projet'!$B$18,Paramètres!$A$1:$I$89,5,0)</f>
        <v>98.90000000000002</v>
      </c>
      <c r="GW37" s="14">
        <f t="shared" si="51"/>
        <v>26.699769255487553</v>
      </c>
      <c r="GX37" s="22">
        <f t="shared" si="28"/>
        <v>218.7529314533075</v>
      </c>
      <c r="GY37" s="62">
        <f t="shared" si="29"/>
        <v>484.32887865934231</v>
      </c>
      <c r="GZ37" s="62">
        <f ca="1">AVERAGE(OFFSET($GY$3,0,0,'Données projet'!$E$18+1,1))-AVERAGE(OFFSET($H$3,0,0,'Données projet'!$E$18+1,1))</f>
        <v>329.93956600482801</v>
      </c>
      <c r="HA37" s="62">
        <f t="shared" si="52"/>
        <v>268.69186630599165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2.7450000000000001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10.065</v>
      </c>
      <c r="H38" s="70">
        <f t="shared" si="1"/>
        <v>216.40666666666667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62.561129763397659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2">
        <f t="shared" si="0"/>
        <v>612.31451746449511</v>
      </c>
      <c r="S38" s="62">
        <f ca="1">AVERAGE(OFFSET($R$3,0,0,'Données projet'!$E$9+1,1))-AVERAGE(OFFSET($H$3,0,0,'Données projet'!$E$9+1,1))</f>
        <v>551.67307965706379</v>
      </c>
      <c r="T38" s="62">
        <f t="shared" si="34"/>
        <v>288.70738860523943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62.561129763397659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175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175.00000000000009</v>
      </c>
      <c r="AJ38" s="14">
        <f>AI38*VLOOKUP('Données projet'!$B$10,Paramètres!$A$1:$I$89,3,0)*VLOOKUP('Données projet'!$B$10,Paramètres!$A$1:$I$89,5,0)</f>
        <v>147.4200000000001</v>
      </c>
      <c r="AK38" s="14">
        <f t="shared" si="35"/>
        <v>37.991680647570327</v>
      </c>
      <c r="AL38" s="22">
        <f t="shared" si="4"/>
        <v>322.92534379451848</v>
      </c>
      <c r="AM38" s="62">
        <f t="shared" si="5"/>
        <v>588.98281959364317</v>
      </c>
      <c r="AN38" s="62">
        <f ca="1">AVERAGE(OFFSET($AM$3,0,0,'Données projet'!$E$10+1,1))-AVERAGE(OFFSET($H$3,0,0,'Données projet'!$E$10+1,1))</f>
        <v>518.18933270904506</v>
      </c>
      <c r="AO38" s="62">
        <f t="shared" si="36"/>
        <v>272.44431899810411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56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62.561129763397659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14.166666666666666</v>
      </c>
      <c r="BD38" s="13">
        <f>IF('Données projet'!$A$88&gt;35,BD37+BC38-BL37,IF(A38&lt;'Données projet'!$A$88,$BA$205^A38,IF(A38='Données projet'!$A$88,'Données projet'!$B$88,BD37+BC38-BL37)))</f>
        <v>159.83333333333331</v>
      </c>
      <c r="BE38" s="14">
        <f>BD38*VLOOKUP('Données projet'!$B$11,Paramètres!$A$1:$I$89,3,0)*VLOOKUP('Données projet'!$B$11,Paramètres!$A$1:$I$89,5,0)</f>
        <v>137.137</v>
      </c>
      <c r="BF38" s="14">
        <f t="shared" si="37"/>
        <v>35.64034577929781</v>
      </c>
      <c r="BG38" s="22">
        <f t="shared" si="7"/>
        <v>300.92054389894366</v>
      </c>
      <c r="BH38" s="62">
        <f t="shared" si="8"/>
        <v>566.97801969806847</v>
      </c>
      <c r="BI38" s="62">
        <f ca="1">AVERAGE(OFFSET($BH$3,0,0,'Données projet'!$E$11+1,1))-AVERAGE(OFFSET($H$3,0,0,'Données projet'!$E$11+1,1))</f>
        <v>464.73160475167867</v>
      </c>
      <c r="BJ38" s="62">
        <f t="shared" si="38"/>
        <v>241.31968359962227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62.561129763397659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204</v>
      </c>
      <c r="BW38" s="13">
        <f>VLOOKUP(A38,'Données projet'!$A$113:$I$133,9,0)</f>
        <v>8.6</v>
      </c>
      <c r="BX38" s="13">
        <f t="array" ref="BX38">INDEX(BW:BW,MIN(IF(ISNUMBER(BW38:BW234),ROW(BW38:BW234),"")))</f>
        <v>8.6</v>
      </c>
      <c r="BY38" s="13">
        <f>IF('Données projet'!$A$114&gt;35,BY37+BX38-CG37,IF(A38&lt;'Données projet'!$A$114,$BV$205^A38,IF(A38='Données projet'!$A$114,'Données projet'!$B$114,BY37+BX38-CG37)))</f>
        <v>204</v>
      </c>
      <c r="BZ38" s="14">
        <f>BY38*VLOOKUP('Données projet'!$B$12,Paramètres!$A$1:$I$89,3,0)*VLOOKUP('Données projet'!$B$12,Paramètres!$A$1:$I$89,5,0)</f>
        <v>133.66079999999999</v>
      </c>
      <c r="CA38" s="14">
        <f t="shared" si="39"/>
        <v>34.840890682716747</v>
      </c>
      <c r="CB38" s="22">
        <f t="shared" si="10"/>
        <v>293.47377793906497</v>
      </c>
      <c r="CC38" s="62">
        <f t="shared" si="11"/>
        <v>559.53125373818966</v>
      </c>
      <c r="CD38" s="62">
        <f ca="1">AVERAGE(OFFSET($CC$3,0,0,'Données projet'!$E$12+1,1))-AVERAGE(OFFSET($H$3,0,0,'Données projet'!$E$12+1,1))</f>
        <v>292.13851489852607</v>
      </c>
      <c r="CE38" s="62">
        <f t="shared" si="40"/>
        <v>280.10866188737418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48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62.561129763397659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190</v>
      </c>
      <c r="CR38" s="13">
        <f>VLOOKUP(A38,'Données projet'!$A$139:$I$159,9,0)</f>
        <v>8.8000000000000007</v>
      </c>
      <c r="CS38" s="13">
        <f t="array" ref="CS38">INDEX(CR:CR,MIN(IF(ISNUMBER(CR38:CR234),ROW(CR38:CR234),"")))</f>
        <v>8.8000000000000007</v>
      </c>
      <c r="CT38" s="13">
        <f>IF('Données projet'!$A$140&gt;35,CT37+CS38-DB37,IF(A38&lt;'Données projet'!$A$140,$CQ$205^A38,IF(A38='Données projet'!$A$140,'Données projet'!$B$140,CT37+CS38-DB37)))</f>
        <v>190.00000000000006</v>
      </c>
      <c r="CU38" s="18">
        <f>CT38*VLOOKUP('Données projet'!$B$13,Paramètres!$A$1:$I$89,3,0)*VLOOKUP('Données projet'!$B$13,Paramètres!$A$1:$I$89,5,0)</f>
        <v>154.12800000000007</v>
      </c>
      <c r="CV38" s="14">
        <f t="shared" si="41"/>
        <v>39.51520107536119</v>
      </c>
      <c r="CW38" s="22">
        <f t="shared" si="13"/>
        <v>337.26190853958752</v>
      </c>
      <c r="CX38" s="62">
        <f t="shared" si="14"/>
        <v>603.31938433871233</v>
      </c>
      <c r="CY38" s="62">
        <f ca="1">AVERAGE(OFFSET($CX$3,0,0,'Données projet'!$E$13+1,1))-AVERAGE(OFFSET($H$3,0,0,'Données projet'!$E$13+1,1))</f>
        <v>265.25572936607409</v>
      </c>
      <c r="CZ38" s="62">
        <f t="shared" si="42"/>
        <v>307.96244316129071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76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62.561129763397659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159.61538461538461</v>
      </c>
      <c r="DM38" s="13">
        <f>VLOOKUP(A38,'Données projet'!$A$165:$I$185,9,0)</f>
        <v>7.1794871794871797</v>
      </c>
      <c r="DN38" s="13">
        <f t="array" ref="DN38">INDEX(DM:DM,MIN(IF(ISNUMBER(DM38:DM234),ROW(DM38:DM234),"")))</f>
        <v>7.1794871794871797</v>
      </c>
      <c r="DO38" s="13">
        <f>IF('Données projet'!$A$166&gt;35,DO37+DN38-DW37,IF(A38&lt;'Données projet'!$A$166,$DL$205^A38,IF(A38='Données projet'!$A$166,'Données projet'!$B$166,DO37+DN38-DW37)))</f>
        <v>159.61538461538461</v>
      </c>
      <c r="DP38" s="18">
        <f>DO38*VLOOKUP('Données projet'!$B$14,Paramètres!$A$1:$I$89,3,0)*VLOOKUP('Données projet'!$B$14,Paramètres!$A$1:$I$89,5,0)</f>
        <v>151.89000000000001</v>
      </c>
      <c r="DQ38" s="14">
        <f t="shared" si="43"/>
        <v>39.007781402191782</v>
      </c>
      <c r="DR38" s="22">
        <f t="shared" si="16"/>
        <v>332.48030260881734</v>
      </c>
      <c r="DS38" s="62">
        <f t="shared" si="17"/>
        <v>598.53777840794214</v>
      </c>
      <c r="DT38" s="62">
        <f ca="1">AVERAGE(OFFSET($DS$3,0,0,'Données projet'!$E$14+1,1))-AVERAGE(OFFSET($H$3,0,0,'Données projet'!$E$14+1,1))</f>
        <v>425.41154182732936</v>
      </c>
      <c r="DU38" s="62">
        <f t="shared" si="44"/>
        <v>306.44721925744591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33.333333333333336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62.561129763397659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206.4</v>
      </c>
      <c r="EH38" s="13">
        <f>VLOOKUP(A38,'Données projet'!$A$191:$I$211,9,0)</f>
        <v>12.919999999999998</v>
      </c>
      <c r="EI38" s="13">
        <f t="array" ref="EI38">INDEX(EH:EH,MIN(IF(ISNUMBER(EH38:EH234),ROW(EH38:EH234),"")))</f>
        <v>12.919999999999998</v>
      </c>
      <c r="EJ38" s="13">
        <f>IF('Données projet'!$A$192&gt;35,EJ37+EI38-ER37,IF(A38&lt;'Données projet'!$A$192,$EG$205^A38,IF(A38='Données projet'!$A$192,'Données projet'!$B$192,EJ37+EI38-ER37)))</f>
        <v>206.39999999999989</v>
      </c>
      <c r="EK38" s="18">
        <f>EJ38*VLOOKUP('Données projet'!$B$15,Paramètres!$A$1:$I$89,3,0)*VLOOKUP('Données projet'!$B$15,Paramètres!$A$1:$I$89,5,0)</f>
        <v>151.33247999999992</v>
      </c>
      <c r="EL38" s="14">
        <f t="shared" si="45"/>
        <v>38.881240443489794</v>
      </c>
      <c r="EM38" s="22">
        <f t="shared" si="19"/>
        <v>331.28889643907786</v>
      </c>
      <c r="EN38" s="62">
        <f t="shared" si="20"/>
        <v>597.34637223820255</v>
      </c>
      <c r="EO38" s="62">
        <f ca="1">AVERAGE(OFFSET($EN$3,0,0,'Données projet'!$E$15+1,1))-AVERAGE(OFFSET($H$3,0,0,'Données projet'!$E$15+1,1))</f>
        <v>357.57626046668958</v>
      </c>
      <c r="EP38" s="62">
        <f t="shared" si="46"/>
        <v>386.90439522046199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62.561129763397659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11.5</v>
      </c>
      <c r="FE38" s="13">
        <f>IF('Données projet'!$A$218&gt;35,FE37+FD38-FM37,IF(A38&lt;'Données projet'!$A$218,$FB$205^A38,IF(A38='Données projet'!$A$218,'Données projet'!$B$218,FE37+FD38-FM37)))</f>
        <v>164.99999999999997</v>
      </c>
      <c r="FF38" s="18">
        <f>FE38*VLOOKUP('Données projet'!$B$16,Paramètres!$A$1:$I$89,3,0)*VLOOKUP('Données projet'!$B$16,Paramètres!$A$1:$I$89,5,0)</f>
        <v>128.69999999999999</v>
      </c>
      <c r="FG38" s="14">
        <f t="shared" si="47"/>
        <v>33.695792019186115</v>
      </c>
      <c r="FH38" s="22">
        <f t="shared" si="22"/>
        <v>282.83933776674911</v>
      </c>
      <c r="FI38" s="62">
        <f t="shared" si="23"/>
        <v>548.8968135658738</v>
      </c>
      <c r="FJ38" s="62">
        <f ca="1">AVERAGE(OFFSET($FI$3,0,0,'Données projet'!$E$16+1,1))-AVERAGE(OFFSET($H$3,0,0,'Données projet'!$E$16+1,1))</f>
        <v>303.56663121833833</v>
      </c>
      <c r="FK38" s="62">
        <f t="shared" si="48"/>
        <v>293.97736357938038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62.561129763397659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206.4</v>
      </c>
      <c r="FX38" s="13">
        <f>VLOOKUP(A38,'Données projet'!$A$243:$I$263,9,0)</f>
        <v>12.919999999999998</v>
      </c>
      <c r="FY38" s="13">
        <f t="array" ref="FY38">INDEX(FX:FX,MIN(IF(ISNUMBER(FX38:FX234),ROW(FX38:FX234),"")))</f>
        <v>12.919999999999998</v>
      </c>
      <c r="FZ38" s="13">
        <f>IF('Données projet'!$A$244&gt;35,FZ37+FY38-GH37,IF(A38&lt;'Données projet'!$A$244,$FW$205^A38,IF(A38='Données projet'!$A$244,'Données projet'!$B$244,FZ37+FY38-GH37)))</f>
        <v>206.39999999999989</v>
      </c>
      <c r="GA38" s="18">
        <f>FZ38*VLOOKUP('Données projet'!$B$17,Paramètres!$A$1:$I$89,3,0)*VLOOKUP('Données projet'!$B$17,Paramètres!$A$1:$I$89,5,0)</f>
        <v>164.21183999999994</v>
      </c>
      <c r="GB38" s="14">
        <f t="shared" si="49"/>
        <v>41.79106629541738</v>
      </c>
      <c r="GC38" s="22">
        <f t="shared" si="25"/>
        <v>358.78839513118515</v>
      </c>
      <c r="GD38" s="62">
        <f t="shared" si="26"/>
        <v>624.84587093030996</v>
      </c>
      <c r="GE38" s="62">
        <f ca="1">AVERAGE(OFFSET($GD$3,0,0,'Données projet'!$E$17+1,1))-AVERAGE(OFFSET($H$3,0,0,'Données projet'!$E$17+1,1))</f>
        <v>383.71724511025587</v>
      </c>
      <c r="GF38" s="62">
        <f t="shared" si="50"/>
        <v>415.10774719533185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62.561129763397659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155.12820512820511</v>
      </c>
      <c r="GS38" s="13">
        <f>VLOOKUP(A38,'Données projet'!$A$269:$I$289,9,0)</f>
        <v>7.6923076923076881</v>
      </c>
      <c r="GT38" s="13">
        <f t="array" ref="GT38">INDEX(GS:GS,MIN(IF(ISNUMBER(GS38:GS234),ROW(GS38:GS234),"")))</f>
        <v>7.6923076923076881</v>
      </c>
      <c r="GU38" s="13">
        <f>IF('Données projet'!$A$270&gt;35,GU37+GT38-HC37,IF(A38&lt;'Données projet'!$A$270,$GR$205^A38,IF(A38='Données projet'!$A$270,'Données projet'!$B$270,GU37+GT38-HC37)))</f>
        <v>155.12820512820514</v>
      </c>
      <c r="GV38" s="18">
        <f>GU38*VLOOKUP('Données projet'!$B$18,Paramètres!$A$1:$I$89,3,0)*VLOOKUP('Données projet'!$B$18,Paramètres!$A$1:$I$89,5,0)</f>
        <v>104.06</v>
      </c>
      <c r="GW38" s="14">
        <f t="shared" si="51"/>
        <v>27.926984861261673</v>
      </c>
      <c r="GX38" s="22">
        <f t="shared" si="28"/>
        <v>229.8773319666974</v>
      </c>
      <c r="GY38" s="62">
        <f t="shared" si="29"/>
        <v>495.93480776582214</v>
      </c>
      <c r="GZ38" s="62">
        <f ca="1">AVERAGE(OFFSET($GY$3,0,0,'Données projet'!$E$18+1,1))-AVERAGE(OFFSET($H$3,0,0,'Données projet'!$E$18+1,1))</f>
        <v>329.93956600482801</v>
      </c>
      <c r="HA38" s="62">
        <f t="shared" si="52"/>
        <v>268.69186630599165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2.7450000000000001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10.065</v>
      </c>
      <c r="H39" s="70">
        <f t="shared" si="1"/>
        <v>216.40666666666667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62.690177531180339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525.98229910563123</v>
      </c>
      <c r="S39" s="62">
        <f ca="1">AVERAGE(OFFSET($R$3,0,0,'Données projet'!$E$9+1,1))-AVERAGE(OFFSET($H$3,0,0,'Données projet'!$E$9+1,1))</f>
        <v>551.67307965706379</v>
      </c>
      <c r="T39" s="62">
        <f t="shared" si="34"/>
        <v>288.70738860523943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62.690177531180339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130.20000000000007</v>
      </c>
      <c r="AJ39" s="14">
        <f>AI39*VLOOKUP('Données projet'!$B$10,Paramètres!$A$1:$I$89,3,0)*VLOOKUP('Données projet'!$B$10,Paramètres!$A$1:$I$89,5,0)</f>
        <v>109.68048000000009</v>
      </c>
      <c r="AK39" s="14">
        <f t="shared" si="35"/>
        <v>29.255690427909659</v>
      </c>
      <c r="AL39" s="22">
        <f t="shared" si="4"/>
        <v>241.98049682860949</v>
      </c>
      <c r="AM39" s="62">
        <f t="shared" si="5"/>
        <v>508.51114777627072</v>
      </c>
      <c r="AN39" s="62">
        <f ca="1">AVERAGE(OFFSET($AM$3,0,0,'Données projet'!$E$10+1,1))-AVERAGE(OFFSET($H$3,0,0,'Données projet'!$E$10+1,1))</f>
        <v>518.18933270904506</v>
      </c>
      <c r="AO39" s="62">
        <f t="shared" si="36"/>
        <v>272.44431899810411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62.690177531180339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174</v>
      </c>
      <c r="BB39" s="13">
        <f>VLOOKUP(A39,'Données projet'!$A$87:$I$107,9,0)</f>
        <v>14.166666666666666</v>
      </c>
      <c r="BC39" s="13">
        <f t="array" ref="BC39">INDEX(BB:BB,MIN(IF(ISNUMBER(BB39:BB235),ROW(BB39:BB235),"")))</f>
        <v>14.166666666666666</v>
      </c>
      <c r="BD39" s="13">
        <f>IF('Données projet'!$A$88&gt;35,BD38+BC39-BL38,IF(A39&lt;'Données projet'!$A$88,$BA$205^A39,IF(A39='Données projet'!$A$88,'Données projet'!$B$88,BD38+BC39-BL38)))</f>
        <v>173.99999999999997</v>
      </c>
      <c r="BE39" s="14">
        <f>BD39*VLOOKUP('Données projet'!$B$11,Paramètres!$A$1:$I$89,3,0)*VLOOKUP('Données projet'!$B$11,Paramètres!$A$1:$I$89,5,0)</f>
        <v>149.29199999999997</v>
      </c>
      <c r="BF39" s="14">
        <f t="shared" si="37"/>
        <v>38.417645803815411</v>
      </c>
      <c r="BG39" s="22">
        <f t="shared" si="7"/>
        <v>326.9276331083118</v>
      </c>
      <c r="BH39" s="62">
        <f t="shared" si="8"/>
        <v>593.45828405597308</v>
      </c>
      <c r="BI39" s="62">
        <f ca="1">AVERAGE(OFFSET($BH$3,0,0,'Données projet'!$E$11+1,1))-AVERAGE(OFFSET($H$3,0,0,'Données projet'!$E$11+1,1))</f>
        <v>464.73160475167867</v>
      </c>
      <c r="BJ39" s="62">
        <f t="shared" si="38"/>
        <v>241.31968359962227</v>
      </c>
      <c r="BK39" s="16">
        <f>IF(ISNA(VLOOKUP(A39,'Données projet'!$A$87:$I$107,3,0)),0,VLOOKUP(A39,'Données projet'!$A$87:$I$107,3,0))</f>
        <v>3</v>
      </c>
      <c r="BL39" s="16">
        <f>IF(ISNA(VLOOKUP(A39,'Données projet'!$A$87:$I$107,4,0)),0,VLOOKUP(A39,'Données projet'!$A$87:$I$107,4,0))</f>
        <v>60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62.690177531180339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7.8</v>
      </c>
      <c r="BY39" s="13">
        <f>IF('Données projet'!$A$114&gt;35,BY38+BX39-CG38,IF(A39&lt;'Données projet'!$A$114,$BV$205^A39,IF(A39='Données projet'!$A$114,'Données projet'!$B$114,BY38+BX39-CG38)))</f>
        <v>163.80000000000001</v>
      </c>
      <c r="BZ39" s="14">
        <f>BY39*VLOOKUP('Données projet'!$B$12,Paramètres!$A$1:$I$89,3,0)*VLOOKUP('Données projet'!$B$12,Paramètres!$A$1:$I$89,5,0)</f>
        <v>107.32176000000001</v>
      </c>
      <c r="CA39" s="14">
        <f t="shared" si="39"/>
        <v>28.699067963776873</v>
      </c>
      <c r="CB39" s="22">
        <f t="shared" si="10"/>
        <v>236.90294203691141</v>
      </c>
      <c r="CC39" s="62">
        <f t="shared" si="11"/>
        <v>503.43359298457267</v>
      </c>
      <c r="CD39" s="62">
        <f ca="1">AVERAGE(OFFSET($CC$3,0,0,'Données projet'!$E$12+1,1))-AVERAGE(OFFSET($H$3,0,0,'Données projet'!$E$12+1,1))</f>
        <v>292.13851489852607</v>
      </c>
      <c r="CE39" s="62">
        <f t="shared" si="40"/>
        <v>280.10866188737418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62.690177531180339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7.6</v>
      </c>
      <c r="CT39" s="13">
        <f>IF('Données projet'!$A$140&gt;35,CT38+CS39-DB38,IF(A39&lt;'Données projet'!$A$140,$CQ$205^A39,IF(A39='Données projet'!$A$140,'Données projet'!$B$140,CT38+CS39-DB38)))</f>
        <v>121.60000000000005</v>
      </c>
      <c r="CU39" s="18">
        <f>CT39*VLOOKUP('Données projet'!$B$13,Paramètres!$A$1:$I$89,3,0)*VLOOKUP('Données projet'!$B$13,Paramètres!$A$1:$I$89,5,0)</f>
        <v>98.641920000000042</v>
      </c>
      <c r="CV39" s="14">
        <f t="shared" si="41"/>
        <v>26.638196684151392</v>
      </c>
      <c r="CW39" s="22">
        <f t="shared" si="13"/>
        <v>218.19620322489709</v>
      </c>
      <c r="CX39" s="62">
        <f t="shared" si="14"/>
        <v>484.72685417255832</v>
      </c>
      <c r="CY39" s="62">
        <f ca="1">AVERAGE(OFFSET($CX$3,0,0,'Données projet'!$E$13+1,1))-AVERAGE(OFFSET($H$3,0,0,'Données projet'!$E$13+1,1))</f>
        <v>265.25572936607409</v>
      </c>
      <c r="CZ39" s="62">
        <f t="shared" si="42"/>
        <v>307.96244316129071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62.690177531180339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6.7948717948717956</v>
      </c>
      <c r="DO39" s="13">
        <f>IF('Données projet'!$A$166&gt;35,DO38+DN39-DW38,IF(A39&lt;'Données projet'!$A$166,$DL$205^A39,IF(A39='Données projet'!$A$166,'Données projet'!$B$166,DO38+DN39-DW38)))</f>
        <v>133.07692307692307</v>
      </c>
      <c r="DP39" s="18">
        <f>DO39*VLOOKUP('Données projet'!$B$14,Paramètres!$A$1:$I$89,3,0)*VLOOKUP('Données projet'!$B$14,Paramètres!$A$1:$I$89,5,0)</f>
        <v>126.636</v>
      </c>
      <c r="DQ39" s="14">
        <f t="shared" si="43"/>
        <v>33.217855596652925</v>
      </c>
      <c r="DR39" s="22">
        <f t="shared" si="16"/>
        <v>278.41213183083715</v>
      </c>
      <c r="DS39" s="62">
        <f t="shared" si="17"/>
        <v>544.94278277849844</v>
      </c>
      <c r="DT39" s="62">
        <f ca="1">AVERAGE(OFFSET($DS$3,0,0,'Données projet'!$E$14+1,1))-AVERAGE(OFFSET($H$3,0,0,'Données projet'!$E$14+1,1))</f>
        <v>425.41154182732936</v>
      </c>
      <c r="DU39" s="62">
        <f t="shared" si="44"/>
        <v>306.44721925744591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62.690177531180339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11.340000000000003</v>
      </c>
      <c r="EJ39" s="13">
        <f>IF('Données projet'!$A$192&gt;35,EJ38+EI39-ER38,IF(A39&lt;'Données projet'!$A$192,$EG$205^A39,IF(A39='Données projet'!$A$192,'Données projet'!$B$192,EJ38+EI39-ER38)))</f>
        <v>217.7399999999999</v>
      </c>
      <c r="EK39" s="18">
        <f>EJ39*VLOOKUP('Données projet'!$B$15,Paramètres!$A$1:$I$89,3,0)*VLOOKUP('Données projet'!$B$15,Paramètres!$A$1:$I$89,5,0)</f>
        <v>159.64696799999993</v>
      </c>
      <c r="EL39" s="14">
        <f t="shared" si="45"/>
        <v>40.762877819882384</v>
      </c>
      <c r="EM39" s="22">
        <f t="shared" si="19"/>
        <v>349.04714813629499</v>
      </c>
      <c r="EN39" s="62">
        <f t="shared" si="20"/>
        <v>615.57779908395628</v>
      </c>
      <c r="EO39" s="62">
        <f ca="1">AVERAGE(OFFSET($EN$3,0,0,'Données projet'!$E$15+1,1))-AVERAGE(OFFSET($H$3,0,0,'Données projet'!$E$15+1,1))</f>
        <v>357.57626046668958</v>
      </c>
      <c r="EP39" s="62">
        <f t="shared" si="46"/>
        <v>386.90439522046199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62.690177531180339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11.5</v>
      </c>
      <c r="FE39" s="13">
        <f>IF('Données projet'!$A$218&gt;35,FE38+FD39-FM38,IF(A39&lt;'Données projet'!$A$218,$FB$205^A39,IF(A39='Données projet'!$A$218,'Données projet'!$B$218,FE38+FD39-FM38)))</f>
        <v>176.49999999999997</v>
      </c>
      <c r="FF39" s="18">
        <f>FE39*VLOOKUP('Données projet'!$B$16,Paramètres!$A$1:$I$89,3,0)*VLOOKUP('Données projet'!$B$16,Paramètres!$A$1:$I$89,5,0)</f>
        <v>137.66999999999999</v>
      </c>
      <c r="FG39" s="14">
        <f t="shared" si="47"/>
        <v>35.762714965854656</v>
      </c>
      <c r="FH39" s="22">
        <f t="shared" si="22"/>
        <v>302.06197856553018</v>
      </c>
      <c r="FI39" s="62">
        <f t="shared" si="23"/>
        <v>568.59262951319147</v>
      </c>
      <c r="FJ39" s="62">
        <f ca="1">AVERAGE(OFFSET($FI$3,0,0,'Données projet'!$E$16+1,1))-AVERAGE(OFFSET($H$3,0,0,'Données projet'!$E$16+1,1))</f>
        <v>303.56663121833833</v>
      </c>
      <c r="FK39" s="62">
        <f t="shared" si="48"/>
        <v>293.97736357938038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62.690177531180339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11.340000000000003</v>
      </c>
      <c r="FZ39" s="13">
        <f>IF('Données projet'!$A$244&gt;35,FZ38+FY39-GH38,IF(A39&lt;'Données projet'!$A$244,$FW$205^A39,IF(A39='Données projet'!$A$244,'Données projet'!$B$244,FZ38+FY39-GH38)))</f>
        <v>217.7399999999999</v>
      </c>
      <c r="GA39" s="18">
        <f>FZ39*VLOOKUP('Données projet'!$B$17,Paramètres!$A$1:$I$89,3,0)*VLOOKUP('Données projet'!$B$17,Paramètres!$A$1:$I$89,5,0)</f>
        <v>173.23394399999992</v>
      </c>
      <c r="GB39" s="14">
        <f t="shared" si="49"/>
        <v>43.813523178063591</v>
      </c>
      <c r="GC39" s="22">
        <f t="shared" si="25"/>
        <v>378.02433866846064</v>
      </c>
      <c r="GD39" s="62">
        <f t="shared" si="26"/>
        <v>644.55498961612193</v>
      </c>
      <c r="GE39" s="62">
        <f ca="1">AVERAGE(OFFSET($GD$3,0,0,'Données projet'!$E$17+1,1))-AVERAGE(OFFSET($H$3,0,0,'Données projet'!$E$17+1,1))</f>
        <v>383.71724511025587</v>
      </c>
      <c r="GF39" s="62">
        <f t="shared" si="50"/>
        <v>415.10774719533185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62.690177531180339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7.1794871794871824</v>
      </c>
      <c r="GU39" s="13">
        <f>IF('Données projet'!$A$270&gt;35,GU38+GT39-HC38,IF(A39&lt;'Données projet'!$A$270,$GR$205^A39,IF(A39='Données projet'!$A$270,'Données projet'!$B$270,GU38+GT39-HC38)))</f>
        <v>162.30769230769232</v>
      </c>
      <c r="GV39" s="18">
        <f>GU39*VLOOKUP('Données projet'!$B$18,Paramètres!$A$1:$I$89,3,0)*VLOOKUP('Données projet'!$B$18,Paramètres!$A$1:$I$89,5,0)</f>
        <v>108.87600000000002</v>
      </c>
      <c r="GW39" s="14">
        <f t="shared" si="51"/>
        <v>29.066003313709242</v>
      </c>
      <c r="GX39" s="22">
        <f t="shared" si="28"/>
        <v>240.24898910471029</v>
      </c>
      <c r="GY39" s="62">
        <f t="shared" si="29"/>
        <v>506.77964005237152</v>
      </c>
      <c r="GZ39" s="62">
        <f ca="1">AVERAGE(OFFSET($GY$3,0,0,'Données projet'!$E$18+1,1))-AVERAGE(OFFSET($H$3,0,0,'Données projet'!$E$18+1,1))</f>
        <v>329.93956600482801</v>
      </c>
      <c r="HA39" s="62">
        <f t="shared" si="52"/>
        <v>268.69186630599165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2.7450000000000001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10.065</v>
      </c>
      <c r="H40" s="70">
        <f t="shared" si="1"/>
        <v>216.40666666666667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62.81698660869958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548.20221923952386</v>
      </c>
      <c r="S40" s="62">
        <f ca="1">AVERAGE(OFFSET($R$3,0,0,'Données projet'!$E$9+1,1))-AVERAGE(OFFSET($H$3,0,0,'Données projet'!$E$9+1,1))</f>
        <v>551.67307965706379</v>
      </c>
      <c r="T40" s="62">
        <f t="shared" si="34"/>
        <v>288.70738860523943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62.81698660869958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141.40000000000006</v>
      </c>
      <c r="AJ40" s="14">
        <f>AI40*VLOOKUP('Données projet'!$B$10,Paramètres!$A$1:$I$89,3,0)*VLOOKUP('Données projet'!$B$10,Paramètres!$A$1:$I$89,5,0)</f>
        <v>119.11536000000007</v>
      </c>
      <c r="AK40" s="14">
        <f t="shared" si="35"/>
        <v>31.468582772748093</v>
      </c>
      <c r="AL40" s="22">
        <f t="shared" si="4"/>
        <v>262.26703366253639</v>
      </c>
      <c r="AM40" s="62">
        <f t="shared" si="5"/>
        <v>529.26265122776817</v>
      </c>
      <c r="AN40" s="62">
        <f ca="1">AVERAGE(OFFSET($AM$3,0,0,'Données projet'!$E$10+1,1))-AVERAGE(OFFSET($H$3,0,0,'Données projet'!$E$10+1,1))</f>
        <v>518.18933270904506</v>
      </c>
      <c r="AO40" s="62">
        <f t="shared" si="36"/>
        <v>272.44431899810411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62.81698660869958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15.166666666666666</v>
      </c>
      <c r="BD40" s="13">
        <f>IF('Données projet'!$A$88&gt;35,BD39+BC40-BL39,IF(A40&lt;'Données projet'!$A$88,$BA$205^A40,IF(A40='Données projet'!$A$88,'Données projet'!$B$88,BD39+BC40-BL39)))</f>
        <v>129.16666666666663</v>
      </c>
      <c r="BE40" s="14">
        <f>BD40*VLOOKUP('Données projet'!$B$11,Paramètres!$A$1:$I$89,3,0)*VLOOKUP('Données projet'!$B$11,Paramètres!$A$1:$I$89,5,0)</f>
        <v>110.82499999999999</v>
      </c>
      <c r="BF40" s="14">
        <f t="shared" si="37"/>
        <v>29.525276397875576</v>
      </c>
      <c r="BG40" s="22">
        <f t="shared" si="7"/>
        <v>244.44339805963327</v>
      </c>
      <c r="BH40" s="62">
        <f t="shared" si="8"/>
        <v>511.43901562486508</v>
      </c>
      <c r="BI40" s="62">
        <f ca="1">AVERAGE(OFFSET($BH$3,0,0,'Données projet'!$E$11+1,1))-AVERAGE(OFFSET($H$3,0,0,'Données projet'!$E$11+1,1))</f>
        <v>464.73160475167867</v>
      </c>
      <c r="BJ40" s="62">
        <f t="shared" si="38"/>
        <v>241.31968359962227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62.81698660869958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7.8</v>
      </c>
      <c r="BY40" s="13">
        <f>IF('Données projet'!$A$114&gt;35,BY39+BX40-CG39,IF(A40&lt;'Données projet'!$A$114,$BV$205^A40,IF(A40='Données projet'!$A$114,'Données projet'!$B$114,BY39+BX40-CG39)))</f>
        <v>171.60000000000002</v>
      </c>
      <c r="BZ40" s="14">
        <f>BY40*VLOOKUP('Données projet'!$B$12,Paramètres!$A$1:$I$89,3,0)*VLOOKUP('Données projet'!$B$12,Paramètres!$A$1:$I$89,5,0)</f>
        <v>112.43232</v>
      </c>
      <c r="CA40" s="14">
        <f t="shared" si="39"/>
        <v>29.903326635598326</v>
      </c>
      <c r="CB40" s="22">
        <f t="shared" si="10"/>
        <v>247.90125122366706</v>
      </c>
      <c r="CC40" s="62">
        <f t="shared" si="11"/>
        <v>514.89686878889881</v>
      </c>
      <c r="CD40" s="62">
        <f ca="1">AVERAGE(OFFSET($CC$3,0,0,'Données projet'!$E$12+1,1))-AVERAGE(OFFSET($H$3,0,0,'Données projet'!$E$12+1,1))</f>
        <v>292.13851489852607</v>
      </c>
      <c r="CE40" s="62">
        <f t="shared" si="40"/>
        <v>280.10866188737418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62.81698660869958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7.6</v>
      </c>
      <c r="CT40" s="13">
        <f>IF('Données projet'!$A$140&gt;35,CT39+CS40-DB39,IF(A40&lt;'Données projet'!$A$140,$CQ$205^A40,IF(A40='Données projet'!$A$140,'Données projet'!$B$140,CT39+CS40-DB39)))</f>
        <v>129.20000000000005</v>
      </c>
      <c r="CU40" s="18">
        <f>CT40*VLOOKUP('Données projet'!$B$13,Paramètres!$A$1:$I$89,3,0)*VLOOKUP('Données projet'!$B$13,Paramètres!$A$1:$I$89,5,0)</f>
        <v>104.80704000000004</v>
      </c>
      <c r="CV40" s="14">
        <f t="shared" si="41"/>
        <v>28.104060486002457</v>
      </c>
      <c r="CW40" s="22">
        <f t="shared" si="13"/>
        <v>231.48683334645435</v>
      </c>
      <c r="CX40" s="62">
        <f t="shared" si="14"/>
        <v>498.4824509116861</v>
      </c>
      <c r="CY40" s="62">
        <f ca="1">AVERAGE(OFFSET($CX$3,0,0,'Données projet'!$E$13+1,1))-AVERAGE(OFFSET($H$3,0,0,'Données projet'!$E$13+1,1))</f>
        <v>265.25572936607409</v>
      </c>
      <c r="CZ40" s="62">
        <f t="shared" si="42"/>
        <v>307.96244316129071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62.81698660869958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6.7948717948717956</v>
      </c>
      <c r="DO40" s="13">
        <f>IF('Données projet'!$A$166&gt;35,DO39+DN40-DW39,IF(A40&lt;'Données projet'!$A$166,$DL$205^A40,IF(A40='Données projet'!$A$166,'Données projet'!$B$166,DO39+DN40-DW39)))</f>
        <v>139.87179487179486</v>
      </c>
      <c r="DP40" s="18">
        <f>DO40*VLOOKUP('Données projet'!$B$14,Paramètres!$A$1:$I$89,3,0)*VLOOKUP('Données projet'!$B$14,Paramètres!$A$1:$I$89,5,0)</f>
        <v>133.102</v>
      </c>
      <c r="DQ40" s="14">
        <f t="shared" si="43"/>
        <v>34.712153760745615</v>
      </c>
      <c r="DR40" s="22">
        <f t="shared" si="16"/>
        <v>292.27631779996528</v>
      </c>
      <c r="DS40" s="62">
        <f t="shared" si="17"/>
        <v>559.27193536519712</v>
      </c>
      <c r="DT40" s="62">
        <f ca="1">AVERAGE(OFFSET($DS$3,0,0,'Données projet'!$E$14+1,1))-AVERAGE(OFFSET($H$3,0,0,'Données projet'!$E$14+1,1))</f>
        <v>425.41154182732936</v>
      </c>
      <c r="DU40" s="62">
        <f t="shared" si="44"/>
        <v>306.44721925744591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62.81698660869958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11.340000000000003</v>
      </c>
      <c r="EJ40" s="13">
        <f>IF('Données projet'!$A$192&gt;35,EJ39+EI40-ER39,IF(A40&lt;'Données projet'!$A$192,$EG$205^A40,IF(A40='Données projet'!$A$192,'Données projet'!$B$192,EJ39+EI40-ER39)))</f>
        <v>229.0799999999999</v>
      </c>
      <c r="EK40" s="18">
        <f>EJ40*VLOOKUP('Données projet'!$B$15,Paramètres!$A$1:$I$89,3,0)*VLOOKUP('Données projet'!$B$15,Paramètres!$A$1:$I$89,5,0)</f>
        <v>167.96145599999994</v>
      </c>
      <c r="EL40" s="14">
        <f t="shared" si="45"/>
        <v>42.633137473671702</v>
      </c>
      <c r="EM40" s="22">
        <f t="shared" si="19"/>
        <v>366.78558363331143</v>
      </c>
      <c r="EN40" s="62">
        <f t="shared" si="20"/>
        <v>633.78120119854316</v>
      </c>
      <c r="EO40" s="62">
        <f ca="1">AVERAGE(OFFSET($EN$3,0,0,'Données projet'!$E$15+1,1))-AVERAGE(OFFSET($H$3,0,0,'Données projet'!$E$15+1,1))</f>
        <v>357.57626046668958</v>
      </c>
      <c r="EP40" s="62">
        <f t="shared" si="46"/>
        <v>386.90439522046199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62.81698660869958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>
        <f>VLOOKUP(A40,'Données projet'!$A$217:$I$237,2,0)</f>
        <v>188</v>
      </c>
      <c r="FC40" s="13">
        <f>VLOOKUP(A40,'Données projet'!$A$217:$I$237,9,0)</f>
        <v>11.5</v>
      </c>
      <c r="FD40" s="13">
        <f t="array" ref="FD40">INDEX(FC:FC,MIN(IF(ISNUMBER(FC40:FC236),ROW(FC40:FC236),"")))</f>
        <v>11.5</v>
      </c>
      <c r="FE40" s="13">
        <f>IF('Données projet'!$A$218&gt;35,FE39+FD40-FM39,IF(A40&lt;'Données projet'!$A$218,$FB$205^A40,IF(A40='Données projet'!$A$218,'Données projet'!$B$218,FE39+FD40-FM39)))</f>
        <v>187.99999999999997</v>
      </c>
      <c r="FF40" s="18">
        <f>FE40*VLOOKUP('Données projet'!$B$16,Paramètres!$A$1:$I$89,3,0)*VLOOKUP('Données projet'!$B$16,Paramètres!$A$1:$I$89,5,0)</f>
        <v>146.63999999999999</v>
      </c>
      <c r="FG40" s="14">
        <f t="shared" si="47"/>
        <v>37.814009712703026</v>
      </c>
      <c r="FH40" s="22">
        <f t="shared" si="22"/>
        <v>321.25740024962437</v>
      </c>
      <c r="FI40" s="62">
        <f t="shared" si="23"/>
        <v>588.25301781485609</v>
      </c>
      <c r="FJ40" s="62">
        <f ca="1">AVERAGE(OFFSET($FI$3,0,0,'Données projet'!$E$16+1,1))-AVERAGE(OFFSET($H$3,0,0,'Données projet'!$E$16+1,1))</f>
        <v>303.56663121833833</v>
      </c>
      <c r="FK40" s="62">
        <f t="shared" si="48"/>
        <v>293.97736357938038</v>
      </c>
      <c r="FL40" s="16">
        <f>IF(ISNA(VLOOKUP(A40,'Données projet'!$A$217:$I$237,3,0)),0,VLOOKUP(A40,'Données projet'!$A$217:$I$237,3,0))</f>
        <v>3</v>
      </c>
      <c r="FM40" s="16">
        <f>IF(ISNA(VLOOKUP(A40,'Données projet'!$A$217:$I$237,4,0)),0,VLOOKUP(A40,'Données projet'!$A$217:$I$237,4,0))</f>
        <v>36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62.81698660869958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11.340000000000003</v>
      </c>
      <c r="FZ40" s="13">
        <f>IF('Données projet'!$A$244&gt;35,FZ39+FY40-GH39,IF(A40&lt;'Données projet'!$A$244,$FW$205^A40,IF(A40='Données projet'!$A$244,'Données projet'!$B$244,FZ39+FY40-GH39)))</f>
        <v>229.0799999999999</v>
      </c>
      <c r="GA40" s="18">
        <f>FZ40*VLOOKUP('Données projet'!$B$17,Paramètres!$A$1:$I$89,3,0)*VLOOKUP('Données projet'!$B$17,Paramètres!$A$1:$I$89,5,0)</f>
        <v>182.25604799999994</v>
      </c>
      <c r="GB40" s="14">
        <f t="shared" si="49"/>
        <v>45.823750842861273</v>
      </c>
      <c r="GC40" s="22">
        <f t="shared" si="25"/>
        <v>397.23898298464991</v>
      </c>
      <c r="GD40" s="62">
        <f t="shared" si="26"/>
        <v>664.23460054988163</v>
      </c>
      <c r="GE40" s="62">
        <f ca="1">AVERAGE(OFFSET($GD$3,0,0,'Données projet'!$E$17+1,1))-AVERAGE(OFFSET($H$3,0,0,'Données projet'!$E$17+1,1))</f>
        <v>383.71724511025587</v>
      </c>
      <c r="GF40" s="62">
        <f t="shared" si="50"/>
        <v>415.10774719533185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62.81698660869958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7.1794871794871824</v>
      </c>
      <c r="GU40" s="13">
        <f>IF('Données projet'!$A$270&gt;35,GU39+GT40-HC39,IF(A40&lt;'Données projet'!$A$270,$GR$205^A40,IF(A40='Données projet'!$A$270,'Données projet'!$B$270,GU39+GT40-HC39)))</f>
        <v>169.4871794871795</v>
      </c>
      <c r="GV40" s="18">
        <f>GU40*VLOOKUP('Données projet'!$B$18,Paramètres!$A$1:$I$89,3,0)*VLOOKUP('Données projet'!$B$18,Paramètres!$A$1:$I$89,5,0)</f>
        <v>113.69200000000001</v>
      </c>
      <c r="GW40" s="14">
        <f t="shared" si="51"/>
        <v>30.199170227619074</v>
      </c>
      <c r="GX40" s="22">
        <f t="shared" si="28"/>
        <v>250.61045481310325</v>
      </c>
      <c r="GY40" s="62">
        <f t="shared" si="29"/>
        <v>517.60607237833506</v>
      </c>
      <c r="GZ40" s="62">
        <f ca="1">AVERAGE(OFFSET($GY$3,0,0,'Données projet'!$E$18+1,1))-AVERAGE(OFFSET($H$3,0,0,'Données projet'!$E$18+1,1))</f>
        <v>329.93956600482801</v>
      </c>
      <c r="HA40" s="62">
        <f t="shared" si="52"/>
        <v>268.69186630599165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2.7450000000000001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10.065</v>
      </c>
      <c r="H41" s="70">
        <f t="shared" si="1"/>
        <v>216.40666666666667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62.941595832226483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2">
        <f t="shared" si="0"/>
        <v>570.37635533521882</v>
      </c>
      <c r="S41" s="62">
        <f ca="1">AVERAGE(OFFSET($R$3,0,0,'Données projet'!$E$9+1,1))-AVERAGE(OFFSET($H$3,0,0,'Données projet'!$E$9+1,1))</f>
        <v>551.67307965706379</v>
      </c>
      <c r="T41" s="62">
        <f t="shared" si="34"/>
        <v>288.70738860523943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62.941595832226483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152.60000000000005</v>
      </c>
      <c r="AJ41" s="14">
        <f>AI41*VLOOKUP('Données projet'!$B$10,Paramètres!$A$1:$I$89,3,0)*VLOOKUP('Données projet'!$B$10,Paramètres!$A$1:$I$89,5,0)</f>
        <v>128.55024000000006</v>
      </c>
      <c r="AK41" s="14">
        <f t="shared" si="35"/>
        <v>33.661144026076698</v>
      </c>
      <c r="AL41" s="22">
        <f t="shared" si="4"/>
        <v>282.51816051208368</v>
      </c>
      <c r="AM41" s="62">
        <f t="shared" si="5"/>
        <v>549.9706785635808</v>
      </c>
      <c r="AN41" s="62">
        <f ca="1">AVERAGE(OFFSET($AM$3,0,0,'Données projet'!$E$10+1,1))-AVERAGE(OFFSET($H$3,0,0,'Données projet'!$E$10+1,1))</f>
        <v>518.18933270904506</v>
      </c>
      <c r="AO41" s="62">
        <f t="shared" si="36"/>
        <v>272.44431899810411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62.941595832226483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15.166666666666666</v>
      </c>
      <c r="BD41" s="13">
        <f>IF('Données projet'!$A$88&gt;35,BD40+BC41-BL40,IF(A41&lt;'Données projet'!$A$88,$BA$205^A41,IF(A41='Données projet'!$A$88,'Données projet'!$B$88,BD40+BC41-BL40)))</f>
        <v>144.33333333333329</v>
      </c>
      <c r="BE41" s="14">
        <f>BD41*VLOOKUP('Données projet'!$B$11,Paramètres!$A$1:$I$89,3,0)*VLOOKUP('Données projet'!$B$11,Paramètres!$A$1:$I$89,5,0)</f>
        <v>123.83799999999997</v>
      </c>
      <c r="BF41" s="14">
        <f t="shared" si="37"/>
        <v>32.568503009939569</v>
      </c>
      <c r="BG41" s="22">
        <f t="shared" si="7"/>
        <v>272.40799274231136</v>
      </c>
      <c r="BH41" s="62">
        <f t="shared" si="8"/>
        <v>539.86051079380843</v>
      </c>
      <c r="BI41" s="62">
        <f ca="1">AVERAGE(OFFSET($BH$3,0,0,'Données projet'!$E$11+1,1))-AVERAGE(OFFSET($H$3,0,0,'Données projet'!$E$11+1,1))</f>
        <v>464.73160475167867</v>
      </c>
      <c r="BJ41" s="62">
        <f t="shared" si="38"/>
        <v>241.31968359962227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62.941595832226483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7.8</v>
      </c>
      <c r="BY41" s="13">
        <f>IF('Données projet'!$A$114&gt;35,BY40+BX41-CG40,IF(A41&lt;'Données projet'!$A$114,$BV$205^A41,IF(A41='Données projet'!$A$114,'Données projet'!$B$114,BY40+BX41-CG40)))</f>
        <v>179.40000000000003</v>
      </c>
      <c r="BZ41" s="14">
        <f>BY41*VLOOKUP('Données projet'!$B$12,Paramètres!$A$1:$I$89,3,0)*VLOOKUP('Données projet'!$B$12,Paramètres!$A$1:$I$89,5,0)</f>
        <v>117.54288000000003</v>
      </c>
      <c r="CA41" s="14">
        <f t="shared" si="39"/>
        <v>31.101228198889224</v>
      </c>
      <c r="CB41" s="22">
        <f t="shared" si="10"/>
        <v>258.88848844639881</v>
      </c>
      <c r="CC41" s="62">
        <f t="shared" si="11"/>
        <v>526.34100649789593</v>
      </c>
      <c r="CD41" s="62">
        <f ca="1">AVERAGE(OFFSET($CC$3,0,0,'Données projet'!$E$12+1,1))-AVERAGE(OFFSET($H$3,0,0,'Données projet'!$E$12+1,1))</f>
        <v>292.13851489852607</v>
      </c>
      <c r="CE41" s="62">
        <f t="shared" si="40"/>
        <v>280.10866188737418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62.941595832226483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7.6</v>
      </c>
      <c r="CT41" s="13">
        <f>IF('Données projet'!$A$140&gt;35,CT40+CS41-DB40,IF(A41&lt;'Données projet'!$A$140,$CQ$205^A41,IF(A41='Données projet'!$A$140,'Données projet'!$B$140,CT40+CS41-DB40)))</f>
        <v>136.80000000000004</v>
      </c>
      <c r="CU41" s="18">
        <f>CT41*VLOOKUP('Données projet'!$B$13,Paramètres!$A$1:$I$89,3,0)*VLOOKUP('Données projet'!$B$13,Paramètres!$A$1:$I$89,5,0)</f>
        <v>110.97216000000004</v>
      </c>
      <c r="CV41" s="14">
        <f t="shared" si="41"/>
        <v>29.559915623187329</v>
      </c>
      <c r="CW41" s="22">
        <f t="shared" si="13"/>
        <v>244.76003171038471</v>
      </c>
      <c r="CX41" s="62">
        <f t="shared" si="14"/>
        <v>512.21254976188175</v>
      </c>
      <c r="CY41" s="62">
        <f ca="1">AVERAGE(OFFSET($CX$3,0,0,'Données projet'!$E$13+1,1))-AVERAGE(OFFSET($H$3,0,0,'Données projet'!$E$13+1,1))</f>
        <v>265.25572936607409</v>
      </c>
      <c r="CZ41" s="62">
        <f t="shared" si="42"/>
        <v>307.96244316129071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62.941595832226483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6.7948717948717956</v>
      </c>
      <c r="DO41" s="13">
        <f>IF('Données projet'!$A$166&gt;35,DO40+DN41-DW40,IF(A41&lt;'Données projet'!$A$166,$DL$205^A41,IF(A41='Données projet'!$A$166,'Données projet'!$B$166,DO40+DN41-DW40)))</f>
        <v>146.66666666666666</v>
      </c>
      <c r="DP41" s="18">
        <f>DO41*VLOOKUP('Données projet'!$B$14,Paramètres!$A$1:$I$89,3,0)*VLOOKUP('Données projet'!$B$14,Paramètres!$A$1:$I$89,5,0)</f>
        <v>139.56799999999998</v>
      </c>
      <c r="DQ41" s="14">
        <f t="shared" si="43"/>
        <v>36.198022567902299</v>
      </c>
      <c r="DR41" s="22">
        <f t="shared" si="16"/>
        <v>306.12582263909644</v>
      </c>
      <c r="DS41" s="62">
        <f t="shared" si="17"/>
        <v>573.57834069059345</v>
      </c>
      <c r="DT41" s="62">
        <f ca="1">AVERAGE(OFFSET($DS$3,0,0,'Données projet'!$E$14+1,1))-AVERAGE(OFFSET($H$3,0,0,'Données projet'!$E$14+1,1))</f>
        <v>425.41154182732936</v>
      </c>
      <c r="DU41" s="62">
        <f t="shared" si="44"/>
        <v>306.44721925744591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62.941595832226483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11.340000000000003</v>
      </c>
      <c r="EJ41" s="13">
        <f>IF('Données projet'!$A$192&gt;35,EJ40+EI41-ER40,IF(A41&lt;'Données projet'!$A$192,$EG$205^A41,IF(A41='Données projet'!$A$192,'Données projet'!$B$192,EJ40+EI41-ER40)))</f>
        <v>240.4199999999999</v>
      </c>
      <c r="EK41" s="18">
        <f>EJ41*VLOOKUP('Données projet'!$B$15,Paramètres!$A$1:$I$89,3,0)*VLOOKUP('Données projet'!$B$15,Paramètres!$A$1:$I$89,5,0)</f>
        <v>176.27594399999992</v>
      </c>
      <c r="EL41" s="14">
        <f t="shared" si="45"/>
        <v>44.492646904932492</v>
      </c>
      <c r="EM41" s="22">
        <f t="shared" si="19"/>
        <v>384.50529582609062</v>
      </c>
      <c r="EN41" s="62">
        <f t="shared" si="20"/>
        <v>651.95781387758768</v>
      </c>
      <c r="EO41" s="62">
        <f ca="1">AVERAGE(OFFSET($EN$3,0,0,'Données projet'!$E$15+1,1))-AVERAGE(OFFSET($H$3,0,0,'Données projet'!$E$15+1,1))</f>
        <v>357.57626046668958</v>
      </c>
      <c r="EP41" s="62">
        <f t="shared" si="46"/>
        <v>386.90439522046199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62.941595832226483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11.142857142857142</v>
      </c>
      <c r="FE41" s="13">
        <f>IF('Données projet'!$A$218&gt;35,FE40+FD41-FM40,IF(A41&lt;'Données projet'!$A$218,$FB$205^A41,IF(A41='Données projet'!$A$218,'Données projet'!$B$218,FE40+FD41-FM40)))</f>
        <v>163.14285714285711</v>
      </c>
      <c r="FF41" s="18">
        <f>FE41*VLOOKUP('Données projet'!$B$16,Paramètres!$A$1:$I$89,3,0)*VLOOKUP('Données projet'!$B$16,Paramètres!$A$1:$I$89,5,0)</f>
        <v>127.25142857142855</v>
      </c>
      <c r="FG41" s="14">
        <f t="shared" si="47"/>
        <v>33.360457439554281</v>
      </c>
      <c r="FH41" s="22">
        <f t="shared" si="22"/>
        <v>279.73236813579507</v>
      </c>
      <c r="FI41" s="62">
        <f t="shared" si="23"/>
        <v>547.18488618729214</v>
      </c>
      <c r="FJ41" s="62">
        <f ca="1">AVERAGE(OFFSET($FI$3,0,0,'Données projet'!$E$16+1,1))-AVERAGE(OFFSET($H$3,0,0,'Données projet'!$E$16+1,1))</f>
        <v>303.56663121833833</v>
      </c>
      <c r="FK41" s="62">
        <f t="shared" si="48"/>
        <v>293.97736357938038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62.941595832226483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11.340000000000003</v>
      </c>
      <c r="FZ41" s="13">
        <f>IF('Données projet'!$A$244&gt;35,FZ40+FY41-GH40,IF(A41&lt;'Données projet'!$A$244,$FW$205^A41,IF(A41='Données projet'!$A$244,'Données projet'!$B$244,FZ40+FY41-GH40)))</f>
        <v>240.4199999999999</v>
      </c>
      <c r="GA41" s="18">
        <f>FZ41*VLOOKUP('Données projet'!$B$17,Paramètres!$A$1:$I$89,3,0)*VLOOKUP('Données projet'!$B$17,Paramètres!$A$1:$I$89,5,0)</f>
        <v>191.27815199999995</v>
      </c>
      <c r="GB41" s="14">
        <f t="shared" si="49"/>
        <v>47.822423751245466</v>
      </c>
      <c r="GC41" s="22">
        <f t="shared" si="25"/>
        <v>416.43350276675238</v>
      </c>
      <c r="GD41" s="62">
        <f t="shared" si="26"/>
        <v>683.88602081824945</v>
      </c>
      <c r="GE41" s="62">
        <f ca="1">AVERAGE(OFFSET($GD$3,0,0,'Données projet'!$E$17+1,1))-AVERAGE(OFFSET($H$3,0,0,'Données projet'!$E$17+1,1))</f>
        <v>383.71724511025587</v>
      </c>
      <c r="GF41" s="62">
        <f t="shared" si="50"/>
        <v>415.10774719533185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62.941595832226483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7.1794871794871824</v>
      </c>
      <c r="GU41" s="13">
        <f>IF('Données projet'!$A$270&gt;35,GU40+GT41-HC40,IF(A41&lt;'Données projet'!$A$270,$GR$205^A41,IF(A41='Données projet'!$A$270,'Données projet'!$B$270,GU40+GT41-HC40)))</f>
        <v>176.66666666666669</v>
      </c>
      <c r="GV41" s="18">
        <f>GU41*VLOOKUP('Données projet'!$B$18,Paramètres!$A$1:$I$89,3,0)*VLOOKUP('Données projet'!$B$18,Paramètres!$A$1:$I$89,5,0)</f>
        <v>118.50800000000001</v>
      </c>
      <c r="GW41" s="14">
        <f t="shared" si="51"/>
        <v>31.326761814194999</v>
      </c>
      <c r="GX41" s="22">
        <f t="shared" si="28"/>
        <v>260.96221015972299</v>
      </c>
      <c r="GY41" s="62">
        <f t="shared" si="29"/>
        <v>528.41472821122011</v>
      </c>
      <c r="GZ41" s="62">
        <f ca="1">AVERAGE(OFFSET($GY$3,0,0,'Données projet'!$E$18+1,1))-AVERAGE(OFFSET($H$3,0,0,'Données projet'!$E$18+1,1))</f>
        <v>329.93956600482801</v>
      </c>
      <c r="HA41" s="62">
        <f t="shared" si="52"/>
        <v>268.69186630599165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2.7450000000000001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10.065</v>
      </c>
      <c r="H42" s="70">
        <f t="shared" si="1"/>
        <v>216.40666666666667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63.064043364309683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592.50793041406723</v>
      </c>
      <c r="S42" s="62">
        <f ca="1">AVERAGE(OFFSET($R$3,0,0,'Données projet'!$E$9+1,1))-AVERAGE(OFFSET($H$3,0,0,'Données projet'!$E$9+1,1))</f>
        <v>551.67307965706379</v>
      </c>
      <c r="T42" s="62">
        <f t="shared" si="34"/>
        <v>288.70738860523943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63.064043364309683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163.80000000000004</v>
      </c>
      <c r="AJ42" s="14">
        <f>AI42*VLOOKUP('Données projet'!$B$10,Paramètres!$A$1:$I$89,3,0)*VLOOKUP('Données projet'!$B$10,Paramètres!$A$1:$I$89,5,0)</f>
        <v>137.98512000000005</v>
      </c>
      <c r="AK42" s="14">
        <f t="shared" si="35"/>
        <v>35.835036067646342</v>
      </c>
      <c r="AL42" s="22">
        <f t="shared" si="4"/>
        <v>302.73677181781744</v>
      </c>
      <c r="AM42" s="62">
        <f t="shared" si="5"/>
        <v>570.63826415361962</v>
      </c>
      <c r="AN42" s="62">
        <f ca="1">AVERAGE(OFFSET($AM$3,0,0,'Données projet'!$E$10+1,1))-AVERAGE(OFFSET($H$3,0,0,'Données projet'!$E$10+1,1))</f>
        <v>518.18933270904506</v>
      </c>
      <c r="AO42" s="62">
        <f t="shared" si="36"/>
        <v>272.44431899810411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63.064043364309683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15.166666666666666</v>
      </c>
      <c r="BD42" s="13">
        <f>IF('Données projet'!$A$88&gt;35,BD41+BC42-BL41,IF(A42&lt;'Données projet'!$A$88,$BA$205^A42,IF(A42='Données projet'!$A$88,'Données projet'!$B$88,BD41+BC42-BL41)))</f>
        <v>159.49999999999994</v>
      </c>
      <c r="BE42" s="14">
        <f>BD42*VLOOKUP('Données projet'!$B$11,Paramètres!$A$1:$I$89,3,0)*VLOOKUP('Données projet'!$B$11,Paramètres!$A$1:$I$89,5,0)</f>
        <v>136.85099999999997</v>
      </c>
      <c r="BF42" s="14">
        <f t="shared" si="37"/>
        <v>35.574661452157265</v>
      </c>
      <c r="BG42" s="22">
        <f t="shared" si="7"/>
        <v>300.30802702917384</v>
      </c>
      <c r="BH42" s="62">
        <f t="shared" si="8"/>
        <v>568.20951936497602</v>
      </c>
      <c r="BI42" s="62">
        <f ca="1">AVERAGE(OFFSET($BH$3,0,0,'Données projet'!$E$11+1,1))-AVERAGE(OFFSET($H$3,0,0,'Données projet'!$E$11+1,1))</f>
        <v>464.73160475167867</v>
      </c>
      <c r="BJ42" s="62">
        <f t="shared" si="38"/>
        <v>241.31968359962227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63.064043364309683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7.8</v>
      </c>
      <c r="BY42" s="13">
        <f>IF('Données projet'!$A$114&gt;35,BY41+BX42-CG41,IF(A42&lt;'Données projet'!$A$114,$BV$205^A42,IF(A42='Données projet'!$A$114,'Données projet'!$B$114,BY41+BX42-CG41)))</f>
        <v>187.20000000000005</v>
      </c>
      <c r="BZ42" s="14">
        <f>BY42*VLOOKUP('Données projet'!$B$12,Paramètres!$A$1:$I$89,3,0)*VLOOKUP('Données projet'!$B$12,Paramètres!$A$1:$I$89,5,0)</f>
        <v>122.65344000000002</v>
      </c>
      <c r="CA42" s="14">
        <f t="shared" si="39"/>
        <v>32.293080640759037</v>
      </c>
      <c r="CB42" s="22">
        <f t="shared" si="10"/>
        <v>269.8651901159887</v>
      </c>
      <c r="CC42" s="62">
        <f t="shared" si="11"/>
        <v>537.76668245179087</v>
      </c>
      <c r="CD42" s="62">
        <f ca="1">AVERAGE(OFFSET($CC$3,0,0,'Données projet'!$E$12+1,1))-AVERAGE(OFFSET($H$3,0,0,'Données projet'!$E$12+1,1))</f>
        <v>292.13851489852607</v>
      </c>
      <c r="CE42" s="62">
        <f t="shared" si="40"/>
        <v>280.10866188737418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63.064043364309683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7.6</v>
      </c>
      <c r="CT42" s="13">
        <f>IF('Données projet'!$A$140&gt;35,CT41+CS42-DB41,IF(A42&lt;'Données projet'!$A$140,$CQ$205^A42,IF(A42='Données projet'!$A$140,'Données projet'!$B$140,CT41+CS42-DB41)))</f>
        <v>144.40000000000003</v>
      </c>
      <c r="CU42" s="18">
        <f>CT42*VLOOKUP('Données projet'!$B$13,Paramètres!$A$1:$I$89,3,0)*VLOOKUP('Données projet'!$B$13,Paramètres!$A$1:$I$89,5,0)</f>
        <v>117.13728000000003</v>
      </c>
      <c r="CV42" s="14">
        <f t="shared" si="41"/>
        <v>31.006381507018595</v>
      </c>
      <c r="CW42" s="22">
        <f t="shared" si="13"/>
        <v>258.01687712472409</v>
      </c>
      <c r="CX42" s="62">
        <f t="shared" si="14"/>
        <v>525.91836946052626</v>
      </c>
      <c r="CY42" s="62">
        <f ca="1">AVERAGE(OFFSET($CX$3,0,0,'Données projet'!$E$13+1,1))-AVERAGE(OFFSET($H$3,0,0,'Données projet'!$E$13+1,1))</f>
        <v>265.25572936607409</v>
      </c>
      <c r="CZ42" s="62">
        <f t="shared" si="42"/>
        <v>307.96244316129071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63.064043364309683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6.7948717948717956</v>
      </c>
      <c r="DO42" s="13">
        <f>IF('Données projet'!$A$166&gt;35,DO41+DN42-DW41,IF(A42&lt;'Données projet'!$A$166,$DL$205^A42,IF(A42='Données projet'!$A$166,'Données projet'!$B$166,DO41+DN42-DW41)))</f>
        <v>153.46153846153845</v>
      </c>
      <c r="DP42" s="18">
        <f>DO42*VLOOKUP('Données projet'!$B$14,Paramètres!$A$1:$I$89,3,0)*VLOOKUP('Données projet'!$B$14,Paramètres!$A$1:$I$89,5,0)</f>
        <v>146.03399999999999</v>
      </c>
      <c r="DQ42" s="14">
        <f t="shared" si="43"/>
        <v>37.675897140446111</v>
      </c>
      <c r="DR42" s="22">
        <f t="shared" si="16"/>
        <v>319.96140418627698</v>
      </c>
      <c r="DS42" s="62">
        <f t="shared" si="17"/>
        <v>587.86289652207915</v>
      </c>
      <c r="DT42" s="62">
        <f ca="1">AVERAGE(OFFSET($DS$3,0,0,'Données projet'!$E$14+1,1))-AVERAGE(OFFSET($H$3,0,0,'Données projet'!$E$14+1,1))</f>
        <v>425.41154182732936</v>
      </c>
      <c r="DU42" s="62">
        <f t="shared" si="44"/>
        <v>306.44721925744591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63.064043364309683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11.340000000000003</v>
      </c>
      <c r="EJ42" s="13">
        <f>IF('Données projet'!$A$192&gt;35,EJ41+EI42-ER41,IF(A42&lt;'Données projet'!$A$192,$EG$205^A42,IF(A42='Données projet'!$A$192,'Données projet'!$B$192,EJ41+EI42-ER41)))</f>
        <v>251.75999999999991</v>
      </c>
      <c r="EK42" s="18">
        <f>EJ42*VLOOKUP('Données projet'!$B$15,Paramètres!$A$1:$I$89,3,0)*VLOOKUP('Données projet'!$B$15,Paramètres!$A$1:$I$89,5,0)</f>
        <v>184.59043199999994</v>
      </c>
      <c r="EL42" s="14">
        <f t="shared" si="45"/>
        <v>46.341971073486597</v>
      </c>
      <c r="EM42" s="22">
        <f t="shared" si="19"/>
        <v>402.20726868632238</v>
      </c>
      <c r="EN42" s="62">
        <f t="shared" si="20"/>
        <v>670.10876102212455</v>
      </c>
      <c r="EO42" s="62">
        <f ca="1">AVERAGE(OFFSET($EN$3,0,0,'Données projet'!$E$15+1,1))-AVERAGE(OFFSET($H$3,0,0,'Données projet'!$E$15+1,1))</f>
        <v>357.57626046668958</v>
      </c>
      <c r="EP42" s="62">
        <f t="shared" si="46"/>
        <v>386.90439522046199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63.064043364309683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11.142857142857142</v>
      </c>
      <c r="FE42" s="13">
        <f>IF('Données projet'!$A$218&gt;35,FE41+FD42-FM41,IF(A42&lt;'Données projet'!$A$218,$FB$205^A42,IF(A42='Données projet'!$A$218,'Données projet'!$B$218,FE41+FD42-FM41)))</f>
        <v>174.28571428571425</v>
      </c>
      <c r="FF42" s="18">
        <f>FE42*VLOOKUP('Données projet'!$B$16,Paramètres!$A$1:$I$89,3,0)*VLOOKUP('Données projet'!$B$16,Paramètres!$A$1:$I$89,5,0)</f>
        <v>135.94285714285712</v>
      </c>
      <c r="FG42" s="14">
        <f t="shared" si="47"/>
        <v>35.365986273808367</v>
      </c>
      <c r="FH42" s="22">
        <f t="shared" si="22"/>
        <v>298.36290228402572</v>
      </c>
      <c r="FI42" s="62">
        <f t="shared" si="23"/>
        <v>566.26439461982795</v>
      </c>
      <c r="FJ42" s="62">
        <f ca="1">AVERAGE(OFFSET($FI$3,0,0,'Données projet'!$E$16+1,1))-AVERAGE(OFFSET($H$3,0,0,'Données projet'!$E$16+1,1))</f>
        <v>303.56663121833833</v>
      </c>
      <c r="FK42" s="62">
        <f t="shared" si="48"/>
        <v>293.97736357938038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63.064043364309683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11.340000000000003</v>
      </c>
      <c r="FZ42" s="13">
        <f>IF('Données projet'!$A$244&gt;35,FZ41+FY42-GH41,IF(A42&lt;'Données projet'!$A$244,$FW$205^A42,IF(A42='Données projet'!$A$244,'Données projet'!$B$244,FZ41+FY42-GH41)))</f>
        <v>251.75999999999991</v>
      </c>
      <c r="GA42" s="18">
        <f>FZ42*VLOOKUP('Données projet'!$B$17,Paramètres!$A$1:$I$89,3,0)*VLOOKUP('Données projet'!$B$17,Paramètres!$A$1:$I$89,5,0)</f>
        <v>200.30025599999993</v>
      </c>
      <c r="GB42" s="14">
        <f t="shared" si="49"/>
        <v>49.810149143959919</v>
      </c>
      <c r="GC42" s="22">
        <f t="shared" si="25"/>
        <v>435.60895562573</v>
      </c>
      <c r="GD42" s="62">
        <f t="shared" si="26"/>
        <v>703.51044796153224</v>
      </c>
      <c r="GE42" s="62">
        <f ca="1">AVERAGE(OFFSET($GD$3,0,0,'Données projet'!$E$17+1,1))-AVERAGE(OFFSET($H$3,0,0,'Données projet'!$E$17+1,1))</f>
        <v>383.71724511025587</v>
      </c>
      <c r="GF42" s="62">
        <f t="shared" si="50"/>
        <v>415.10774719533185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63.064043364309683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7.1794871794871824</v>
      </c>
      <c r="GU42" s="13">
        <f>IF('Données projet'!$A$270&gt;35,GU41+GT42-HC41,IF(A42&lt;'Données projet'!$A$270,$GR$205^A42,IF(A42='Données projet'!$A$270,'Données projet'!$B$270,GU41+GT42-HC41)))</f>
        <v>183.84615384615387</v>
      </c>
      <c r="GV42" s="18">
        <f>GU42*VLOOKUP('Données projet'!$B$18,Paramètres!$A$1:$I$89,3,0)*VLOOKUP('Données projet'!$B$18,Paramètres!$A$1:$I$89,5,0)</f>
        <v>123.32400000000003</v>
      </c>
      <c r="GW42" s="14">
        <f t="shared" si="51"/>
        <v>32.449030564483728</v>
      </c>
      <c r="GX42" s="22">
        <f t="shared" si="28"/>
        <v>271.30469489980919</v>
      </c>
      <c r="GY42" s="62">
        <f t="shared" si="29"/>
        <v>539.20618723561142</v>
      </c>
      <c r="GZ42" s="62">
        <f ca="1">AVERAGE(OFFSET($GY$3,0,0,'Données projet'!$E$18+1,1))-AVERAGE(OFFSET($H$3,0,0,'Données projet'!$E$18+1,1))</f>
        <v>329.93956600482801</v>
      </c>
      <c r="HA42" s="62">
        <f t="shared" si="52"/>
        <v>268.69186630599165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2.7450000000000001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10.065</v>
      </c>
      <c r="H43" s="70">
        <f t="shared" si="1"/>
        <v>216.40666666666667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63.184366705462907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2">
        <f t="shared" si="0"/>
        <v>614.59971958540109</v>
      </c>
      <c r="S43" s="62">
        <f ca="1">AVERAGE(OFFSET($R$3,0,0,'Données projet'!$E$9+1,1))-AVERAGE(OFFSET($H$3,0,0,'Données projet'!$E$9+1,1))</f>
        <v>551.67307965706379</v>
      </c>
      <c r="T43" s="62">
        <f t="shared" si="34"/>
        <v>288.70738860523943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63.184366705462907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175.00000000000003</v>
      </c>
      <c r="AJ43" s="14">
        <f>AI43*VLOOKUP('Données projet'!$B$10,Paramètres!$A$1:$I$89,3,0)*VLOOKUP('Données projet'!$B$10,Paramètres!$A$1:$I$89,5,0)</f>
        <v>147.42000000000004</v>
      </c>
      <c r="AK43" s="14">
        <f t="shared" si="35"/>
        <v>37.991680647570327</v>
      </c>
      <c r="AL43" s="22">
        <f t="shared" si="4"/>
        <v>322.92534379451837</v>
      </c>
      <c r="AM43" s="62">
        <f t="shared" si="5"/>
        <v>591.26802171454904</v>
      </c>
      <c r="AN43" s="62">
        <f ca="1">AVERAGE(OFFSET($AM$3,0,0,'Données projet'!$E$10+1,1))-AVERAGE(OFFSET($H$3,0,0,'Données projet'!$E$10+1,1))</f>
        <v>518.18933270904506</v>
      </c>
      <c r="AO43" s="62">
        <f t="shared" si="36"/>
        <v>272.44431899810411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63.184366705462907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15.166666666666666</v>
      </c>
      <c r="BD43" s="13">
        <f>IF('Données projet'!$A$88&gt;35,BD42+BC43-BL42,IF(A43&lt;'Données projet'!$A$88,$BA$205^A43,IF(A43='Données projet'!$A$88,'Données projet'!$B$88,BD42+BC43-BL42)))</f>
        <v>174.6666666666666</v>
      </c>
      <c r="BE43" s="14">
        <f>BD43*VLOOKUP('Données projet'!$B$11,Paramètres!$A$1:$I$89,3,0)*VLOOKUP('Données projet'!$B$11,Paramètres!$A$1:$I$89,5,0)</f>
        <v>149.86399999999995</v>
      </c>
      <c r="BF43" s="14">
        <f t="shared" si="37"/>
        <v>38.547677501412096</v>
      </c>
      <c r="BG43" s="22">
        <f t="shared" si="7"/>
        <v>328.1503383149593</v>
      </c>
      <c r="BH43" s="62">
        <f t="shared" si="8"/>
        <v>596.49301623498991</v>
      </c>
      <c r="BI43" s="62">
        <f ca="1">AVERAGE(OFFSET($BH$3,0,0,'Données projet'!$E$11+1,1))-AVERAGE(OFFSET($H$3,0,0,'Données projet'!$E$11+1,1))</f>
        <v>464.73160475167867</v>
      </c>
      <c r="BJ43" s="62">
        <f t="shared" si="38"/>
        <v>241.31968359962227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63.184366705462907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195</v>
      </c>
      <c r="BW43" s="13">
        <f>VLOOKUP(A43,'Données projet'!$A$113:$I$133,9,0)</f>
        <v>7.8</v>
      </c>
      <c r="BX43" s="13">
        <f t="array" ref="BX43">INDEX(BW:BW,MIN(IF(ISNUMBER(BW43:BW239),ROW(BW43:BW239),"")))</f>
        <v>7.8</v>
      </c>
      <c r="BY43" s="13">
        <f>IF('Données projet'!$A$114&gt;35,BY42+BX43-CG42,IF(A43&lt;'Données projet'!$A$114,$BV$205^A43,IF(A43='Données projet'!$A$114,'Données projet'!$B$114,BY42+BX43-CG42)))</f>
        <v>195.00000000000006</v>
      </c>
      <c r="BZ43" s="14">
        <f>BY43*VLOOKUP('Données projet'!$B$12,Paramètres!$A$1:$I$89,3,0)*VLOOKUP('Données projet'!$B$12,Paramètres!$A$1:$I$89,5,0)</f>
        <v>127.76400000000004</v>
      </c>
      <c r="CA43" s="14">
        <f t="shared" si="39"/>
        <v>33.479164830670079</v>
      </c>
      <c r="CB43" s="22">
        <f t="shared" si="10"/>
        <v>280.83184541341706</v>
      </c>
      <c r="CC43" s="62">
        <f t="shared" si="11"/>
        <v>549.17452333344772</v>
      </c>
      <c r="CD43" s="62">
        <f ca="1">AVERAGE(OFFSET($CC$3,0,0,'Données projet'!$E$12+1,1))-AVERAGE(OFFSET($H$3,0,0,'Données projet'!$E$12+1,1))</f>
        <v>292.13851489852607</v>
      </c>
      <c r="CE43" s="62">
        <f t="shared" si="40"/>
        <v>280.10866188737418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63.184366705462907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152</v>
      </c>
      <c r="CR43" s="13">
        <f>VLOOKUP(A43,'Données projet'!$A$139:$I$159,9,0)</f>
        <v>7.6</v>
      </c>
      <c r="CS43" s="13">
        <f t="array" ref="CS43">INDEX(CR:CR,MIN(IF(ISNUMBER(CR43:CR239),ROW(CR43:CR239),"")))</f>
        <v>7.6</v>
      </c>
      <c r="CT43" s="13">
        <f>IF('Données projet'!$A$140&gt;35,CT42+CS43-DB42,IF(A43&lt;'Données projet'!$A$140,$CQ$205^A43,IF(A43='Données projet'!$A$140,'Données projet'!$B$140,CT42+CS43-DB42)))</f>
        <v>152.00000000000003</v>
      </c>
      <c r="CU43" s="18">
        <f>CT43*VLOOKUP('Données projet'!$B$13,Paramètres!$A$1:$I$89,3,0)*VLOOKUP('Données projet'!$B$13,Paramètres!$A$1:$I$89,5,0)</f>
        <v>123.30240000000003</v>
      </c>
      <c r="CV43" s="14">
        <f t="shared" si="41"/>
        <v>32.444008665071891</v>
      </c>
      <c r="CW43" s="22">
        <f t="shared" si="13"/>
        <v>271.25832842500023</v>
      </c>
      <c r="CX43" s="62">
        <f t="shared" si="14"/>
        <v>539.6010063450309</v>
      </c>
      <c r="CY43" s="62">
        <f ca="1">AVERAGE(OFFSET($CX$3,0,0,'Données projet'!$E$13+1,1))-AVERAGE(OFFSET($H$3,0,0,'Données projet'!$E$13+1,1))</f>
        <v>265.25572936607409</v>
      </c>
      <c r="CZ43" s="62">
        <f t="shared" si="42"/>
        <v>307.96244316129071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63.184366705462907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160.25641025641025</v>
      </c>
      <c r="DM43" s="13">
        <f>VLOOKUP(A43,'Données projet'!$A$165:$I$185,9,0)</f>
        <v>6.7948717948717956</v>
      </c>
      <c r="DN43" s="13">
        <f t="array" ref="DN43">INDEX(DM:DM,MIN(IF(ISNUMBER(DM43:DM239),ROW(DM43:DM239),"")))</f>
        <v>6.7948717948717956</v>
      </c>
      <c r="DO43" s="13">
        <f>IF('Données projet'!$A$166&gt;35,DO42+DN43-DW42,IF(A43&lt;'Données projet'!$A$166,$DL$205^A43,IF(A43='Données projet'!$A$166,'Données projet'!$B$166,DO42+DN43-DW42)))</f>
        <v>160.25641025641025</v>
      </c>
      <c r="DP43" s="18">
        <f>DO43*VLOOKUP('Données projet'!$B$14,Paramètres!$A$1:$I$89,3,0)*VLOOKUP('Données projet'!$B$14,Paramètres!$A$1:$I$89,5,0)</f>
        <v>152.5</v>
      </c>
      <c r="DQ43" s="14">
        <f t="shared" si="43"/>
        <v>39.146171889962673</v>
      </c>
      <c r="DR43" s="22">
        <f t="shared" si="16"/>
        <v>333.78374937501832</v>
      </c>
      <c r="DS43" s="62">
        <f t="shared" si="17"/>
        <v>602.12642729504898</v>
      </c>
      <c r="DT43" s="62">
        <f ca="1">AVERAGE(OFFSET($DS$3,0,0,'Données projet'!$E$14+1,1))-AVERAGE(OFFSET($H$3,0,0,'Données projet'!$E$14+1,1))</f>
        <v>425.41154182732936</v>
      </c>
      <c r="DU43" s="62">
        <f t="shared" si="44"/>
        <v>306.44721925744591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63.184366705462907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263.10000000000002</v>
      </c>
      <c r="EH43" s="13">
        <f>VLOOKUP(A43,'Données projet'!$A$191:$I$211,9,0)</f>
        <v>11.340000000000003</v>
      </c>
      <c r="EI43" s="13">
        <f t="array" ref="EI43">INDEX(EH:EH,MIN(IF(ISNUMBER(EH43:EH239),ROW(EH43:EH239),"")))</f>
        <v>11.340000000000003</v>
      </c>
      <c r="EJ43" s="13">
        <f>IF('Données projet'!$A$192&gt;35,EJ42+EI43-ER42,IF(A43&lt;'Données projet'!$A$192,$EG$205^A43,IF(A43='Données projet'!$A$192,'Données projet'!$B$192,EJ42+EI43-ER42)))</f>
        <v>263.09999999999991</v>
      </c>
      <c r="EK43" s="18">
        <f>EJ43*VLOOKUP('Données projet'!$B$15,Paramètres!$A$1:$I$89,3,0)*VLOOKUP('Données projet'!$B$15,Paramètres!$A$1:$I$89,5,0)</f>
        <v>192.90491999999995</v>
      </c>
      <c r="EL43" s="14">
        <f t="shared" si="45"/>
        <v>48.181621167171684</v>
      </c>
      <c r="EM43" s="22">
        <f t="shared" si="19"/>
        <v>419.89239253282386</v>
      </c>
      <c r="EN43" s="62">
        <f t="shared" si="20"/>
        <v>688.23507045285453</v>
      </c>
      <c r="EO43" s="62">
        <f ca="1">AVERAGE(OFFSET($EN$3,0,0,'Données projet'!$E$15+1,1))-AVERAGE(OFFSET($H$3,0,0,'Données projet'!$E$15+1,1))</f>
        <v>357.57626046668958</v>
      </c>
      <c r="EP43" s="62">
        <f t="shared" si="46"/>
        <v>386.90439522046199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70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63.184366705462907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11.142857142857142</v>
      </c>
      <c r="FE43" s="13">
        <f>IF('Données projet'!$A$218&gt;35,FE42+FD43-FM42,IF(A43&lt;'Données projet'!$A$218,$FB$205^A43,IF(A43='Données projet'!$A$218,'Données projet'!$B$218,FE42+FD43-FM42)))</f>
        <v>185.42857142857139</v>
      </c>
      <c r="FF43" s="18">
        <f>FE43*VLOOKUP('Données projet'!$B$16,Paramètres!$A$1:$I$89,3,0)*VLOOKUP('Données projet'!$B$16,Paramètres!$A$1:$I$89,5,0)</f>
        <v>144.63428571428568</v>
      </c>
      <c r="FG43" s="14">
        <f t="shared" si="47"/>
        <v>37.356634728420524</v>
      </c>
      <c r="FH43" s="22">
        <f t="shared" si="22"/>
        <v>316.96751977104663</v>
      </c>
      <c r="FI43" s="62">
        <f t="shared" si="23"/>
        <v>585.31019769107729</v>
      </c>
      <c r="FJ43" s="62">
        <f ca="1">AVERAGE(OFFSET($FI$3,0,0,'Données projet'!$E$16+1,1))-AVERAGE(OFFSET($H$3,0,0,'Données projet'!$E$16+1,1))</f>
        <v>303.56663121833833</v>
      </c>
      <c r="FK43" s="62">
        <f t="shared" si="48"/>
        <v>293.97736357938038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63.184366705462907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263.10000000000002</v>
      </c>
      <c r="FX43" s="13">
        <f>VLOOKUP(A43,'Données projet'!$A$243:$I$263,9,0)</f>
        <v>11.340000000000003</v>
      </c>
      <c r="FY43" s="13">
        <f t="array" ref="FY43">INDEX(FX:FX,MIN(IF(ISNUMBER(FX43:FX239),ROW(FX43:FX239),"")))</f>
        <v>11.340000000000003</v>
      </c>
      <c r="FZ43" s="13">
        <f>IF('Données projet'!$A$244&gt;35,FZ42+FY43-GH42,IF(A43&lt;'Données projet'!$A$244,$FW$205^A43,IF(A43='Données projet'!$A$244,'Données projet'!$B$244,FZ42+FY43-GH42)))</f>
        <v>263.09999999999991</v>
      </c>
      <c r="GA43" s="18">
        <f>FZ43*VLOOKUP('Données projet'!$B$17,Paramètres!$A$1:$I$89,3,0)*VLOOKUP('Données projet'!$B$17,Paramètres!$A$1:$I$89,5,0)</f>
        <v>209.32235999999995</v>
      </c>
      <c r="GB43" s="14">
        <f t="shared" si="49"/>
        <v>51.78747646553299</v>
      </c>
      <c r="GC43" s="22">
        <f t="shared" si="25"/>
        <v>454.7662985108031</v>
      </c>
      <c r="GD43" s="62">
        <f t="shared" si="26"/>
        <v>723.10897643083376</v>
      </c>
      <c r="GE43" s="62">
        <f ca="1">AVERAGE(OFFSET($GD$3,0,0,'Données projet'!$E$17+1,1))-AVERAGE(OFFSET($H$3,0,0,'Données projet'!$E$17+1,1))</f>
        <v>383.71724511025587</v>
      </c>
      <c r="GF43" s="62">
        <f t="shared" si="50"/>
        <v>415.10774719533185</v>
      </c>
      <c r="GG43" s="16">
        <f>IF(ISNA(VLOOKUP(A43,'Données projet'!$A$243:$I$263,3,0)),0,VLOOKUP(A43,'Données projet'!$A$243:$I$263,3,0))</f>
        <v>3</v>
      </c>
      <c r="GH43" s="16">
        <f>IF(ISNA(VLOOKUP(A43,'Données projet'!$A$243:$I$263,4,0)),0,VLOOKUP(A43,'Données projet'!$A$243:$I$263,4,0))</f>
        <v>70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63.184366705462907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191.02564102564102</v>
      </c>
      <c r="GS43" s="13">
        <f>VLOOKUP(A43,'Données projet'!$A$269:$I$289,9,0)</f>
        <v>7.1794871794871824</v>
      </c>
      <c r="GT43" s="13">
        <f t="array" ref="GT43">INDEX(GS:GS,MIN(IF(ISNUMBER(GS43:GS239),ROW(GS43:GS239),"")))</f>
        <v>7.1794871794871824</v>
      </c>
      <c r="GU43" s="13">
        <f>IF('Données projet'!$A$270&gt;35,GU42+GT43-HC42,IF(A43&lt;'Données projet'!$A$270,$GR$205^A43,IF(A43='Données projet'!$A$270,'Données projet'!$B$270,GU42+GT43-HC42)))</f>
        <v>191.02564102564105</v>
      </c>
      <c r="GV43" s="18">
        <f>GU43*VLOOKUP('Données projet'!$B$18,Paramètres!$A$1:$I$89,3,0)*VLOOKUP('Données projet'!$B$18,Paramètres!$A$1:$I$89,5,0)</f>
        <v>128.14000000000001</v>
      </c>
      <c r="GW43" s="14">
        <f t="shared" si="51"/>
        <v>33.566208132601098</v>
      </c>
      <c r="GX43" s="22">
        <f t="shared" si="28"/>
        <v>281.63831249761358</v>
      </c>
      <c r="GY43" s="62">
        <f t="shared" si="29"/>
        <v>549.98099041764431</v>
      </c>
      <c r="GZ43" s="62">
        <f ca="1">AVERAGE(OFFSET($GY$3,0,0,'Données projet'!$E$18+1,1))-AVERAGE(OFFSET($H$3,0,0,'Données projet'!$E$18+1,1))</f>
        <v>329.93956600482801</v>
      </c>
      <c r="HA43" s="62">
        <f t="shared" si="52"/>
        <v>268.69186630599165</v>
      </c>
      <c r="HB43" s="16">
        <f>IF(ISNA(VLOOKUP(A43,'Données projet'!$A$269:$I$289,3,0)),0,VLOOKUP(A43,'Données projet'!$A$269:$I$289,3,0))</f>
        <v>3</v>
      </c>
      <c r="HC43" s="16">
        <f>IF(ISNA(VLOOKUP(A43,'Données projet'!$A$269:$I$289,4,0)),0,VLOOKUP(A43,'Données projet'!$A$269:$I$289,4,0))</f>
        <v>34.615384615384613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2.7450000000000001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10.065</v>
      </c>
      <c r="H44" s="70">
        <f t="shared" si="1"/>
        <v>216.40666666666667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63.302602705649818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2">
        <f t="shared" si="0"/>
        <v>637.03996863808709</v>
      </c>
      <c r="S44" s="62">
        <f ca="1">AVERAGE(OFFSET($R$3,0,0,'Données projet'!$E$9+1,1))-AVERAGE(OFFSET($H$3,0,0,'Données projet'!$E$9+1,1))</f>
        <v>551.67307965706379</v>
      </c>
      <c r="T44" s="62">
        <f t="shared" si="34"/>
        <v>288.70738860523943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63.302602705649818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186.40000000000003</v>
      </c>
      <c r="AJ44" s="14">
        <f>AI44*VLOOKUP('Données projet'!$B$10,Paramètres!$A$1:$I$89,3,0)*VLOOKUP('Données projet'!$B$10,Paramètres!$A$1:$I$89,5,0)</f>
        <v>157.02336000000003</v>
      </c>
      <c r="AK44" s="14">
        <f t="shared" si="35"/>
        <v>40.170393914171662</v>
      </c>
      <c r="AL44" s="22">
        <f t="shared" si="4"/>
        <v>343.44578806718232</v>
      </c>
      <c r="AM44" s="62">
        <f t="shared" si="5"/>
        <v>612.22199798789825</v>
      </c>
      <c r="AN44" s="62">
        <f ca="1">AVERAGE(OFFSET($AM$3,0,0,'Données projet'!$E$10+1,1))-AVERAGE(OFFSET($H$3,0,0,'Données projet'!$E$10+1,1))</f>
        <v>518.18933270904506</v>
      </c>
      <c r="AO44" s="62">
        <f t="shared" si="36"/>
        <v>272.44431899810411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63.302602705649818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15.166666666666666</v>
      </c>
      <c r="BD44" s="13">
        <f>IF('Données projet'!$A$88&gt;35,BD43+BC44-BL43,IF(A44&lt;'Données projet'!$A$88,$BA$205^A44,IF(A44='Données projet'!$A$88,'Données projet'!$B$88,BD43+BC44-BL43)))</f>
        <v>189.83333333333326</v>
      </c>
      <c r="BE44" s="14">
        <f>BD44*VLOOKUP('Données projet'!$B$11,Paramètres!$A$1:$I$89,3,0)*VLOOKUP('Données projet'!$B$11,Paramètres!$A$1:$I$89,5,0)</f>
        <v>162.87699999999995</v>
      </c>
      <c r="BF44" s="14">
        <f t="shared" si="37"/>
        <v>41.490756193100523</v>
      </c>
      <c r="BG44" s="22">
        <f t="shared" si="7"/>
        <v>355.94050870298332</v>
      </c>
      <c r="BH44" s="62">
        <f t="shared" si="8"/>
        <v>624.71671862369931</v>
      </c>
      <c r="BI44" s="62">
        <f ca="1">AVERAGE(OFFSET($BH$3,0,0,'Données projet'!$E$11+1,1))-AVERAGE(OFFSET($H$3,0,0,'Données projet'!$E$11+1,1))</f>
        <v>464.73160475167867</v>
      </c>
      <c r="BJ44" s="62">
        <f t="shared" si="38"/>
        <v>241.31968359962227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63.302602705649818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7.4</v>
      </c>
      <c r="BY44" s="13">
        <f>IF('Données projet'!$A$114&gt;35,BY43+BX44-CG43,IF(A44&lt;'Données projet'!$A$114,$BV$205^A44,IF(A44='Données projet'!$A$114,'Données projet'!$B$114,BY43+BX44-CG43)))</f>
        <v>202.40000000000006</v>
      </c>
      <c r="BZ44" s="14">
        <f>BY44*VLOOKUP('Données projet'!$B$12,Paramètres!$A$1:$I$89,3,0)*VLOOKUP('Données projet'!$B$12,Paramètres!$A$1:$I$89,5,0)</f>
        <v>132.61248000000003</v>
      </c>
      <c r="CA44" s="14">
        <f t="shared" si="39"/>
        <v>34.599325938965464</v>
      </c>
      <c r="CB44" s="22">
        <f t="shared" si="10"/>
        <v>291.22722867703152</v>
      </c>
      <c r="CC44" s="62">
        <f t="shared" si="11"/>
        <v>560.0034385977475</v>
      </c>
      <c r="CD44" s="62">
        <f ca="1">AVERAGE(OFFSET($CC$3,0,0,'Données projet'!$E$12+1,1))-AVERAGE(OFFSET($H$3,0,0,'Données projet'!$E$12+1,1))</f>
        <v>292.13851489852607</v>
      </c>
      <c r="CE44" s="62">
        <f t="shared" si="40"/>
        <v>280.10866188737418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63.302602705649818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7.6</v>
      </c>
      <c r="CT44" s="13">
        <f>IF('Données projet'!$A$140&gt;35,CT43+CS44-DB43,IF(A44&lt;'Données projet'!$A$140,$CQ$205^A44,IF(A44='Données projet'!$A$140,'Données projet'!$B$140,CT43+CS44-DB43)))</f>
        <v>159.60000000000002</v>
      </c>
      <c r="CU44" s="18">
        <f>CT44*VLOOKUP('Données projet'!$B$13,Paramètres!$A$1:$I$89,3,0)*VLOOKUP('Données projet'!$B$13,Paramètres!$A$1:$I$89,5,0)</f>
        <v>129.46752000000004</v>
      </c>
      <c r="CV44" s="14">
        <f t="shared" si="41"/>
        <v>33.873289462262882</v>
      </c>
      <c r="CW44" s="22">
        <f t="shared" si="13"/>
        <v>284.48524314677451</v>
      </c>
      <c r="CX44" s="62">
        <f t="shared" si="14"/>
        <v>553.26145306749049</v>
      </c>
      <c r="CY44" s="62">
        <f ca="1">AVERAGE(OFFSET($CX$3,0,0,'Données projet'!$E$13+1,1))-AVERAGE(OFFSET($H$3,0,0,'Données projet'!$E$13+1,1))</f>
        <v>265.25572936607409</v>
      </c>
      <c r="CZ44" s="62">
        <f t="shared" si="42"/>
        <v>307.96244316129071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63.302602705649818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6.2820512820512819</v>
      </c>
      <c r="DO44" s="13">
        <f>IF('Données projet'!$A$166&gt;35,DO43+DN44-DW43,IF(A44&lt;'Données projet'!$A$166,$DL$205^A44,IF(A44='Données projet'!$A$166,'Données projet'!$B$166,DO43+DN44-DW43)))</f>
        <v>166.53846153846152</v>
      </c>
      <c r="DP44" s="18">
        <f>DO44*VLOOKUP('Données projet'!$B$14,Paramètres!$A$1:$I$89,3,0)*VLOOKUP('Données projet'!$B$14,Paramètres!$A$1:$I$89,5,0)</f>
        <v>158.47799999999998</v>
      </c>
      <c r="DQ44" s="14">
        <f t="shared" si="43"/>
        <v>40.499033326567876</v>
      </c>
      <c r="DR44" s="22">
        <f t="shared" si="16"/>
        <v>346.55166637710568</v>
      </c>
      <c r="DS44" s="62">
        <f t="shared" si="17"/>
        <v>615.3278762978216</v>
      </c>
      <c r="DT44" s="62">
        <f ca="1">AVERAGE(OFFSET($DS$3,0,0,'Données projet'!$E$14+1,1))-AVERAGE(OFFSET($H$3,0,0,'Données projet'!$E$14+1,1))</f>
        <v>425.41154182732936</v>
      </c>
      <c r="DU44" s="62">
        <f t="shared" si="44"/>
        <v>306.44721925744591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63.302602705649818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9.8199999999999932</v>
      </c>
      <c r="EJ44" s="13">
        <f>IF('Données projet'!$A$192&gt;35,EJ43+EI44-ER43,IF(A44&lt;'Données projet'!$A$192,$EG$205^A44,IF(A44='Données projet'!$A$192,'Données projet'!$B$192,EJ43+EI44-ER43)))</f>
        <v>202.9199999999999</v>
      </c>
      <c r="EK44" s="18">
        <f>EJ44*VLOOKUP('Données projet'!$B$15,Paramètres!$A$1:$I$89,3,0)*VLOOKUP('Données projet'!$B$15,Paramètres!$A$1:$I$89,5,0)</f>
        <v>148.78094399999992</v>
      </c>
      <c r="EL44" s="14">
        <f t="shared" si="45"/>
        <v>38.301419336680702</v>
      </c>
      <c r="EM44" s="22">
        <f t="shared" si="19"/>
        <v>325.83511614471871</v>
      </c>
      <c r="EN44" s="62">
        <f t="shared" si="20"/>
        <v>594.6113260654347</v>
      </c>
      <c r="EO44" s="62">
        <f ca="1">AVERAGE(OFFSET($EN$3,0,0,'Données projet'!$E$15+1,1))-AVERAGE(OFFSET($H$3,0,0,'Données projet'!$E$15+1,1))</f>
        <v>357.57626046668958</v>
      </c>
      <c r="EP44" s="62">
        <f t="shared" si="46"/>
        <v>386.90439522046199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63.302602705649818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11.142857142857142</v>
      </c>
      <c r="FE44" s="13">
        <f>IF('Données projet'!$A$218&gt;35,FE43+FD44-FM43,IF(A44&lt;'Données projet'!$A$218,$FB$205^A44,IF(A44='Données projet'!$A$218,'Données projet'!$B$218,FE43+FD44-FM43)))</f>
        <v>196.57142857142853</v>
      </c>
      <c r="FF44" s="18">
        <f>FE44*VLOOKUP('Données projet'!$B$16,Paramètres!$A$1:$I$89,3,0)*VLOOKUP('Données projet'!$B$16,Paramètres!$A$1:$I$89,5,0)</f>
        <v>153.32571428571427</v>
      </c>
      <c r="FG44" s="14">
        <f t="shared" si="47"/>
        <v>39.33339883761419</v>
      </c>
      <c r="FH44" s="22">
        <f t="shared" si="22"/>
        <v>335.54795535646372</v>
      </c>
      <c r="FI44" s="62">
        <f t="shared" si="23"/>
        <v>604.32416527717965</v>
      </c>
      <c r="FJ44" s="62">
        <f ca="1">AVERAGE(OFFSET($FI$3,0,0,'Données projet'!$E$16+1,1))-AVERAGE(OFFSET($H$3,0,0,'Données projet'!$E$16+1,1))</f>
        <v>303.56663121833833</v>
      </c>
      <c r="FK44" s="62">
        <f t="shared" si="48"/>
        <v>293.97736357938038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63.302602705649818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9.8199999999999932</v>
      </c>
      <c r="FZ44" s="13">
        <f>IF('Données projet'!$A$244&gt;35,FZ43+FY44-GH43,IF(A44&lt;'Données projet'!$A$244,$FW$205^A44,IF(A44='Données projet'!$A$244,'Données projet'!$B$244,FZ43+FY44-GH43)))</f>
        <v>202.9199999999999</v>
      </c>
      <c r="GA44" s="18">
        <f>FZ44*VLOOKUP('Données projet'!$B$17,Paramètres!$A$1:$I$89,3,0)*VLOOKUP('Données projet'!$B$17,Paramètres!$A$1:$I$89,5,0)</f>
        <v>161.44315199999994</v>
      </c>
      <c r="GB44" s="14">
        <f t="shared" si="49"/>
        <v>41.167852065682119</v>
      </c>
      <c r="GC44" s="22">
        <f t="shared" si="25"/>
        <v>352.88083208106292</v>
      </c>
      <c r="GD44" s="62">
        <f t="shared" si="26"/>
        <v>621.6570420017789</v>
      </c>
      <c r="GE44" s="62">
        <f ca="1">AVERAGE(OFFSET($GD$3,0,0,'Données projet'!$E$17+1,1))-AVERAGE(OFFSET($H$3,0,0,'Données projet'!$E$17+1,1))</f>
        <v>383.71724511025587</v>
      </c>
      <c r="GF44" s="62">
        <f t="shared" si="50"/>
        <v>415.10774719533185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63.302602705649818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6.7948717948717956</v>
      </c>
      <c r="GU44" s="13">
        <f>IF('Données projet'!$A$270&gt;35,GU43+GT44-HC43,IF(A44&lt;'Données projet'!$A$270,$GR$205^A44,IF(A44='Données projet'!$A$270,'Données projet'!$B$270,GU43+GT44-HC43)))</f>
        <v>163.20512820512823</v>
      </c>
      <c r="GV44" s="18">
        <f>GU44*VLOOKUP('Données projet'!$B$18,Paramètres!$A$1:$I$89,3,0)*VLOOKUP('Données projet'!$B$18,Paramètres!$A$1:$I$89,5,0)</f>
        <v>109.47800000000001</v>
      </c>
      <c r="GW44" s="14">
        <f t="shared" si="51"/>
        <v>29.207963273678622</v>
      </c>
      <c r="GX44" s="22">
        <f t="shared" si="28"/>
        <v>241.5447193683236</v>
      </c>
      <c r="GY44" s="62">
        <f t="shared" si="29"/>
        <v>510.32092928903955</v>
      </c>
      <c r="GZ44" s="62">
        <f ca="1">AVERAGE(OFFSET($GY$3,0,0,'Données projet'!$E$18+1,1))-AVERAGE(OFFSET($H$3,0,0,'Données projet'!$E$18+1,1))</f>
        <v>329.93956600482801</v>
      </c>
      <c r="HA44" s="62">
        <f t="shared" si="52"/>
        <v>268.69186630599165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2.7450000000000001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10.065</v>
      </c>
      <c r="H45" s="70">
        <f t="shared" si="1"/>
        <v>216.40666666666667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63.418787575569581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2">
        <f t="shared" si="0"/>
        <v>659.44400626910692</v>
      </c>
      <c r="S45" s="62">
        <f ca="1">AVERAGE(OFFSET($R$3,0,0,'Données projet'!$E$9+1,1))-AVERAGE(OFFSET($H$3,0,0,'Données projet'!$E$9+1,1))</f>
        <v>551.67307965706379</v>
      </c>
      <c r="T45" s="62">
        <f t="shared" si="34"/>
        <v>288.70738860523943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63.418787575569581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197.80000000000004</v>
      </c>
      <c r="AJ45" s="14">
        <f>AI45*VLOOKUP('Données projet'!$B$10,Paramètres!$A$1:$I$89,3,0)*VLOOKUP('Données projet'!$B$10,Paramètres!$A$1:$I$89,5,0)</f>
        <v>166.62672000000003</v>
      </c>
      <c r="AK45" s="14">
        <f t="shared" si="35"/>
        <v>42.333642074689422</v>
      </c>
      <c r="AL45" s="22">
        <f t="shared" si="4"/>
        <v>363.93929728008408</v>
      </c>
      <c r="AM45" s="62">
        <f t="shared" si="5"/>
        <v>633.14151839050589</v>
      </c>
      <c r="AN45" s="62">
        <f ca="1">AVERAGE(OFFSET($AM$3,0,0,'Données projet'!$E$10+1,1))-AVERAGE(OFFSET($H$3,0,0,'Données projet'!$E$10+1,1))</f>
        <v>518.18933270904506</v>
      </c>
      <c r="AO45" s="62">
        <f t="shared" si="36"/>
        <v>272.44431899810411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63.418787575569581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205</v>
      </c>
      <c r="BB45" s="13">
        <f>VLOOKUP(A45,'Données projet'!$A$87:$I$107,9,0)</f>
        <v>15.166666666666666</v>
      </c>
      <c r="BC45" s="13">
        <f t="array" ref="BC45">INDEX(BB:BB,MIN(IF(ISNUMBER(BB45:BB241),ROW(BB45:BB241),"")))</f>
        <v>15.166666666666666</v>
      </c>
      <c r="BD45" s="13">
        <f>IF('Données projet'!$A$88&gt;35,BD44+BC45-BL44,IF(A45&lt;'Données projet'!$A$88,$BA$205^A45,IF(A45='Données projet'!$A$88,'Données projet'!$B$88,BD44+BC45-BL44)))</f>
        <v>204.99999999999991</v>
      </c>
      <c r="BE45" s="14">
        <f>BD45*VLOOKUP('Données projet'!$B$11,Paramètres!$A$1:$I$89,3,0)*VLOOKUP('Données projet'!$B$11,Paramètres!$A$1:$I$89,5,0)</f>
        <v>175.88999999999993</v>
      </c>
      <c r="BF45" s="14">
        <f t="shared" si="37"/>
        <v>44.406561291935212</v>
      </c>
      <c r="BG45" s="22">
        <f t="shared" si="7"/>
        <v>383.6831775834537</v>
      </c>
      <c r="BH45" s="62">
        <f t="shared" si="8"/>
        <v>652.88539869387546</v>
      </c>
      <c r="BI45" s="62">
        <f ca="1">AVERAGE(OFFSET($BH$3,0,0,'Données projet'!$E$11+1,1))-AVERAGE(OFFSET($H$3,0,0,'Données projet'!$E$11+1,1))</f>
        <v>464.73160475167867</v>
      </c>
      <c r="BJ45" s="62">
        <f t="shared" si="38"/>
        <v>241.31968359962227</v>
      </c>
      <c r="BK45" s="16">
        <f>IF(ISNA(VLOOKUP(A45,'Données projet'!$A$87:$I$107,3,0)),0,VLOOKUP(A45,'Données projet'!$A$87:$I$107,3,0))</f>
        <v>4</v>
      </c>
      <c r="BL45" s="16">
        <f>IF(ISNA(VLOOKUP(A45,'Données projet'!$A$87:$I$107,4,0)),0,VLOOKUP(A45,'Données projet'!$A$87:$I$107,4,0))</f>
        <v>59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63.418787575569581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7.4</v>
      </c>
      <c r="BY45" s="13">
        <f>IF('Données projet'!$A$114&gt;35,BY44+BX45-CG44,IF(A45&lt;'Données projet'!$A$114,$BV$205^A45,IF(A45='Données projet'!$A$114,'Données projet'!$B$114,BY44+BX45-CG44)))</f>
        <v>209.80000000000007</v>
      </c>
      <c r="BZ45" s="14">
        <f>BY45*VLOOKUP('Données projet'!$B$12,Paramètres!$A$1:$I$89,3,0)*VLOOKUP('Données projet'!$B$12,Paramètres!$A$1:$I$89,5,0)</f>
        <v>137.46096000000006</v>
      </c>
      <c r="CA45" s="14">
        <f t="shared" si="39"/>
        <v>35.714728952321281</v>
      </c>
      <c r="CB45" s="22">
        <f t="shared" si="10"/>
        <v>301.61432492529298</v>
      </c>
      <c r="CC45" s="62">
        <f t="shared" si="11"/>
        <v>570.81654603571474</v>
      </c>
      <c r="CD45" s="62">
        <f ca="1">AVERAGE(OFFSET($CC$3,0,0,'Données projet'!$E$12+1,1))-AVERAGE(OFFSET($H$3,0,0,'Données projet'!$E$12+1,1))</f>
        <v>292.13851489852607</v>
      </c>
      <c r="CE45" s="62">
        <f t="shared" si="40"/>
        <v>280.10866188737418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63.418787575569581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7.6</v>
      </c>
      <c r="CT45" s="13">
        <f>IF('Données projet'!$A$140&gt;35,CT44+CS45-DB44,IF(A45&lt;'Données projet'!$A$140,$CQ$205^A45,IF(A45='Données projet'!$A$140,'Données projet'!$B$140,CT44+CS45-DB44)))</f>
        <v>167.20000000000002</v>
      </c>
      <c r="CU45" s="18">
        <f>CT45*VLOOKUP('Données projet'!$B$13,Paramètres!$A$1:$I$89,3,0)*VLOOKUP('Données projet'!$B$13,Paramètres!$A$1:$I$89,5,0)</f>
        <v>135.63264000000004</v>
      </c>
      <c r="CV45" s="14">
        <f t="shared" si="41"/>
        <v>35.294666721954265</v>
      </c>
      <c r="CW45" s="22">
        <f t="shared" si="13"/>
        <v>297.69839254073707</v>
      </c>
      <c r="CX45" s="62">
        <f t="shared" si="14"/>
        <v>566.90061365115889</v>
      </c>
      <c r="CY45" s="62">
        <f ca="1">AVERAGE(OFFSET($CX$3,0,0,'Données projet'!$E$13+1,1))-AVERAGE(OFFSET($H$3,0,0,'Données projet'!$E$13+1,1))</f>
        <v>265.25572936607409</v>
      </c>
      <c r="CZ45" s="62">
        <f t="shared" si="42"/>
        <v>307.96244316129071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63.418787575569581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6.2820512820512819</v>
      </c>
      <c r="DO45" s="13">
        <f>IF('Données projet'!$A$166&gt;35,DO44+DN45-DW44,IF(A45&lt;'Données projet'!$A$166,$DL$205^A45,IF(A45='Données projet'!$A$166,'Données projet'!$B$166,DO44+DN45-DW44)))</f>
        <v>172.82051282051279</v>
      </c>
      <c r="DP45" s="18">
        <f>DO45*VLOOKUP('Données projet'!$B$14,Paramètres!$A$1:$I$89,3,0)*VLOOKUP('Données projet'!$B$14,Paramètres!$A$1:$I$89,5,0)</f>
        <v>164.45599999999996</v>
      </c>
      <c r="DQ45" s="14">
        <f t="shared" si="43"/>
        <v>41.84596620708853</v>
      </c>
      <c r="DR45" s="22">
        <f t="shared" si="16"/>
        <v>359.30925781067913</v>
      </c>
      <c r="DS45" s="62">
        <f t="shared" si="17"/>
        <v>628.51147892110089</v>
      </c>
      <c r="DT45" s="62">
        <f ca="1">AVERAGE(OFFSET($DS$3,0,0,'Données projet'!$E$14+1,1))-AVERAGE(OFFSET($H$3,0,0,'Données projet'!$E$14+1,1))</f>
        <v>425.41154182732936</v>
      </c>
      <c r="DU45" s="62">
        <f t="shared" si="44"/>
        <v>306.44721925744591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63.418787575569581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9.8199999999999932</v>
      </c>
      <c r="EJ45" s="13">
        <f>IF('Données projet'!$A$192&gt;35,EJ44+EI45-ER44,IF(A45&lt;'Données projet'!$A$192,$EG$205^A45,IF(A45='Données projet'!$A$192,'Données projet'!$B$192,EJ44+EI45-ER44)))</f>
        <v>212.7399999999999</v>
      </c>
      <c r="EK45" s="18">
        <f>EJ45*VLOOKUP('Données projet'!$B$15,Paramètres!$A$1:$I$89,3,0)*VLOOKUP('Données projet'!$B$15,Paramètres!$A$1:$I$89,5,0)</f>
        <v>155.98096799999993</v>
      </c>
      <c r="EL45" s="14">
        <f t="shared" si="45"/>
        <v>39.934673726794031</v>
      </c>
      <c r="EM45" s="22">
        <f t="shared" si="19"/>
        <v>341.21974267416618</v>
      </c>
      <c r="EN45" s="62">
        <f t="shared" si="20"/>
        <v>610.421963784588</v>
      </c>
      <c r="EO45" s="62">
        <f ca="1">AVERAGE(OFFSET($EN$3,0,0,'Données projet'!$E$15+1,1))-AVERAGE(OFFSET($H$3,0,0,'Données projet'!$E$15+1,1))</f>
        <v>357.57626046668958</v>
      </c>
      <c r="EP45" s="62">
        <f t="shared" si="46"/>
        <v>386.90439522046199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63.418787575569581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11.142857142857142</v>
      </c>
      <c r="FE45" s="13">
        <f>IF('Données projet'!$A$218&gt;35,FE44+FD45-FM44,IF(A45&lt;'Données projet'!$A$218,$FB$205^A45,IF(A45='Données projet'!$A$218,'Données projet'!$B$218,FE44+FD45-FM44)))</f>
        <v>207.71428571428567</v>
      </c>
      <c r="FF45" s="18">
        <f>FE45*VLOOKUP('Données projet'!$B$16,Paramètres!$A$1:$I$89,3,0)*VLOOKUP('Données projet'!$B$16,Paramètres!$A$1:$I$89,5,0)</f>
        <v>162.01714285714283</v>
      </c>
      <c r="FG45" s="14">
        <f t="shared" si="47"/>
        <v>41.297155335096676</v>
      </c>
      <c r="FH45" s="22">
        <f t="shared" si="22"/>
        <v>354.10573601815048</v>
      </c>
      <c r="FI45" s="62">
        <f t="shared" si="23"/>
        <v>623.3079571285723</v>
      </c>
      <c r="FJ45" s="62">
        <f ca="1">AVERAGE(OFFSET($FI$3,0,0,'Données projet'!$E$16+1,1))-AVERAGE(OFFSET($H$3,0,0,'Données projet'!$E$16+1,1))</f>
        <v>303.56663121833833</v>
      </c>
      <c r="FK45" s="62">
        <f t="shared" si="48"/>
        <v>293.97736357938038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63.418787575569581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9.8199999999999932</v>
      </c>
      <c r="FZ45" s="13">
        <f>IF('Données projet'!$A$244&gt;35,FZ44+FY45-GH44,IF(A45&lt;'Données projet'!$A$244,$FW$205^A45,IF(A45='Données projet'!$A$244,'Données projet'!$B$244,FZ44+FY45-GH44)))</f>
        <v>212.7399999999999</v>
      </c>
      <c r="GA45" s="18">
        <f>FZ45*VLOOKUP('Données projet'!$B$17,Paramètres!$A$1:$I$89,3,0)*VLOOKUP('Données projet'!$B$17,Paramètres!$A$1:$I$89,5,0)</f>
        <v>169.25594399999991</v>
      </c>
      <c r="GB45" s="14">
        <f t="shared" si="49"/>
        <v>42.923337274383478</v>
      </c>
      <c r="GC45" s="22">
        <f t="shared" si="25"/>
        <v>369.54558155288436</v>
      </c>
      <c r="GD45" s="62">
        <f t="shared" si="26"/>
        <v>638.74780266330617</v>
      </c>
      <c r="GE45" s="62">
        <f ca="1">AVERAGE(OFFSET($GD$3,0,0,'Données projet'!$E$17+1,1))-AVERAGE(OFFSET($H$3,0,0,'Données projet'!$E$17+1,1))</f>
        <v>383.71724511025587</v>
      </c>
      <c r="GF45" s="62">
        <f t="shared" si="50"/>
        <v>415.10774719533185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63.418787575569581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6.7948717948717956</v>
      </c>
      <c r="GU45" s="13">
        <f>IF('Données projet'!$A$270&gt;35,GU44+GT45-HC44,IF(A45&lt;'Données projet'!$A$270,$GR$205^A45,IF(A45='Données projet'!$A$270,'Données projet'!$B$270,GU44+GT45-HC44)))</f>
        <v>170.00000000000003</v>
      </c>
      <c r="GV45" s="18">
        <f>GU45*VLOOKUP('Données projet'!$B$18,Paramètres!$A$1:$I$89,3,0)*VLOOKUP('Données projet'!$B$18,Paramètres!$A$1:$I$89,5,0)</f>
        <v>114.03600000000002</v>
      </c>
      <c r="GW45" s="14">
        <f t="shared" si="51"/>
        <v>30.279894261296121</v>
      </c>
      <c r="GX45" s="22">
        <f t="shared" si="28"/>
        <v>251.35018250509077</v>
      </c>
      <c r="GY45" s="62">
        <f t="shared" si="29"/>
        <v>520.55240361551262</v>
      </c>
      <c r="GZ45" s="62">
        <f ca="1">AVERAGE(OFFSET($GY$3,0,0,'Données projet'!$E$18+1,1))-AVERAGE(OFFSET($H$3,0,0,'Données projet'!$E$18+1,1))</f>
        <v>329.93956600482801</v>
      </c>
      <c r="HA45" s="62">
        <f t="shared" si="52"/>
        <v>268.69186630599165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2.7450000000000001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10.065</v>
      </c>
      <c r="H46" s="70">
        <f t="shared" si="1"/>
        <v>216.40666666666667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63.532956897746686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2">
        <f t="shared" si="0"/>
        <v>681.81380489389153</v>
      </c>
      <c r="S46" s="62">
        <f ca="1">AVERAGE(OFFSET($R$3,0,0,'Données projet'!$E$9+1,1))-AVERAGE(OFFSET($H$3,0,0,'Données projet'!$E$9+1,1))</f>
        <v>551.67307965706379</v>
      </c>
      <c r="T46" s="62">
        <f t="shared" si="34"/>
        <v>288.70738860523943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63.532956897746686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209.20000000000005</v>
      </c>
      <c r="AJ46" s="14">
        <f>AI46*VLOOKUP('Données projet'!$B$10,Paramètres!$A$1:$I$89,3,0)*VLOOKUP('Données projet'!$B$10,Paramètres!$A$1:$I$89,5,0)</f>
        <v>176.23008000000004</v>
      </c>
      <c r="AK46" s="14">
        <f t="shared" si="35"/>
        <v>44.482417993768294</v>
      </c>
      <c r="AL46" s="22">
        <f t="shared" si="4"/>
        <v>384.40760067247987</v>
      </c>
      <c r="AM46" s="62">
        <f t="shared" si="5"/>
        <v>654.02844263088446</v>
      </c>
      <c r="AN46" s="62">
        <f ca="1">AVERAGE(OFFSET($AM$3,0,0,'Données projet'!$E$10+1,1))-AVERAGE(OFFSET($H$3,0,0,'Données projet'!$E$10+1,1))</f>
        <v>518.18933270904506</v>
      </c>
      <c r="AO46" s="62">
        <f t="shared" si="36"/>
        <v>272.44431899810411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63.532956897746686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15.666666666666666</v>
      </c>
      <c r="BD46" s="13">
        <f>IF('Données projet'!$A$88&gt;35,BD45+BC46-BL45,IF(A46&lt;'Données projet'!$A$88,$BA$205^A46,IF(A46='Données projet'!$A$88,'Données projet'!$B$88,BD45+BC46-BL45)))</f>
        <v>161.66666666666657</v>
      </c>
      <c r="BE46" s="14">
        <f>BD46*VLOOKUP('Données projet'!$B$11,Paramètres!$A$1:$I$89,3,0)*VLOOKUP('Données projet'!$B$11,Paramètres!$A$1:$I$89,5,0)</f>
        <v>138.70999999999995</v>
      </c>
      <c r="BF46" s="14">
        <f t="shared" si="37"/>
        <v>36.00132558429457</v>
      </c>
      <c r="BG46" s="22">
        <f t="shared" si="7"/>
        <v>304.2888920593129</v>
      </c>
      <c r="BH46" s="62">
        <f t="shared" si="8"/>
        <v>573.90973401771748</v>
      </c>
      <c r="BI46" s="62">
        <f ca="1">AVERAGE(OFFSET($BH$3,0,0,'Données projet'!$E$11+1,1))-AVERAGE(OFFSET($H$3,0,0,'Données projet'!$E$11+1,1))</f>
        <v>464.73160475167867</v>
      </c>
      <c r="BJ46" s="62">
        <f t="shared" si="38"/>
        <v>241.31968359962227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63.532956897746686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7.4</v>
      </c>
      <c r="BY46" s="13">
        <f>IF('Données projet'!$A$114&gt;35,BY45+BX46-CG45,IF(A46&lt;'Données projet'!$A$114,$BV$205^A46,IF(A46='Données projet'!$A$114,'Données projet'!$B$114,BY45+BX46-CG45)))</f>
        <v>217.20000000000007</v>
      </c>
      <c r="BZ46" s="14">
        <f>BY46*VLOOKUP('Données projet'!$B$12,Paramètres!$A$1:$I$89,3,0)*VLOOKUP('Données projet'!$B$12,Paramètres!$A$1:$I$89,5,0)</f>
        <v>142.30944000000005</v>
      </c>
      <c r="CA46" s="14">
        <f t="shared" si="39"/>
        <v>36.825560926488883</v>
      </c>
      <c r="CB46" s="22">
        <f t="shared" si="10"/>
        <v>311.99345994696824</v>
      </c>
      <c r="CC46" s="62">
        <f t="shared" si="11"/>
        <v>581.61430190537271</v>
      </c>
      <c r="CD46" s="62">
        <f ca="1">AVERAGE(OFFSET($CC$3,0,0,'Données projet'!$E$12+1,1))-AVERAGE(OFFSET($H$3,0,0,'Données projet'!$E$12+1,1))</f>
        <v>292.13851489852607</v>
      </c>
      <c r="CE46" s="62">
        <f t="shared" si="40"/>
        <v>280.10866188737418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63.532956897746686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7.6</v>
      </c>
      <c r="CT46" s="13">
        <f>IF('Données projet'!$A$140&gt;35,CT45+CS46-DB45,IF(A46&lt;'Données projet'!$A$140,$CQ$205^A46,IF(A46='Données projet'!$A$140,'Données projet'!$B$140,CT45+CS46-DB45)))</f>
        <v>174.8</v>
      </c>
      <c r="CU46" s="18">
        <f>CT46*VLOOKUP('Données projet'!$B$13,Paramètres!$A$1:$I$89,3,0)*VLOOKUP('Données projet'!$B$13,Paramètres!$A$1:$I$89,5,0)</f>
        <v>141.79776000000004</v>
      </c>
      <c r="CV46" s="14">
        <f t="shared" si="41"/>
        <v>36.708540735279854</v>
      </c>
      <c r="CW46" s="22">
        <f t="shared" si="13"/>
        <v>310.89847378061245</v>
      </c>
      <c r="CX46" s="62">
        <f t="shared" si="14"/>
        <v>580.51931573901697</v>
      </c>
      <c r="CY46" s="62">
        <f ca="1">AVERAGE(OFFSET($CX$3,0,0,'Données projet'!$E$13+1,1))-AVERAGE(OFFSET($H$3,0,0,'Données projet'!$E$13+1,1))</f>
        <v>265.25572936607409</v>
      </c>
      <c r="CZ46" s="62">
        <f t="shared" si="42"/>
        <v>307.96244316129071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63.532956897746686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6.2820512820512819</v>
      </c>
      <c r="DO46" s="13">
        <f>IF('Données projet'!$A$166&gt;35,DO45+DN46-DW45,IF(A46&lt;'Données projet'!$A$166,$DL$205^A46,IF(A46='Données projet'!$A$166,'Données projet'!$B$166,DO45+DN46-DW45)))</f>
        <v>179.10256410256406</v>
      </c>
      <c r="DP46" s="18">
        <f>DO46*VLOOKUP('Données projet'!$B$14,Paramètres!$A$1:$I$89,3,0)*VLOOKUP('Données projet'!$B$14,Paramètres!$A$1:$I$89,5,0)</f>
        <v>170.43399999999997</v>
      </c>
      <c r="DQ46" s="14">
        <f t="shared" si="43"/>
        <v>43.187210719400916</v>
      </c>
      <c r="DR46" s="22">
        <f t="shared" si="16"/>
        <v>372.05694200295653</v>
      </c>
      <c r="DS46" s="62">
        <f t="shared" si="17"/>
        <v>641.677783961361</v>
      </c>
      <c r="DT46" s="62">
        <f ca="1">AVERAGE(OFFSET($DS$3,0,0,'Données projet'!$E$14+1,1))-AVERAGE(OFFSET($H$3,0,0,'Données projet'!$E$14+1,1))</f>
        <v>425.41154182732936</v>
      </c>
      <c r="DU46" s="62">
        <f t="shared" si="44"/>
        <v>306.44721925744591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63.532956897746686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9.8199999999999932</v>
      </c>
      <c r="EJ46" s="13">
        <f>IF('Données projet'!$A$192&gt;35,EJ45+EI46-ER45,IF(A46&lt;'Données projet'!$A$192,$EG$205^A46,IF(A46='Données projet'!$A$192,'Données projet'!$B$192,EJ45+EI46-ER45)))</f>
        <v>222.55999999999989</v>
      </c>
      <c r="EK46" s="18">
        <f>EJ46*VLOOKUP('Données projet'!$B$15,Paramètres!$A$1:$I$89,3,0)*VLOOKUP('Données projet'!$B$15,Paramètres!$A$1:$I$89,5,0)</f>
        <v>163.18099199999992</v>
      </c>
      <c r="EL46" s="14">
        <f t="shared" si="45"/>
        <v>41.559172921966017</v>
      </c>
      <c r="EM46" s="22">
        <f t="shared" si="19"/>
        <v>356.58912057242401</v>
      </c>
      <c r="EN46" s="62">
        <f t="shared" si="20"/>
        <v>626.20996253082853</v>
      </c>
      <c r="EO46" s="62">
        <f ca="1">AVERAGE(OFFSET($EN$3,0,0,'Données projet'!$E$15+1,1))-AVERAGE(OFFSET($H$3,0,0,'Données projet'!$E$15+1,1))</f>
        <v>357.57626046668958</v>
      </c>
      <c r="EP46" s="62">
        <f t="shared" si="46"/>
        <v>386.90439522046199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63.532956897746686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11.142857142857142</v>
      </c>
      <c r="FE46" s="13">
        <f>IF('Données projet'!$A$218&gt;35,FE45+FD46-FM45,IF(A46&lt;'Données projet'!$A$218,$FB$205^A46,IF(A46='Données projet'!$A$218,'Données projet'!$B$218,FE45+FD46-FM45)))</f>
        <v>218.8571428571428</v>
      </c>
      <c r="FF46" s="18">
        <f>FE46*VLOOKUP('Données projet'!$B$16,Paramètres!$A$1:$I$89,3,0)*VLOOKUP('Données projet'!$B$16,Paramètres!$A$1:$I$89,5,0)</f>
        <v>170.70857142857139</v>
      </c>
      <c r="FG46" s="14">
        <f t="shared" si="47"/>
        <v>43.248681576985412</v>
      </c>
      <c r="FH46" s="22">
        <f t="shared" si="22"/>
        <v>372.64221565134471</v>
      </c>
      <c r="FI46" s="62">
        <f t="shared" si="23"/>
        <v>642.26305760974924</v>
      </c>
      <c r="FJ46" s="62">
        <f ca="1">AVERAGE(OFFSET($FI$3,0,0,'Données projet'!$E$16+1,1))-AVERAGE(OFFSET($H$3,0,0,'Données projet'!$E$16+1,1))</f>
        <v>303.56663121833833</v>
      </c>
      <c r="FK46" s="62">
        <f t="shared" si="48"/>
        <v>293.97736357938038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63.532956897746686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9.8199999999999932</v>
      </c>
      <c r="FZ46" s="13">
        <f>IF('Données projet'!$A$244&gt;35,FZ45+FY46-GH45,IF(A46&lt;'Données projet'!$A$244,$FW$205^A46,IF(A46='Données projet'!$A$244,'Données projet'!$B$244,FZ45+FY46-GH45)))</f>
        <v>222.55999999999989</v>
      </c>
      <c r="GA46" s="18">
        <f>FZ46*VLOOKUP('Données projet'!$B$17,Paramètres!$A$1:$I$89,3,0)*VLOOKUP('Données projet'!$B$17,Paramètres!$A$1:$I$89,5,0)</f>
        <v>177.06873599999992</v>
      </c>
      <c r="GB46" s="14">
        <f t="shared" si="49"/>
        <v>44.669412059753448</v>
      </c>
      <c r="GC46" s="22">
        <f t="shared" si="25"/>
        <v>386.19394120407043</v>
      </c>
      <c r="GD46" s="62">
        <f t="shared" si="26"/>
        <v>655.8147831624749</v>
      </c>
      <c r="GE46" s="62">
        <f ca="1">AVERAGE(OFFSET($GD$3,0,0,'Données projet'!$E$17+1,1))-AVERAGE(OFFSET($H$3,0,0,'Données projet'!$E$17+1,1))</f>
        <v>383.71724511025587</v>
      </c>
      <c r="GF46" s="62">
        <f t="shared" si="50"/>
        <v>415.10774719533185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63.532956897746686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6.7948717948717956</v>
      </c>
      <c r="GU46" s="13">
        <f>IF('Données projet'!$A$270&gt;35,GU45+GT46-HC45,IF(A46&lt;'Données projet'!$A$270,$GR$205^A46,IF(A46='Données projet'!$A$270,'Données projet'!$B$270,GU45+GT46-HC45)))</f>
        <v>176.79487179487182</v>
      </c>
      <c r="GV46" s="18">
        <f>GU46*VLOOKUP('Données projet'!$B$18,Paramètres!$A$1:$I$89,3,0)*VLOOKUP('Données projet'!$B$18,Paramètres!$A$1:$I$89,5,0)</f>
        <v>118.59400000000002</v>
      </c>
      <c r="GW46" s="14">
        <f t="shared" si="51"/>
        <v>31.346848285873225</v>
      </c>
      <c r="GX46" s="22">
        <f t="shared" si="28"/>
        <v>261.14697743122923</v>
      </c>
      <c r="GY46" s="62">
        <f t="shared" si="29"/>
        <v>530.76781938963381</v>
      </c>
      <c r="GZ46" s="62">
        <f ca="1">AVERAGE(OFFSET($GY$3,0,0,'Données projet'!$E$18+1,1))-AVERAGE(OFFSET($H$3,0,0,'Données projet'!$E$18+1,1))</f>
        <v>329.93956600482801</v>
      </c>
      <c r="HA46" s="62">
        <f t="shared" si="52"/>
        <v>268.69186630599165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2.7450000000000001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10.065</v>
      </c>
      <c r="H47" s="70">
        <f t="shared" si="1"/>
        <v>216.40666666666667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63.645145637428399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2">
        <f t="shared" si="0"/>
        <v>704.15112257922556</v>
      </c>
      <c r="S47" s="62">
        <f ca="1">AVERAGE(OFFSET($R$3,0,0,'Données projet'!$E$9+1,1))-AVERAGE(OFFSET($H$3,0,0,'Données projet'!$E$9+1,1))</f>
        <v>551.67307965706379</v>
      </c>
      <c r="T47" s="62">
        <f t="shared" si="34"/>
        <v>288.70738860523943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63.645145637428399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220.60000000000005</v>
      </c>
      <c r="AJ47" s="14">
        <f>AI47*VLOOKUP('Données projet'!$B$10,Paramètres!$A$1:$I$89,3,0)*VLOOKUP('Données projet'!$B$10,Paramètres!$A$1:$I$89,5,0)</f>
        <v>185.83344000000005</v>
      </c>
      <c r="AK47" s="14">
        <f t="shared" si="35"/>
        <v>46.617600215670045</v>
      </c>
      <c r="AL47" s="22">
        <f t="shared" si="4"/>
        <v>404.85222837562537</v>
      </c>
      <c r="AM47" s="62">
        <f t="shared" si="5"/>
        <v>674.88442904619615</v>
      </c>
      <c r="AN47" s="62">
        <f ca="1">AVERAGE(OFFSET($AM$3,0,0,'Données projet'!$E$10+1,1))-AVERAGE(OFFSET($H$3,0,0,'Données projet'!$E$10+1,1))</f>
        <v>518.18933270904506</v>
      </c>
      <c r="AO47" s="62">
        <f t="shared" si="36"/>
        <v>272.44431899810411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63.645145637428399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15.666666666666666</v>
      </c>
      <c r="BD47" s="13">
        <f>IF('Données projet'!$A$88&gt;35,BD46+BC47-BL46,IF(A47&lt;'Données projet'!$A$88,$BA$205^A47,IF(A47='Données projet'!$A$88,'Données projet'!$B$88,BD46+BC47-BL46)))</f>
        <v>177.33333333333323</v>
      </c>
      <c r="BE47" s="14">
        <f>BD47*VLOOKUP('Données projet'!$B$11,Paramètres!$A$1:$I$89,3,0)*VLOOKUP('Données projet'!$B$11,Paramètres!$A$1:$I$89,5,0)</f>
        <v>152.15199999999993</v>
      </c>
      <c r="BF47" s="14">
        <f t="shared" si="37"/>
        <v>39.067229161930634</v>
      </c>
      <c r="BG47" s="22">
        <f t="shared" si="7"/>
        <v>333.04015745702907</v>
      </c>
      <c r="BH47" s="62">
        <f t="shared" si="8"/>
        <v>603.07235812759995</v>
      </c>
      <c r="BI47" s="62">
        <f ca="1">AVERAGE(OFFSET($BH$3,0,0,'Données projet'!$E$11+1,1))-AVERAGE(OFFSET($H$3,0,0,'Données projet'!$E$11+1,1))</f>
        <v>464.73160475167867</v>
      </c>
      <c r="BJ47" s="62">
        <f t="shared" si="38"/>
        <v>241.31968359962227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63.645145637428399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7.4</v>
      </c>
      <c r="BY47" s="13">
        <f>IF('Données projet'!$A$114&gt;35,BY46+BX47-CG46,IF(A47&lt;'Données projet'!$A$114,$BV$205^A47,IF(A47='Données projet'!$A$114,'Données projet'!$B$114,BY46+BX47-CG46)))</f>
        <v>224.60000000000008</v>
      </c>
      <c r="BZ47" s="14">
        <f>BY47*VLOOKUP('Données projet'!$B$12,Paramètres!$A$1:$I$89,3,0)*VLOOKUP('Données projet'!$B$12,Paramètres!$A$1:$I$89,5,0)</f>
        <v>147.15792000000008</v>
      </c>
      <c r="CA47" s="14">
        <f t="shared" si="39"/>
        <v>37.931995448211751</v>
      </c>
      <c r="CB47" s="22">
        <f t="shared" si="10"/>
        <v>322.36493607230227</v>
      </c>
      <c r="CC47" s="62">
        <f t="shared" si="11"/>
        <v>592.39713674287304</v>
      </c>
      <c r="CD47" s="62">
        <f ca="1">AVERAGE(OFFSET($CC$3,0,0,'Données projet'!$E$12+1,1))-AVERAGE(OFFSET($H$3,0,0,'Données projet'!$E$12+1,1))</f>
        <v>292.13851489852607</v>
      </c>
      <c r="CE47" s="62">
        <f t="shared" si="40"/>
        <v>280.10866188737418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63.645145637428399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7.6</v>
      </c>
      <c r="CT47" s="13">
        <f>IF('Données projet'!$A$140&gt;35,CT46+CS47-DB46,IF(A47&lt;'Données projet'!$A$140,$CQ$205^A47,IF(A47='Données projet'!$A$140,'Données projet'!$B$140,CT46+CS47-DB46)))</f>
        <v>182.4</v>
      </c>
      <c r="CU47" s="18">
        <f>CT47*VLOOKUP('Données projet'!$B$13,Paramètres!$A$1:$I$89,3,0)*VLOOKUP('Données projet'!$B$13,Paramètres!$A$1:$I$89,5,0)</f>
        <v>147.96288000000001</v>
      </c>
      <c r="CV47" s="14">
        <f t="shared" si="41"/>
        <v>38.115275017059226</v>
      </c>
      <c r="CW47" s="22">
        <f t="shared" si="13"/>
        <v>324.0861199880448</v>
      </c>
      <c r="CX47" s="62">
        <f t="shared" si="14"/>
        <v>594.11832065861563</v>
      </c>
      <c r="CY47" s="62">
        <f ca="1">AVERAGE(OFFSET($CX$3,0,0,'Données projet'!$E$13+1,1))-AVERAGE(OFFSET($H$3,0,0,'Données projet'!$E$13+1,1))</f>
        <v>265.25572936607409</v>
      </c>
      <c r="CZ47" s="62">
        <f t="shared" si="42"/>
        <v>307.96244316129071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63.645145637428399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6.2820512820512819</v>
      </c>
      <c r="DO47" s="13">
        <f>IF('Données projet'!$A$166&gt;35,DO46+DN47-DW46,IF(A47&lt;'Données projet'!$A$166,$DL$205^A47,IF(A47='Données projet'!$A$166,'Données projet'!$B$166,DO46+DN47-DW46)))</f>
        <v>185.38461538461533</v>
      </c>
      <c r="DP47" s="18">
        <f>DO47*VLOOKUP('Données projet'!$B$14,Paramètres!$A$1:$I$89,3,0)*VLOOKUP('Données projet'!$B$14,Paramètres!$A$1:$I$89,5,0)</f>
        <v>176.41199999999995</v>
      </c>
      <c r="DQ47" s="14">
        <f t="shared" si="43"/>
        <v>44.522989246723967</v>
      </c>
      <c r="DR47" s="22">
        <f t="shared" si="16"/>
        <v>384.79510627137751</v>
      </c>
      <c r="DS47" s="62">
        <f t="shared" si="17"/>
        <v>654.82730694194834</v>
      </c>
      <c r="DT47" s="62">
        <f ca="1">AVERAGE(OFFSET($DS$3,0,0,'Données projet'!$E$14+1,1))-AVERAGE(OFFSET($H$3,0,0,'Données projet'!$E$14+1,1))</f>
        <v>425.41154182732936</v>
      </c>
      <c r="DU47" s="62">
        <f t="shared" si="44"/>
        <v>306.44721925744591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63.645145637428399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9.8199999999999932</v>
      </c>
      <c r="EJ47" s="13">
        <f>IF('Données projet'!$A$192&gt;35,EJ46+EI47-ER46,IF(A47&lt;'Données projet'!$A$192,$EG$205^A47,IF(A47='Données projet'!$A$192,'Données projet'!$B$192,EJ46+EI47-ER46)))</f>
        <v>232.37999999999988</v>
      </c>
      <c r="EK47" s="18">
        <f>EJ47*VLOOKUP('Données projet'!$B$15,Paramètres!$A$1:$I$89,3,0)*VLOOKUP('Données projet'!$B$15,Paramètres!$A$1:$I$89,5,0)</f>
        <v>170.3810159999999</v>
      </c>
      <c r="EL47" s="14">
        <f t="shared" si="45"/>
        <v>43.17534737258952</v>
      </c>
      <c r="EM47" s="22">
        <f t="shared" si="19"/>
        <v>371.94399954059327</v>
      </c>
      <c r="EN47" s="62">
        <f t="shared" si="20"/>
        <v>641.97620021116404</v>
      </c>
      <c r="EO47" s="62">
        <f ca="1">AVERAGE(OFFSET($EN$3,0,0,'Données projet'!$E$15+1,1))-AVERAGE(OFFSET($H$3,0,0,'Données projet'!$E$15+1,1))</f>
        <v>357.57626046668958</v>
      </c>
      <c r="EP47" s="62">
        <f t="shared" si="46"/>
        <v>386.90439522046199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63.645145637428399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>
        <f>VLOOKUP(A47,'Données projet'!$A$217:$I$237,2,0)</f>
        <v>230</v>
      </c>
      <c r="FC47" s="13">
        <f>VLOOKUP(A47,'Données projet'!$A$217:$I$237,9,0)</f>
        <v>11.142857142857142</v>
      </c>
      <c r="FD47" s="13">
        <f t="array" ref="FD47">INDEX(FC:FC,MIN(IF(ISNUMBER(FC47:FC243),ROW(FC47:FC243),"")))</f>
        <v>11.142857142857142</v>
      </c>
      <c r="FE47" s="13">
        <f>IF('Données projet'!$A$218&gt;35,FE46+FD47-FM46,IF(A47&lt;'Données projet'!$A$218,$FB$205^A47,IF(A47='Données projet'!$A$218,'Données projet'!$B$218,FE46+FD47-FM46)))</f>
        <v>229.99999999999994</v>
      </c>
      <c r="FF47" s="18">
        <f>FE47*VLOOKUP('Données projet'!$B$16,Paramètres!$A$1:$I$89,3,0)*VLOOKUP('Données projet'!$B$16,Paramètres!$A$1:$I$89,5,0)</f>
        <v>179.39999999999995</v>
      </c>
      <c r="FG47" s="14">
        <f t="shared" si="47"/>
        <v>45.188671291872232</v>
      </c>
      <c r="FH47" s="22">
        <f t="shared" si="22"/>
        <v>391.15860250001066</v>
      </c>
      <c r="FI47" s="62">
        <f t="shared" si="23"/>
        <v>661.19080317058149</v>
      </c>
      <c r="FJ47" s="62">
        <f ca="1">AVERAGE(OFFSET($FI$3,0,0,'Données projet'!$E$16+1,1))-AVERAGE(OFFSET($H$3,0,0,'Données projet'!$E$16+1,1))</f>
        <v>303.56663121833833</v>
      </c>
      <c r="FK47" s="62">
        <f t="shared" si="48"/>
        <v>293.97736357938038</v>
      </c>
      <c r="FL47" s="16">
        <f>IF(ISNA(VLOOKUP(A47,'Données projet'!$A$217:$I$237,3,0)),0,VLOOKUP(A47,'Données projet'!$A$217:$I$237,3,0))</f>
        <v>4</v>
      </c>
      <c r="FM47" s="16">
        <f>IF(ISNA(VLOOKUP(A47,'Données projet'!$A$217:$I$237,4,0)),0,VLOOKUP(A47,'Données projet'!$A$217:$I$237,4,0))</f>
        <v>43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63.645145637428399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9.8199999999999932</v>
      </c>
      <c r="FZ47" s="13">
        <f>IF('Données projet'!$A$244&gt;35,FZ46+FY47-GH46,IF(A47&lt;'Données projet'!$A$244,$FW$205^A47,IF(A47='Données projet'!$A$244,'Données projet'!$B$244,FZ46+FY47-GH46)))</f>
        <v>232.37999999999988</v>
      </c>
      <c r="GA47" s="18">
        <f>FZ47*VLOOKUP('Données projet'!$B$17,Paramètres!$A$1:$I$89,3,0)*VLOOKUP('Données projet'!$B$17,Paramètres!$A$1:$I$89,5,0)</f>
        <v>184.88152799999992</v>
      </c>
      <c r="GB47" s="14">
        <f t="shared" si="49"/>
        <v>46.406539086581006</v>
      </c>
      <c r="GC47" s="22">
        <f t="shared" si="25"/>
        <v>402.82671684246179</v>
      </c>
      <c r="GD47" s="62">
        <f t="shared" si="26"/>
        <v>672.85891751303257</v>
      </c>
      <c r="GE47" s="62">
        <f ca="1">AVERAGE(OFFSET($GD$3,0,0,'Données projet'!$E$17+1,1))-AVERAGE(OFFSET($H$3,0,0,'Données projet'!$E$17+1,1))</f>
        <v>383.71724511025587</v>
      </c>
      <c r="GF47" s="62">
        <f t="shared" si="50"/>
        <v>415.10774719533185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63.645145637428399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6.7948717948717956</v>
      </c>
      <c r="GU47" s="13">
        <f>IF('Données projet'!$A$270&gt;35,GU46+GT47-HC46,IF(A47&lt;'Données projet'!$A$270,$GR$205^A47,IF(A47='Données projet'!$A$270,'Données projet'!$B$270,GU46+GT47-HC46)))</f>
        <v>183.58974358974362</v>
      </c>
      <c r="GV47" s="18">
        <f>GU47*VLOOKUP('Données projet'!$B$18,Paramètres!$A$1:$I$89,3,0)*VLOOKUP('Données projet'!$B$18,Paramètres!$A$1:$I$89,5,0)</f>
        <v>123.15200000000002</v>
      </c>
      <c r="GW47" s="14">
        <f t="shared" si="51"/>
        <v>32.409038525483382</v>
      </c>
      <c r="GX47" s="22">
        <f t="shared" si="28"/>
        <v>270.93547543188362</v>
      </c>
      <c r="GY47" s="62">
        <f t="shared" si="29"/>
        <v>540.96767610245445</v>
      </c>
      <c r="GZ47" s="62">
        <f ca="1">AVERAGE(OFFSET($GY$3,0,0,'Données projet'!$E$18+1,1))-AVERAGE(OFFSET($H$3,0,0,'Données projet'!$E$18+1,1))</f>
        <v>329.93956600482801</v>
      </c>
      <c r="HA47" s="62">
        <f t="shared" si="52"/>
        <v>268.69186630599165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2.7450000000000001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10.065</v>
      </c>
      <c r="H48" s="70">
        <f t="shared" si="1"/>
        <v>216.40666666666667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63.755388153293076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2">
        <f t="shared" si="0"/>
        <v>726.45753719973584</v>
      </c>
      <c r="S48" s="62">
        <f ca="1">AVERAGE(OFFSET($R$3,0,0,'Données projet'!$E$9+1,1))-AVERAGE(OFFSET($H$3,0,0,'Données projet'!$E$9+1,1))</f>
        <v>551.67307965706379</v>
      </c>
      <c r="T48" s="62">
        <f t="shared" si="34"/>
        <v>288.70738860523943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63.755388153293076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232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232.00000000000006</v>
      </c>
      <c r="AJ48" s="14">
        <f>AI48*VLOOKUP('Données projet'!$B$10,Paramètres!$A$1:$I$89,3,0)*VLOOKUP('Données projet'!$B$10,Paramètres!$A$1:$I$89,5,0)</f>
        <v>195.43680000000006</v>
      </c>
      <c r="AK48" s="14">
        <f t="shared" si="35"/>
        <v>48.739971354487849</v>
      </c>
      <c r="AL48" s="22">
        <f t="shared" si="4"/>
        <v>425.27454344239982</v>
      </c>
      <c r="AM48" s="62">
        <f t="shared" si="5"/>
        <v>695.71096667114102</v>
      </c>
      <c r="AN48" s="62">
        <f ca="1">AVERAGE(OFFSET($AM$3,0,0,'Données projet'!$E$10+1,1))-AVERAGE(OFFSET($H$3,0,0,'Données projet'!$E$10+1,1))</f>
        <v>518.18933270904506</v>
      </c>
      <c r="AO48" s="62">
        <f t="shared" si="36"/>
        <v>272.44431899810411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56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63.755388153293076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15.666666666666666</v>
      </c>
      <c r="BD48" s="13">
        <f>IF('Données projet'!$A$88&gt;35,BD47+BC48-BL47,IF(A48&lt;'Données projet'!$A$88,$BA$205^A48,IF(A48='Données projet'!$A$88,'Données projet'!$B$88,BD47+BC48-BL47)))</f>
        <v>192.99999999999989</v>
      </c>
      <c r="BE48" s="14">
        <f>BD48*VLOOKUP('Données projet'!$B$11,Paramètres!$A$1:$I$89,3,0)*VLOOKUP('Données projet'!$B$11,Paramètres!$A$1:$I$89,5,0)</f>
        <v>165.59399999999994</v>
      </c>
      <c r="BF48" s="14">
        <f t="shared" si="37"/>
        <v>42.101723105196754</v>
      </c>
      <c r="BG48" s="22">
        <f t="shared" si="7"/>
        <v>361.73671774155088</v>
      </c>
      <c r="BH48" s="62">
        <f t="shared" si="8"/>
        <v>632.17314097029214</v>
      </c>
      <c r="BI48" s="62">
        <f ca="1">AVERAGE(OFFSET($BH$3,0,0,'Données projet'!$E$11+1,1))-AVERAGE(OFFSET($H$3,0,0,'Données projet'!$E$11+1,1))</f>
        <v>464.73160475167867</v>
      </c>
      <c r="BJ48" s="62">
        <f t="shared" si="38"/>
        <v>241.31968359962227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63.755388153293076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232</v>
      </c>
      <c r="BW48" s="13">
        <f>VLOOKUP(A48,'Données projet'!$A$113:$I$133,9,0)</f>
        <v>7.4</v>
      </c>
      <c r="BX48" s="13">
        <f t="array" ref="BX48">INDEX(BW:BW,MIN(IF(ISNUMBER(BW48:BW244),ROW(BW48:BW244),"")))</f>
        <v>7.4</v>
      </c>
      <c r="BY48" s="13">
        <f>IF('Données projet'!$A$114&gt;35,BY47+BX48-CG47,IF(A48&lt;'Données projet'!$A$114,$BV$205^A48,IF(A48='Données projet'!$A$114,'Données projet'!$B$114,BY47+BX48-CG47)))</f>
        <v>232.00000000000009</v>
      </c>
      <c r="BZ48" s="14">
        <f>BY48*VLOOKUP('Données projet'!$B$12,Paramètres!$A$1:$I$89,3,0)*VLOOKUP('Données projet'!$B$12,Paramètres!$A$1:$I$89,5,0)</f>
        <v>152.00640000000004</v>
      </c>
      <c r="CA48" s="14">
        <f t="shared" si="39"/>
        <v>39.034194016561486</v>
      </c>
      <c r="CB48" s="22">
        <f t="shared" si="10"/>
        <v>332.72903457884462</v>
      </c>
      <c r="CC48" s="62">
        <f t="shared" si="11"/>
        <v>603.16545780758588</v>
      </c>
      <c r="CD48" s="62">
        <f ca="1">AVERAGE(OFFSET($CC$3,0,0,'Données projet'!$E$12+1,1))-AVERAGE(OFFSET($H$3,0,0,'Données projet'!$E$12+1,1))</f>
        <v>292.13851489852607</v>
      </c>
      <c r="CE48" s="62">
        <f t="shared" si="40"/>
        <v>280.10866188737418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50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63.755388153293076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190</v>
      </c>
      <c r="CR48" s="13">
        <f>VLOOKUP(A48,'Données projet'!$A$139:$I$159,9,0)</f>
        <v>7.6</v>
      </c>
      <c r="CS48" s="13">
        <f t="array" ref="CS48">INDEX(CR:CR,MIN(IF(ISNUMBER(CR48:CR244),ROW(CR48:CR244),"")))</f>
        <v>7.6</v>
      </c>
      <c r="CT48" s="13">
        <f>IF('Données projet'!$A$140&gt;35,CT47+CS48-DB47,IF(A48&lt;'Données projet'!$A$140,$CQ$205^A48,IF(A48='Données projet'!$A$140,'Données projet'!$B$140,CT47+CS48-DB47)))</f>
        <v>190</v>
      </c>
      <c r="CU48" s="18">
        <f>CT48*VLOOKUP('Données projet'!$B$13,Paramètres!$A$1:$I$89,3,0)*VLOOKUP('Données projet'!$B$13,Paramètres!$A$1:$I$89,5,0)</f>
        <v>154.12800000000001</v>
      </c>
      <c r="CV48" s="14">
        <f t="shared" si="41"/>
        <v>39.515201075361155</v>
      </c>
      <c r="CW48" s="22">
        <f t="shared" si="13"/>
        <v>337.26190853958735</v>
      </c>
      <c r="CX48" s="62">
        <f t="shared" si="14"/>
        <v>607.69833176832867</v>
      </c>
      <c r="CY48" s="62">
        <f ca="1">AVERAGE(OFFSET($CX$3,0,0,'Données projet'!$E$13+1,1))-AVERAGE(OFFSET($H$3,0,0,'Données projet'!$E$13+1,1))</f>
        <v>265.25572936607409</v>
      </c>
      <c r="CZ48" s="62">
        <f t="shared" si="42"/>
        <v>307.96244316129071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63.755388153293076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191.66666666666666</v>
      </c>
      <c r="DM48" s="13">
        <f>VLOOKUP(A48,'Données projet'!$A$165:$I$185,9,0)</f>
        <v>6.2820512820512819</v>
      </c>
      <c r="DN48" s="13">
        <f t="array" ref="DN48">INDEX(DM:DM,MIN(IF(ISNUMBER(DM48:DM244),ROW(DM48:DM244),"")))</f>
        <v>6.2820512820512819</v>
      </c>
      <c r="DO48" s="13">
        <f>IF('Données projet'!$A$166&gt;35,DO47+DN48-DW47,IF(A48&lt;'Données projet'!$A$166,$DL$205^A48,IF(A48='Données projet'!$A$166,'Données projet'!$B$166,DO47+DN48-DW47)))</f>
        <v>191.6666666666666</v>
      </c>
      <c r="DP48" s="18">
        <f>DO48*VLOOKUP('Données projet'!$B$14,Paramètres!$A$1:$I$89,3,0)*VLOOKUP('Données projet'!$B$14,Paramètres!$A$1:$I$89,5,0)</f>
        <v>182.38999999999996</v>
      </c>
      <c r="DQ48" s="14">
        <f t="shared" si="43"/>
        <v>45.853508245632504</v>
      </c>
      <c r="DR48" s="22">
        <f t="shared" si="16"/>
        <v>397.52411019447646</v>
      </c>
      <c r="DS48" s="62">
        <f t="shared" si="17"/>
        <v>667.96053342321773</v>
      </c>
      <c r="DT48" s="62">
        <f ca="1">AVERAGE(OFFSET($DS$3,0,0,'Données projet'!$E$14+1,1))-AVERAGE(OFFSET($H$3,0,0,'Données projet'!$E$14+1,1))</f>
        <v>425.41154182732936</v>
      </c>
      <c r="DU48" s="62">
        <f t="shared" si="44"/>
        <v>306.44721925744591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34.615384615384613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63.755388153293076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242.2</v>
      </c>
      <c r="EH48" s="13">
        <f>VLOOKUP(A48,'Données projet'!$A$191:$I$211,9,0)</f>
        <v>9.8199999999999932</v>
      </c>
      <c r="EI48" s="13">
        <f t="array" ref="EI48">INDEX(EH:EH,MIN(IF(ISNUMBER(EH48:EH244),ROW(EH48:EH244),"")))</f>
        <v>9.8199999999999932</v>
      </c>
      <c r="EJ48" s="13">
        <f>IF('Données projet'!$A$192&gt;35,EJ47+EI48-ER47,IF(A48&lt;'Données projet'!$A$192,$EG$205^A48,IF(A48='Données projet'!$A$192,'Données projet'!$B$192,EJ47+EI48-ER47)))</f>
        <v>242.19999999999987</v>
      </c>
      <c r="EK48" s="18">
        <f>EJ48*VLOOKUP('Données projet'!$B$15,Paramètres!$A$1:$I$89,3,0)*VLOOKUP('Données projet'!$B$15,Paramètres!$A$1:$I$89,5,0)</f>
        <v>177.58103999999989</v>
      </c>
      <c r="EL48" s="14">
        <f t="shared" si="45"/>
        <v>44.783589090869476</v>
      </c>
      <c r="EM48" s="22">
        <f t="shared" si="19"/>
        <v>387.28506233326408</v>
      </c>
      <c r="EN48" s="62">
        <f t="shared" si="20"/>
        <v>657.72148556200534</v>
      </c>
      <c r="EO48" s="62">
        <f ca="1">AVERAGE(OFFSET($EN$3,0,0,'Données projet'!$E$15+1,1))-AVERAGE(OFFSET($H$3,0,0,'Données projet'!$E$15+1,1))</f>
        <v>357.57626046668958</v>
      </c>
      <c r="EP48" s="62">
        <f t="shared" si="46"/>
        <v>386.90439522046199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63.755388153293076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10.375</v>
      </c>
      <c r="FE48" s="13">
        <f>IF('Données projet'!$A$218&gt;35,FE47+FD48-FM47,IF(A48&lt;'Données projet'!$A$218,$FB$205^A48,IF(A48='Données projet'!$A$218,'Données projet'!$B$218,FE47+FD48-FM47)))</f>
        <v>197.37499999999994</v>
      </c>
      <c r="FF48" s="18">
        <f>FE48*VLOOKUP('Données projet'!$B$16,Paramètres!$A$1:$I$89,3,0)*VLOOKUP('Données projet'!$B$16,Paramètres!$A$1:$I$89,5,0)</f>
        <v>153.95249999999996</v>
      </c>
      <c r="FG48" s="14">
        <f t="shared" si="47"/>
        <v>39.475441267837397</v>
      </c>
      <c r="FH48" s="22">
        <f t="shared" si="22"/>
        <v>336.88699770815003</v>
      </c>
      <c r="FI48" s="62">
        <f t="shared" si="23"/>
        <v>607.32342093689135</v>
      </c>
      <c r="FJ48" s="62">
        <f ca="1">AVERAGE(OFFSET($FI$3,0,0,'Données projet'!$E$16+1,1))-AVERAGE(OFFSET($H$3,0,0,'Données projet'!$E$16+1,1))</f>
        <v>303.56663121833833</v>
      </c>
      <c r="FK48" s="62">
        <f t="shared" si="48"/>
        <v>293.97736357938038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63.755388153293076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242.2</v>
      </c>
      <c r="FX48" s="13">
        <f>VLOOKUP(A48,'Données projet'!$A$243:$I$263,9,0)</f>
        <v>9.8199999999999932</v>
      </c>
      <c r="FY48" s="13">
        <f t="array" ref="FY48">INDEX(FX:FX,MIN(IF(ISNUMBER(FX48:FX244),ROW(FX48:FX244),"")))</f>
        <v>9.8199999999999932</v>
      </c>
      <c r="FZ48" s="13">
        <f>IF('Données projet'!$A$244&gt;35,FZ47+FY48-GH47,IF(A48&lt;'Données projet'!$A$244,$FW$205^A48,IF(A48='Données projet'!$A$244,'Données projet'!$B$244,FZ47+FY48-GH47)))</f>
        <v>242.19999999999987</v>
      </c>
      <c r="GA48" s="18">
        <f>FZ48*VLOOKUP('Données projet'!$B$17,Paramètres!$A$1:$I$89,3,0)*VLOOKUP('Données projet'!$B$17,Paramètres!$A$1:$I$89,5,0)</f>
        <v>192.69431999999989</v>
      </c>
      <c r="GB48" s="14">
        <f t="shared" si="49"/>
        <v>48.13513970479886</v>
      </c>
      <c r="GC48" s="22">
        <f t="shared" si="25"/>
        <v>419.44464231919113</v>
      </c>
      <c r="GD48" s="62">
        <f t="shared" si="26"/>
        <v>689.88106554793239</v>
      </c>
      <c r="GE48" s="62">
        <f ca="1">AVERAGE(OFFSET($GD$3,0,0,'Données projet'!$E$17+1,1))-AVERAGE(OFFSET($H$3,0,0,'Données projet'!$E$17+1,1))</f>
        <v>383.71724511025587</v>
      </c>
      <c r="GF48" s="62">
        <f t="shared" si="50"/>
        <v>415.10774719533185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63.755388153293076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190.38461538461539</v>
      </c>
      <c r="GS48" s="13">
        <f>VLOOKUP(A48,'Données projet'!$A$269:$I$289,9,0)</f>
        <v>6.7948717948717956</v>
      </c>
      <c r="GT48" s="13">
        <f t="array" ref="GT48">INDEX(GS:GS,MIN(IF(ISNUMBER(GS48:GS244),ROW(GS48:GS244),"")))</f>
        <v>6.7948717948717956</v>
      </c>
      <c r="GU48" s="13">
        <f>IF('Données projet'!$A$270&gt;35,GU47+GT48-HC47,IF(A48&lt;'Données projet'!$A$270,$GR$205^A48,IF(A48='Données projet'!$A$270,'Données projet'!$B$270,GU47+GT48-HC47)))</f>
        <v>190.38461538461542</v>
      </c>
      <c r="GV48" s="18">
        <f>GU48*VLOOKUP('Données projet'!$B$18,Paramètres!$A$1:$I$89,3,0)*VLOOKUP('Données projet'!$B$18,Paramètres!$A$1:$I$89,5,0)</f>
        <v>127.71000000000002</v>
      </c>
      <c r="GW48" s="14">
        <f t="shared" si="51"/>
        <v>33.466661484162984</v>
      </c>
      <c r="GX48" s="22">
        <f t="shared" si="28"/>
        <v>280.71601875158382</v>
      </c>
      <c r="GY48" s="62">
        <f t="shared" si="29"/>
        <v>551.15244198032508</v>
      </c>
      <c r="GZ48" s="62">
        <f ca="1">AVERAGE(OFFSET($GY$3,0,0,'Données projet'!$E$18+1,1))-AVERAGE(OFFSET($H$3,0,0,'Données projet'!$E$18+1,1))</f>
        <v>329.93956600482801</v>
      </c>
      <c r="HA48" s="62">
        <f t="shared" si="52"/>
        <v>268.69186630599165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2.7450000000000001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10.065</v>
      </c>
      <c r="H49" s="70">
        <f t="shared" si="1"/>
        <v>216.40666666666667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63.863718207972838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2">
        <f t="shared" si="0"/>
        <v>640.2548285433794</v>
      </c>
      <c r="S49" s="62">
        <f ca="1">AVERAGE(OFFSET($R$3,0,0,'Données projet'!$E$9+1,1))-AVERAGE(OFFSET($H$3,0,0,'Données projet'!$E$9+1,1))</f>
        <v>551.67307965706379</v>
      </c>
      <c r="T49" s="62">
        <f t="shared" si="34"/>
        <v>288.70738860523943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63.863718207972838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187.00000000000006</v>
      </c>
      <c r="AJ49" s="14">
        <f>AI49*VLOOKUP('Données projet'!$B$10,Paramètres!$A$1:$I$89,3,0)*VLOOKUP('Données projet'!$B$10,Paramètres!$A$1:$I$89,5,0)</f>
        <v>157.52880000000005</v>
      </c>
      <c r="AK49" s="14">
        <f t="shared" si="35"/>
        <v>40.284625411479013</v>
      </c>
      <c r="AL49" s="22">
        <f t="shared" si="4"/>
        <v>344.52504925832596</v>
      </c>
      <c r="AM49" s="62">
        <f t="shared" si="5"/>
        <v>615.35868268755974</v>
      </c>
      <c r="AN49" s="62">
        <f ca="1">AVERAGE(OFFSET($AM$3,0,0,'Données projet'!$E$10+1,1))-AVERAGE(OFFSET($H$3,0,0,'Données projet'!$E$10+1,1))</f>
        <v>518.18933270904506</v>
      </c>
      <c r="AO49" s="62">
        <f t="shared" si="36"/>
        <v>272.44431899810411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63.863718207972838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15.666666666666666</v>
      </c>
      <c r="BD49" s="13">
        <f>IF('Données projet'!$A$88&gt;35,BD48+BC49-BL48,IF(A49&lt;'Données projet'!$A$88,$BA$205^A49,IF(A49='Données projet'!$A$88,'Données projet'!$B$88,BD48+BC49-BL48)))</f>
        <v>208.66666666666654</v>
      </c>
      <c r="BE49" s="14">
        <f>BD49*VLOOKUP('Données projet'!$B$11,Paramètres!$A$1:$I$89,3,0)*VLOOKUP('Données projet'!$B$11,Paramètres!$A$1:$I$89,5,0)</f>
        <v>179.03599999999992</v>
      </c>
      <c r="BF49" s="14">
        <f t="shared" si="37"/>
        <v>45.1076469440343</v>
      </c>
      <c r="BG49" s="22">
        <f t="shared" si="7"/>
        <v>390.38351842752627</v>
      </c>
      <c r="BH49" s="62">
        <f t="shared" si="8"/>
        <v>661.21715185675998</v>
      </c>
      <c r="BI49" s="62">
        <f ca="1">AVERAGE(OFFSET($BH$3,0,0,'Données projet'!$E$11+1,1))-AVERAGE(OFFSET($H$3,0,0,'Données projet'!$E$11+1,1))</f>
        <v>464.73160475167867</v>
      </c>
      <c r="BJ49" s="62">
        <f t="shared" si="38"/>
        <v>241.31968359962227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63.863718207972838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6.6</v>
      </c>
      <c r="BY49" s="13">
        <f>IF('Données projet'!$A$114&gt;35,BY48+BX49-CG48,IF(A49&lt;'Données projet'!$A$114,$BV$205^A49,IF(A49='Données projet'!$A$114,'Données projet'!$B$114,BY48+BX49-CG48)))</f>
        <v>188.60000000000008</v>
      </c>
      <c r="BZ49" s="14">
        <f>BY49*VLOOKUP('Données projet'!$B$12,Paramètres!$A$1:$I$89,3,0)*VLOOKUP('Données projet'!$B$12,Paramètres!$A$1:$I$89,5,0)</f>
        <v>123.57072000000005</v>
      </c>
      <c r="CA49" s="14">
        <f t="shared" si="39"/>
        <v>32.506384557027701</v>
      </c>
      <c r="CB49" s="22">
        <f t="shared" si="10"/>
        <v>271.83429043682332</v>
      </c>
      <c r="CC49" s="62">
        <f t="shared" si="11"/>
        <v>542.66792386605709</v>
      </c>
      <c r="CD49" s="62">
        <f ca="1">AVERAGE(OFFSET($CC$3,0,0,'Données projet'!$E$12+1,1))-AVERAGE(OFFSET($H$3,0,0,'Données projet'!$E$12+1,1))</f>
        <v>292.13851489852607</v>
      </c>
      <c r="CE49" s="62">
        <f t="shared" si="40"/>
        <v>280.10866188737418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63.863718207972838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7.6</v>
      </c>
      <c r="CT49" s="13">
        <f>IF('Données projet'!$A$140&gt;35,CT48+CS49-DB48,IF(A49&lt;'Données projet'!$A$140,$CQ$205^A49,IF(A49='Données projet'!$A$140,'Données projet'!$B$140,CT48+CS49-DB48)))</f>
        <v>197.6</v>
      </c>
      <c r="CU49" s="18">
        <f>CT49*VLOOKUP('Données projet'!$B$13,Paramètres!$A$1:$I$89,3,0)*VLOOKUP('Données projet'!$B$13,Paramètres!$A$1:$I$89,5,0)</f>
        <v>160.29311999999999</v>
      </c>
      <c r="CV49" s="14">
        <f t="shared" si="41"/>
        <v>40.908622396455648</v>
      </c>
      <c r="CW49" s="22">
        <f t="shared" si="13"/>
        <v>350.42636800716019</v>
      </c>
      <c r="CX49" s="62">
        <f t="shared" si="14"/>
        <v>621.26000143639396</v>
      </c>
      <c r="CY49" s="62">
        <f ca="1">AVERAGE(OFFSET($CX$3,0,0,'Données projet'!$E$13+1,1))-AVERAGE(OFFSET($H$3,0,0,'Données projet'!$E$13+1,1))</f>
        <v>265.25572936607409</v>
      </c>
      <c r="CZ49" s="62">
        <f t="shared" si="42"/>
        <v>307.96244316129071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63.863718207972838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6.0256410256410273</v>
      </c>
      <c r="DO49" s="13">
        <f>IF('Données projet'!$A$166&gt;35,DO48+DN49-DW48,IF(A49&lt;'Données projet'!$A$166,$DL$205^A49,IF(A49='Données projet'!$A$166,'Données projet'!$B$166,DO48+DN49-DW48)))</f>
        <v>163.07692307692301</v>
      </c>
      <c r="DP49" s="18">
        <f>DO49*VLOOKUP('Données projet'!$B$14,Paramètres!$A$1:$I$89,3,0)*VLOOKUP('Données projet'!$B$14,Paramètres!$A$1:$I$89,5,0)</f>
        <v>155.18399999999994</v>
      </c>
      <c r="DQ49" s="14">
        <f t="shared" si="43"/>
        <v>39.754328566553049</v>
      </c>
      <c r="DR49" s="22">
        <f t="shared" si="16"/>
        <v>339.51758892007979</v>
      </c>
      <c r="DS49" s="62">
        <f t="shared" si="17"/>
        <v>610.3512223493135</v>
      </c>
      <c r="DT49" s="62">
        <f ca="1">AVERAGE(OFFSET($DS$3,0,0,'Données projet'!$E$14+1,1))-AVERAGE(OFFSET($H$3,0,0,'Données projet'!$E$14+1,1))</f>
        <v>425.41154182732936</v>
      </c>
      <c r="DU49" s="62">
        <f t="shared" si="44"/>
        <v>306.44721925744591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63.863718207972838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8.5399999999999974</v>
      </c>
      <c r="EJ49" s="13">
        <f>IF('Données projet'!$A$192&gt;35,EJ48+EI49-ER48,IF(A49&lt;'Données projet'!$A$192,$EG$205^A49,IF(A49='Données projet'!$A$192,'Données projet'!$B$192,EJ48+EI49-ER48)))</f>
        <v>250.73999999999987</v>
      </c>
      <c r="EK49" s="18">
        <f>EJ49*VLOOKUP('Données projet'!$B$15,Paramètres!$A$1:$I$89,3,0)*VLOOKUP('Données projet'!$B$15,Paramètres!$A$1:$I$89,5,0)</f>
        <v>183.84256799999991</v>
      </c>
      <c r="EL49" s="14">
        <f t="shared" si="45"/>
        <v>46.176032940903148</v>
      </c>
      <c r="EM49" s="22">
        <f t="shared" si="19"/>
        <v>400.61572997207281</v>
      </c>
      <c r="EN49" s="62">
        <f t="shared" si="20"/>
        <v>671.44936340130653</v>
      </c>
      <c r="EO49" s="62">
        <f ca="1">AVERAGE(OFFSET($EN$3,0,0,'Données projet'!$E$15+1,1))-AVERAGE(OFFSET($H$3,0,0,'Données projet'!$E$15+1,1))</f>
        <v>357.57626046668958</v>
      </c>
      <c r="EP49" s="62">
        <f t="shared" si="46"/>
        <v>386.90439522046199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63.863718207972838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10.375</v>
      </c>
      <c r="FE49" s="13">
        <f>IF('Données projet'!$A$218&gt;35,FE48+FD49-FM48,IF(A49&lt;'Données projet'!$A$218,$FB$205^A49,IF(A49='Données projet'!$A$218,'Données projet'!$B$218,FE48+FD49-FM48)))</f>
        <v>207.74999999999994</v>
      </c>
      <c r="FF49" s="18">
        <f>FE49*VLOOKUP('Données projet'!$B$16,Paramètres!$A$1:$I$89,3,0)*VLOOKUP('Données projet'!$B$16,Paramètres!$A$1:$I$89,5,0)</f>
        <v>162.04499999999996</v>
      </c>
      <c r="FG49" s="14">
        <f t="shared" si="47"/>
        <v>41.303429372463391</v>
      </c>
      <c r="FH49" s="22">
        <f t="shared" si="22"/>
        <v>354.16518115704031</v>
      </c>
      <c r="FI49" s="62">
        <f t="shared" si="23"/>
        <v>624.99881458627408</v>
      </c>
      <c r="FJ49" s="62">
        <f ca="1">AVERAGE(OFFSET($FI$3,0,0,'Données projet'!$E$16+1,1))-AVERAGE(OFFSET($H$3,0,0,'Données projet'!$E$16+1,1))</f>
        <v>303.56663121833833</v>
      </c>
      <c r="FK49" s="62">
        <f t="shared" si="48"/>
        <v>293.97736357938038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63.863718207972838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8.5399999999999974</v>
      </c>
      <c r="FZ49" s="13">
        <f>IF('Données projet'!$A$244&gt;35,FZ48+FY49-GH48,IF(A49&lt;'Données projet'!$A$244,$FW$205^A49,IF(A49='Données projet'!$A$244,'Données projet'!$B$244,FZ48+FY49-GH48)))</f>
        <v>250.73999999999987</v>
      </c>
      <c r="GA49" s="18">
        <f>FZ49*VLOOKUP('Données projet'!$B$17,Paramètres!$A$1:$I$89,3,0)*VLOOKUP('Données projet'!$B$17,Paramètres!$A$1:$I$89,5,0)</f>
        <v>199.48874399999991</v>
      </c>
      <c r="GB49" s="14">
        <f t="shared" si="49"/>
        <v>49.631792398634111</v>
      </c>
      <c r="GC49" s="22">
        <f t="shared" si="25"/>
        <v>433.88493422762093</v>
      </c>
      <c r="GD49" s="62">
        <f t="shared" si="26"/>
        <v>704.7185676568547</v>
      </c>
      <c r="GE49" s="62">
        <f ca="1">AVERAGE(OFFSET($GD$3,0,0,'Données projet'!$E$17+1,1))-AVERAGE(OFFSET($H$3,0,0,'Données projet'!$E$17+1,1))</f>
        <v>383.71724511025587</v>
      </c>
      <c r="GF49" s="62">
        <f t="shared" si="50"/>
        <v>415.10774719533185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63.863718207972838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6.2820512820512819</v>
      </c>
      <c r="GU49" s="13">
        <f>IF('Données projet'!$A$270&gt;35,GU48+GT49-HC48,IF(A49&lt;'Données projet'!$A$270,$GR$205^A49,IF(A49='Données projet'!$A$270,'Données projet'!$B$270,GU48+GT49-HC48)))</f>
        <v>196.66666666666669</v>
      </c>
      <c r="GV49" s="18">
        <f>GU49*VLOOKUP('Données projet'!$B$18,Paramètres!$A$1:$I$89,3,0)*VLOOKUP('Données projet'!$B$18,Paramètres!$A$1:$I$89,5,0)</f>
        <v>131.92400000000001</v>
      </c>
      <c r="GW49" s="14">
        <f t="shared" si="51"/>
        <v>34.440558391692079</v>
      </c>
      <c r="GX49" s="22">
        <f t="shared" si="28"/>
        <v>289.75160586553034</v>
      </c>
      <c r="GY49" s="62">
        <f t="shared" si="29"/>
        <v>560.58523929476405</v>
      </c>
      <c r="GZ49" s="62">
        <f ca="1">AVERAGE(OFFSET($GY$3,0,0,'Données projet'!$E$18+1,1))-AVERAGE(OFFSET($H$3,0,0,'Données projet'!$E$18+1,1))</f>
        <v>329.93956600482801</v>
      </c>
      <c r="HA49" s="62">
        <f t="shared" si="52"/>
        <v>268.69186630599165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2.7450000000000001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10.065</v>
      </c>
      <c r="H50" s="70">
        <f t="shared" si="1"/>
        <v>216.40666666666667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63.970168978393623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2">
        <f t="shared" si="0"/>
        <v>661.85107279509657</v>
      </c>
      <c r="S50" s="62">
        <f ca="1">AVERAGE(OFFSET($R$3,0,0,'Données projet'!$E$9+1,1))-AVERAGE(OFFSET($H$3,0,0,'Données projet'!$E$9+1,1))</f>
        <v>551.67307965706379</v>
      </c>
      <c r="T50" s="62">
        <f t="shared" si="34"/>
        <v>288.70738860523943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63.970168978393623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198.00000000000006</v>
      </c>
      <c r="AJ50" s="14">
        <f>AI50*VLOOKUP('Données projet'!$B$10,Paramètres!$A$1:$I$89,3,0)*VLOOKUP('Données projet'!$B$10,Paramètres!$A$1:$I$89,5,0)</f>
        <v>166.79520000000008</v>
      </c>
      <c r="AK50" s="14">
        <f t="shared" si="35"/>
        <v>42.371461898472788</v>
      </c>
      <c r="AL50" s="22">
        <f t="shared" si="4"/>
        <v>364.29860280650684</v>
      </c>
      <c r="AM50" s="62">
        <f t="shared" si="5"/>
        <v>635.52255572728336</v>
      </c>
      <c r="AN50" s="62">
        <f ca="1">AVERAGE(OFFSET($AM$3,0,0,'Données projet'!$E$10+1,1))-AVERAGE(OFFSET($H$3,0,0,'Données projet'!$E$10+1,1))</f>
        <v>518.18933270904506</v>
      </c>
      <c r="AO50" s="62">
        <f t="shared" si="36"/>
        <v>272.44431899810411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63.970168978393623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15.666666666666666</v>
      </c>
      <c r="BD50" s="13">
        <f>IF('Données projet'!$A$88&gt;35,BD49+BC50-BL49,IF(A50&lt;'Données projet'!$A$88,$BA$205^A50,IF(A50='Données projet'!$A$88,'Données projet'!$B$88,BD49+BC50-BL49)))</f>
        <v>224.3333333333332</v>
      </c>
      <c r="BE50" s="14">
        <f>BD50*VLOOKUP('Données projet'!$B$11,Paramètres!$A$1:$I$89,3,0)*VLOOKUP('Données projet'!$B$11,Paramètres!$A$1:$I$89,5,0)</f>
        <v>192.47799999999989</v>
      </c>
      <c r="BF50" s="14">
        <f t="shared" si="37"/>
        <v>48.087389626209038</v>
      </c>
      <c r="BG50" s="22">
        <f t="shared" si="7"/>
        <v>418.98472026564724</v>
      </c>
      <c r="BH50" s="62">
        <f t="shared" si="8"/>
        <v>690.20867318642377</v>
      </c>
      <c r="BI50" s="62">
        <f ca="1">AVERAGE(OFFSET($BH$3,0,0,'Données projet'!$E$11+1,1))-AVERAGE(OFFSET($H$3,0,0,'Données projet'!$E$11+1,1))</f>
        <v>464.73160475167867</v>
      </c>
      <c r="BJ50" s="62">
        <f t="shared" si="38"/>
        <v>241.31968359962227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63.970168978393623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6.6</v>
      </c>
      <c r="BY50" s="13">
        <f>IF('Données projet'!$A$114&gt;35,BY49+BX50-CG49,IF(A50&lt;'Données projet'!$A$114,$BV$205^A50,IF(A50='Données projet'!$A$114,'Données projet'!$B$114,BY49+BX50-CG49)))</f>
        <v>195.20000000000007</v>
      </c>
      <c r="BZ50" s="14">
        <f>BY50*VLOOKUP('Données projet'!$B$12,Paramètres!$A$1:$I$89,3,0)*VLOOKUP('Données projet'!$B$12,Paramètres!$A$1:$I$89,5,0)</f>
        <v>127.89504000000004</v>
      </c>
      <c r="CA50" s="14">
        <f t="shared" si="39"/>
        <v>33.509503727991913</v>
      </c>
      <c r="CB50" s="22">
        <f t="shared" si="10"/>
        <v>281.11291365958601</v>
      </c>
      <c r="CC50" s="62">
        <f t="shared" si="11"/>
        <v>552.33686658036254</v>
      </c>
      <c r="CD50" s="62">
        <f ca="1">AVERAGE(OFFSET($CC$3,0,0,'Données projet'!$E$12+1,1))-AVERAGE(OFFSET($H$3,0,0,'Données projet'!$E$12+1,1))</f>
        <v>292.13851489852607</v>
      </c>
      <c r="CE50" s="62">
        <f t="shared" si="40"/>
        <v>280.10866188737418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63.970168978393623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7.6</v>
      </c>
      <c r="CT50" s="13">
        <f>IF('Données projet'!$A$140&gt;35,CT49+CS50-DB49,IF(A50&lt;'Données projet'!$A$140,$CQ$205^A50,IF(A50='Données projet'!$A$140,'Données projet'!$B$140,CT49+CS50-DB49)))</f>
        <v>205.2</v>
      </c>
      <c r="CU50" s="18">
        <f>CT50*VLOOKUP('Données projet'!$B$13,Paramètres!$A$1:$I$89,3,0)*VLOOKUP('Données projet'!$B$13,Paramètres!$A$1:$I$89,5,0)</f>
        <v>166.45823999999999</v>
      </c>
      <c r="CV50" s="14">
        <f t="shared" si="41"/>
        <v>42.295817799452642</v>
      </c>
      <c r="CW50" s="22">
        <f t="shared" si="13"/>
        <v>363.5799840007133</v>
      </c>
      <c r="CX50" s="62">
        <f t="shared" si="14"/>
        <v>634.80393692148982</v>
      </c>
      <c r="CY50" s="62">
        <f ca="1">AVERAGE(OFFSET($CX$3,0,0,'Données projet'!$E$13+1,1))-AVERAGE(OFFSET($H$3,0,0,'Données projet'!$E$13+1,1))</f>
        <v>265.25572936607409</v>
      </c>
      <c r="CZ50" s="62">
        <f t="shared" si="42"/>
        <v>307.96244316129071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63.970168978393623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6.0256410256410273</v>
      </c>
      <c r="DO50" s="13">
        <f>IF('Données projet'!$A$166&gt;35,DO49+DN50-DW49,IF(A50&lt;'Données projet'!$A$166,$DL$205^A50,IF(A50='Données projet'!$A$166,'Données projet'!$B$166,DO49+DN50-DW49)))</f>
        <v>169.10256410256403</v>
      </c>
      <c r="DP50" s="18">
        <f>DO50*VLOOKUP('Données projet'!$B$14,Paramètres!$A$1:$I$89,3,0)*VLOOKUP('Données projet'!$B$14,Paramètres!$A$1:$I$89,5,0)</f>
        <v>160.91799999999992</v>
      </c>
      <c r="DQ50" s="14">
        <f t="shared" si="43"/>
        <v>41.049503875172206</v>
      </c>
      <c r="DR50" s="22">
        <f t="shared" si="16"/>
        <v>351.76006924925809</v>
      </c>
      <c r="DS50" s="62">
        <f t="shared" si="17"/>
        <v>622.98402217003468</v>
      </c>
      <c r="DT50" s="62">
        <f ca="1">AVERAGE(OFFSET($DS$3,0,0,'Données projet'!$E$14+1,1))-AVERAGE(OFFSET($H$3,0,0,'Données projet'!$E$14+1,1))</f>
        <v>425.41154182732936</v>
      </c>
      <c r="DU50" s="62">
        <f t="shared" si="44"/>
        <v>306.44721925744591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63.970168978393623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8.5399999999999974</v>
      </c>
      <c r="EJ50" s="13">
        <f>IF('Données projet'!$A$192&gt;35,EJ49+EI50-ER49,IF(A50&lt;'Données projet'!$A$192,$EG$205^A50,IF(A50='Données projet'!$A$192,'Données projet'!$B$192,EJ49+EI50-ER49)))</f>
        <v>259.27999999999986</v>
      </c>
      <c r="EK50" s="18">
        <f>EJ50*VLOOKUP('Données projet'!$B$15,Paramètres!$A$1:$I$89,3,0)*VLOOKUP('Données projet'!$B$15,Paramètres!$A$1:$I$89,5,0)</f>
        <v>190.10409599999988</v>
      </c>
      <c r="EL50" s="14">
        <f t="shared" si="45"/>
        <v>47.562966265165443</v>
      </c>
      <c r="EM50" s="22">
        <f t="shared" si="19"/>
        <v>413.9368001118296</v>
      </c>
      <c r="EN50" s="62">
        <f t="shared" si="20"/>
        <v>685.16075303260618</v>
      </c>
      <c r="EO50" s="62">
        <f ca="1">AVERAGE(OFFSET($EN$3,0,0,'Données projet'!$E$15+1,1))-AVERAGE(OFFSET($H$3,0,0,'Données projet'!$E$15+1,1))</f>
        <v>357.57626046668958</v>
      </c>
      <c r="EP50" s="62">
        <f t="shared" si="46"/>
        <v>386.90439522046199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63.970168978393623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10.375</v>
      </c>
      <c r="FE50" s="13">
        <f>IF('Données projet'!$A$218&gt;35,FE49+FD50-FM49,IF(A50&lt;'Données projet'!$A$218,$FB$205^A50,IF(A50='Données projet'!$A$218,'Données projet'!$B$218,FE49+FD50-FM49)))</f>
        <v>218.12499999999994</v>
      </c>
      <c r="FF50" s="18">
        <f>FE50*VLOOKUP('Données projet'!$B$16,Paramètres!$A$1:$I$89,3,0)*VLOOKUP('Données projet'!$B$16,Paramètres!$A$1:$I$89,5,0)</f>
        <v>170.13749999999996</v>
      </c>
      <c r="FG50" s="14">
        <f t="shared" si="47"/>
        <v>43.120817562072411</v>
      </c>
      <c r="FH50" s="22">
        <f t="shared" si="22"/>
        <v>371.42490308727605</v>
      </c>
      <c r="FI50" s="62">
        <f t="shared" si="23"/>
        <v>642.64885600805269</v>
      </c>
      <c r="FJ50" s="62">
        <f ca="1">AVERAGE(OFFSET($FI$3,0,0,'Données projet'!$E$16+1,1))-AVERAGE(OFFSET($H$3,0,0,'Données projet'!$E$16+1,1))</f>
        <v>303.56663121833833</v>
      </c>
      <c r="FK50" s="62">
        <f t="shared" si="48"/>
        <v>293.97736357938038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63.970168978393623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8.5399999999999974</v>
      </c>
      <c r="FZ50" s="13">
        <f>IF('Données projet'!$A$244&gt;35,FZ49+FY50-GH49,IF(A50&lt;'Données projet'!$A$244,$FW$205^A50,IF(A50='Données projet'!$A$244,'Données projet'!$B$244,FZ49+FY50-GH49)))</f>
        <v>259.27999999999986</v>
      </c>
      <c r="GA50" s="18">
        <f>FZ50*VLOOKUP('Données projet'!$B$17,Paramètres!$A$1:$I$89,3,0)*VLOOKUP('Données projet'!$B$17,Paramètres!$A$1:$I$89,5,0)</f>
        <v>206.2831679999999</v>
      </c>
      <c r="GB50" s="14">
        <f t="shared" si="49"/>
        <v>51.122522165494573</v>
      </c>
      <c r="GC50" s="22">
        <f t="shared" si="25"/>
        <v>448.31491037156951</v>
      </c>
      <c r="GD50" s="62">
        <f t="shared" si="26"/>
        <v>719.53886329234615</v>
      </c>
      <c r="GE50" s="62">
        <f ca="1">AVERAGE(OFFSET($GD$3,0,0,'Données projet'!$E$17+1,1))-AVERAGE(OFFSET($H$3,0,0,'Données projet'!$E$17+1,1))</f>
        <v>383.71724511025587</v>
      </c>
      <c r="GF50" s="62">
        <f t="shared" si="50"/>
        <v>415.10774719533185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63.970168978393623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6.2820512820512819</v>
      </c>
      <c r="GU50" s="13">
        <f>IF('Données projet'!$A$270&gt;35,GU49+GT50-HC49,IF(A50&lt;'Données projet'!$A$270,$GR$205^A50,IF(A50='Données projet'!$A$270,'Données projet'!$B$270,GU49+GT50-HC49)))</f>
        <v>202.94871794871796</v>
      </c>
      <c r="GV50" s="18">
        <f>GU50*VLOOKUP('Données projet'!$B$18,Paramètres!$A$1:$I$89,3,0)*VLOOKUP('Données projet'!$B$18,Paramètres!$A$1:$I$89,5,0)</f>
        <v>136.13800000000001</v>
      </c>
      <c r="GW50" s="14">
        <f t="shared" si="51"/>
        <v>35.410840305135217</v>
      </c>
      <c r="GX50" s="22">
        <f t="shared" si="28"/>
        <v>298.78089686477716</v>
      </c>
      <c r="GY50" s="62">
        <f t="shared" si="29"/>
        <v>570.00484978555369</v>
      </c>
      <c r="GZ50" s="62">
        <f ca="1">AVERAGE(OFFSET($GY$3,0,0,'Données projet'!$E$18+1,1))-AVERAGE(OFFSET($H$3,0,0,'Données projet'!$E$18+1,1))</f>
        <v>329.93956600482801</v>
      </c>
      <c r="HA50" s="62">
        <f t="shared" si="52"/>
        <v>268.69186630599165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2.7450000000000001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10.065</v>
      </c>
      <c r="H51" s="70">
        <f t="shared" si="1"/>
        <v>216.40666666666667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64.074773065935887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2">
        <f t="shared" si="0"/>
        <v>683.41557762045261</v>
      </c>
      <c r="S51" s="62">
        <f ca="1">AVERAGE(OFFSET($R$3,0,0,'Données projet'!$E$9+1,1))-AVERAGE(OFFSET($H$3,0,0,'Données projet'!$E$9+1,1))</f>
        <v>551.67307965706379</v>
      </c>
      <c r="T51" s="62">
        <f t="shared" si="34"/>
        <v>288.70738860523943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64.074773065935887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209.00000000000006</v>
      </c>
      <c r="AJ51" s="14">
        <f>AI51*VLOOKUP('Données projet'!$B$10,Paramètres!$A$1:$I$89,3,0)*VLOOKUP('Données projet'!$B$10,Paramètres!$A$1:$I$89,5,0)</f>
        <v>176.06160000000008</v>
      </c>
      <c r="AK51" s="14">
        <f t="shared" si="35"/>
        <v>44.444839741138928</v>
      </c>
      <c r="AL51" s="22">
        <f t="shared" si="4"/>
        <v>384.04871588248375</v>
      </c>
      <c r="AM51" s="62">
        <f t="shared" si="5"/>
        <v>655.65621712424866</v>
      </c>
      <c r="AN51" s="62">
        <f ca="1">AVERAGE(OFFSET($AM$3,0,0,'Données projet'!$E$10+1,1))-AVERAGE(OFFSET($H$3,0,0,'Données projet'!$E$10+1,1))</f>
        <v>518.18933270904506</v>
      </c>
      <c r="AO51" s="62">
        <f t="shared" si="36"/>
        <v>272.44431899810411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64.074773065935887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>
        <f>VLOOKUP(A51,'Données projet'!$A$87:$I$107,2,0)</f>
        <v>240</v>
      </c>
      <c r="BB51" s="13">
        <f>VLOOKUP(A51,'Données projet'!$A$87:$I$107,9,0)</f>
        <v>15.666666666666666</v>
      </c>
      <c r="BC51" s="13">
        <f t="array" ref="BC51">INDEX(BB:BB,MIN(IF(ISNUMBER(BB51:BB247),ROW(BB51:BB247),"")))</f>
        <v>15.666666666666666</v>
      </c>
      <c r="BD51" s="13">
        <f>IF('Données projet'!$A$88&gt;35,BD50+BC51-BL50,IF(A51&lt;'Données projet'!$A$88,$BA$205^A51,IF(A51='Données projet'!$A$88,'Données projet'!$B$88,BD50+BC51-BL50)))</f>
        <v>239.99999999999986</v>
      </c>
      <c r="BE51" s="14">
        <f>BD51*VLOOKUP('Données projet'!$B$11,Paramètres!$A$1:$I$89,3,0)*VLOOKUP('Données projet'!$B$11,Paramètres!$A$1:$I$89,5,0)</f>
        <v>205.91999999999993</v>
      </c>
      <c r="BF51" s="14">
        <f t="shared" si="37"/>
        <v>51.042987531485686</v>
      </c>
      <c r="BG51" s="22">
        <f t="shared" si="7"/>
        <v>447.5438699506708</v>
      </c>
      <c r="BH51" s="62">
        <f t="shared" si="8"/>
        <v>719.1513711924357</v>
      </c>
      <c r="BI51" s="62">
        <f ca="1">AVERAGE(OFFSET($BH$3,0,0,'Données projet'!$E$11+1,1))-AVERAGE(OFFSET($H$3,0,0,'Données projet'!$E$11+1,1))</f>
        <v>464.73160475167867</v>
      </c>
      <c r="BJ51" s="62">
        <f t="shared" si="38"/>
        <v>241.31968359962227</v>
      </c>
      <c r="BK51" s="16">
        <f>IF(ISNA(VLOOKUP(A51,'Données projet'!$A$87:$I$107,3,0)),0,VLOOKUP(A51,'Données projet'!$A$87:$I$107,3,0))</f>
        <v>5</v>
      </c>
      <c r="BL51" s="16">
        <f>IF(ISNA(VLOOKUP(A51,'Données projet'!$A$87:$I$107,4,0)),0,VLOOKUP(A51,'Données projet'!$A$87:$I$107,4,0))</f>
        <v>63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64.074773065935887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6.6</v>
      </c>
      <c r="BY51" s="13">
        <f>IF('Données projet'!$A$114&gt;35,BY50+BX51-CG50,IF(A51&lt;'Données projet'!$A$114,$BV$205^A51,IF(A51='Données projet'!$A$114,'Données projet'!$B$114,BY50+BX51-CG50)))</f>
        <v>201.80000000000007</v>
      </c>
      <c r="BZ51" s="14">
        <f>BY51*VLOOKUP('Données projet'!$B$12,Paramètres!$A$1:$I$89,3,0)*VLOOKUP('Données projet'!$B$12,Paramètres!$A$1:$I$89,5,0)</f>
        <v>132.21936000000005</v>
      </c>
      <c r="CA51" s="14">
        <f t="shared" si="39"/>
        <v>34.508681932648301</v>
      </c>
      <c r="CB51" s="22">
        <f t="shared" si="10"/>
        <v>290.3846730326959</v>
      </c>
      <c r="CC51" s="62">
        <f t="shared" si="11"/>
        <v>561.99217427446081</v>
      </c>
      <c r="CD51" s="62">
        <f ca="1">AVERAGE(OFFSET($CC$3,0,0,'Données projet'!$E$12+1,1))-AVERAGE(OFFSET($H$3,0,0,'Données projet'!$E$12+1,1))</f>
        <v>292.13851489852607</v>
      </c>
      <c r="CE51" s="62">
        <f t="shared" si="40"/>
        <v>280.10866188737418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64.074773065935887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7.6</v>
      </c>
      <c r="CT51" s="13">
        <f>IF('Données projet'!$A$140&gt;35,CT50+CS51-DB50,IF(A51&lt;'Données projet'!$A$140,$CQ$205^A51,IF(A51='Données projet'!$A$140,'Données projet'!$B$140,CT50+CS51-DB50)))</f>
        <v>212.79999999999998</v>
      </c>
      <c r="CU51" s="18">
        <f>CT51*VLOOKUP('Données projet'!$B$13,Paramètres!$A$1:$I$89,3,0)*VLOOKUP('Données projet'!$B$13,Paramètres!$A$1:$I$89,5,0)</f>
        <v>172.62335999999999</v>
      </c>
      <c r="CV51" s="14">
        <f t="shared" si="41"/>
        <v>43.67704427998607</v>
      </c>
      <c r="CW51" s="22">
        <f t="shared" si="13"/>
        <v>376.72320412097571</v>
      </c>
      <c r="CX51" s="62">
        <f t="shared" si="14"/>
        <v>648.33070536274067</v>
      </c>
      <c r="CY51" s="62">
        <f ca="1">AVERAGE(OFFSET($CX$3,0,0,'Données projet'!$E$13+1,1))-AVERAGE(OFFSET($H$3,0,0,'Données projet'!$E$13+1,1))</f>
        <v>265.25572936607409</v>
      </c>
      <c r="CZ51" s="62">
        <f t="shared" si="42"/>
        <v>307.96244316129071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64.074773065935887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6.0256410256410273</v>
      </c>
      <c r="DO51" s="13">
        <f>IF('Données projet'!$A$166&gt;35,DO50+DN51-DW50,IF(A51&lt;'Données projet'!$A$166,$DL$205^A51,IF(A51='Données projet'!$A$166,'Données projet'!$B$166,DO50+DN51-DW50)))</f>
        <v>175.12820512820505</v>
      </c>
      <c r="DP51" s="18">
        <f>DO51*VLOOKUP('Données projet'!$B$14,Paramètres!$A$1:$I$89,3,0)*VLOOKUP('Données projet'!$B$14,Paramètres!$A$1:$I$89,5,0)</f>
        <v>166.65199999999993</v>
      </c>
      <c r="DQ51" s="14">
        <f t="shared" si="43"/>
        <v>42.339317127801309</v>
      </c>
      <c r="DR51" s="22">
        <f t="shared" si="16"/>
        <v>363.99321066425381</v>
      </c>
      <c r="DS51" s="62">
        <f t="shared" si="17"/>
        <v>635.60071190601866</v>
      </c>
      <c r="DT51" s="62">
        <f ca="1">AVERAGE(OFFSET($DS$3,0,0,'Données projet'!$E$14+1,1))-AVERAGE(OFFSET($H$3,0,0,'Données projet'!$E$14+1,1))</f>
        <v>425.41154182732936</v>
      </c>
      <c r="DU51" s="62">
        <f t="shared" si="44"/>
        <v>306.44721925744591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64.074773065935887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8.5399999999999974</v>
      </c>
      <c r="EJ51" s="13">
        <f>IF('Données projet'!$A$192&gt;35,EJ50+EI51-ER50,IF(A51&lt;'Données projet'!$A$192,$EG$205^A51,IF(A51='Données projet'!$A$192,'Données projet'!$B$192,EJ50+EI51-ER50)))</f>
        <v>267.81999999999988</v>
      </c>
      <c r="EK51" s="18">
        <f>EJ51*VLOOKUP('Données projet'!$B$15,Paramètres!$A$1:$I$89,3,0)*VLOOKUP('Données projet'!$B$15,Paramètres!$A$1:$I$89,5,0)</f>
        <v>196.36562399999991</v>
      </c>
      <c r="EL51" s="14">
        <f t="shared" si="45"/>
        <v>48.944591379063773</v>
      </c>
      <c r="EM51" s="22">
        <f t="shared" si="19"/>
        <v>427.24862511853593</v>
      </c>
      <c r="EN51" s="62">
        <f t="shared" si="20"/>
        <v>698.85612636030078</v>
      </c>
      <c r="EO51" s="62">
        <f ca="1">AVERAGE(OFFSET($EN$3,0,0,'Données projet'!$E$15+1,1))-AVERAGE(OFFSET($H$3,0,0,'Données projet'!$E$15+1,1))</f>
        <v>357.57626046668958</v>
      </c>
      <c r="EP51" s="62">
        <f t="shared" si="46"/>
        <v>386.90439522046199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64.074773065935887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10.375</v>
      </c>
      <c r="FE51" s="13">
        <f>IF('Données projet'!$A$218&gt;35,FE50+FD51-FM50,IF(A51&lt;'Données projet'!$A$218,$FB$205^A51,IF(A51='Données projet'!$A$218,'Données projet'!$B$218,FE50+FD51-FM50)))</f>
        <v>228.49999999999994</v>
      </c>
      <c r="FF51" s="18">
        <f>FE51*VLOOKUP('Données projet'!$B$16,Paramètres!$A$1:$I$89,3,0)*VLOOKUP('Données projet'!$B$16,Paramètres!$A$1:$I$89,5,0)</f>
        <v>178.22999999999996</v>
      </c>
      <c r="FG51" s="14">
        <f t="shared" si="47"/>
        <v>44.928167580487852</v>
      </c>
      <c r="FH51" s="22">
        <f t="shared" si="22"/>
        <v>388.66714186934956</v>
      </c>
      <c r="FI51" s="62">
        <f t="shared" si="23"/>
        <v>660.27464311111453</v>
      </c>
      <c r="FJ51" s="62">
        <f ca="1">AVERAGE(OFFSET($FI$3,0,0,'Données projet'!$E$16+1,1))-AVERAGE(OFFSET($H$3,0,0,'Données projet'!$E$16+1,1))</f>
        <v>303.56663121833833</v>
      </c>
      <c r="FK51" s="62">
        <f t="shared" si="48"/>
        <v>293.97736357938038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64.074773065935887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8.5399999999999974</v>
      </c>
      <c r="FZ51" s="13">
        <f>IF('Données projet'!$A$244&gt;35,FZ50+FY51-GH50,IF(A51&lt;'Données projet'!$A$244,$FW$205^A51,IF(A51='Données projet'!$A$244,'Données projet'!$B$244,FZ50+FY51-GH50)))</f>
        <v>267.81999999999988</v>
      </c>
      <c r="GA51" s="18">
        <f>FZ51*VLOOKUP('Données projet'!$B$17,Paramètres!$A$1:$I$89,3,0)*VLOOKUP('Données projet'!$B$17,Paramètres!$A$1:$I$89,5,0)</f>
        <v>213.07759199999992</v>
      </c>
      <c r="GB51" s="14">
        <f t="shared" si="49"/>
        <v>52.607546461832449</v>
      </c>
      <c r="GC51" s="22">
        <f t="shared" si="25"/>
        <v>462.73494948769138</v>
      </c>
      <c r="GD51" s="62">
        <f t="shared" si="26"/>
        <v>734.34245072945623</v>
      </c>
      <c r="GE51" s="62">
        <f ca="1">AVERAGE(OFFSET($GD$3,0,0,'Données projet'!$E$17+1,1))-AVERAGE(OFFSET($H$3,0,0,'Données projet'!$E$17+1,1))</f>
        <v>383.71724511025587</v>
      </c>
      <c r="GF51" s="62">
        <f t="shared" si="50"/>
        <v>415.10774719533185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64.074773065935887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6.2820512820512819</v>
      </c>
      <c r="GU51" s="13">
        <f>IF('Données projet'!$A$270&gt;35,GU50+GT51-HC50,IF(A51&lt;'Données projet'!$A$270,$GR$205^A51,IF(A51='Données projet'!$A$270,'Données projet'!$B$270,GU50+GT51-HC50)))</f>
        <v>209.23076923076923</v>
      </c>
      <c r="GV51" s="18">
        <f>GU51*VLOOKUP('Données projet'!$B$18,Paramètres!$A$1:$I$89,3,0)*VLOOKUP('Données projet'!$B$18,Paramètres!$A$1:$I$89,5,0)</f>
        <v>140.352</v>
      </c>
      <c r="GW51" s="14">
        <f t="shared" si="51"/>
        <v>36.377631963176114</v>
      </c>
      <c r="GX51" s="22">
        <f t="shared" si="28"/>
        <v>307.80410900253173</v>
      </c>
      <c r="GY51" s="62">
        <f t="shared" si="29"/>
        <v>579.41161024429664</v>
      </c>
      <c r="GZ51" s="62">
        <f ca="1">AVERAGE(OFFSET($GY$3,0,0,'Données projet'!$E$18+1,1))-AVERAGE(OFFSET($H$3,0,0,'Données projet'!$E$18+1,1))</f>
        <v>329.93956600482801</v>
      </c>
      <c r="HA51" s="62">
        <f t="shared" si="52"/>
        <v>268.69186630599165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2.7450000000000001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10.065</v>
      </c>
      <c r="H52" s="70">
        <f t="shared" si="1"/>
        <v>216.40666666666667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64.17756250641898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704.94992446776189</v>
      </c>
      <c r="S52" s="62">
        <f ca="1">AVERAGE(OFFSET($R$3,0,0,'Données projet'!$E$9+1,1))-AVERAGE(OFFSET($H$3,0,0,'Données projet'!$E$9+1,1))</f>
        <v>551.67307965706379</v>
      </c>
      <c r="T52" s="62">
        <f t="shared" si="34"/>
        <v>288.70738860523943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64.17756250641898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220.00000000000006</v>
      </c>
      <c r="AJ52" s="14">
        <f>AI52*VLOOKUP('Données projet'!$B$10,Paramètres!$A$1:$I$89,3,0)*VLOOKUP('Données projet'!$B$10,Paramètres!$A$1:$I$89,5,0)</f>
        <v>185.32800000000006</v>
      </c>
      <c r="AK52" s="14">
        <f t="shared" si="35"/>
        <v>46.505548070897625</v>
      </c>
      <c r="AL52" s="22">
        <f t="shared" si="4"/>
        <v>403.77676289014676</v>
      </c>
      <c r="AM52" s="62">
        <f t="shared" si="5"/>
        <v>675.76115874701634</v>
      </c>
      <c r="AN52" s="62">
        <f ca="1">AVERAGE(OFFSET($AM$3,0,0,'Données projet'!$E$10+1,1))-AVERAGE(OFFSET($H$3,0,0,'Données projet'!$E$10+1,1))</f>
        <v>518.18933270904506</v>
      </c>
      <c r="AO52" s="62">
        <f t="shared" si="36"/>
        <v>272.44431899810411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64.17756250641898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15.5</v>
      </c>
      <c r="BD52" s="13">
        <f>IF('Données projet'!$A$88&gt;35,BD51+BC52-BL51,IF(A52&lt;'Données projet'!$A$88,$BA$205^A52,IF(A52='Données projet'!$A$88,'Données projet'!$B$88,BD51+BC52-BL51)))</f>
        <v>192.49999999999986</v>
      </c>
      <c r="BE52" s="14">
        <f>BD52*VLOOKUP('Données projet'!$B$11,Paramètres!$A$1:$I$89,3,0)*VLOOKUP('Données projet'!$B$11,Paramètres!$A$1:$I$89,5,0)</f>
        <v>165.16499999999991</v>
      </c>
      <c r="BF52" s="14">
        <f t="shared" si="37"/>
        <v>42.00533269839395</v>
      </c>
      <c r="BG52" s="22">
        <f t="shared" si="7"/>
        <v>360.82166278303589</v>
      </c>
      <c r="BH52" s="62">
        <f t="shared" si="8"/>
        <v>632.80605863990547</v>
      </c>
      <c r="BI52" s="62">
        <f ca="1">AVERAGE(OFFSET($BH$3,0,0,'Données projet'!$E$11+1,1))-AVERAGE(OFFSET($H$3,0,0,'Données projet'!$E$11+1,1))</f>
        <v>464.73160475167867</v>
      </c>
      <c r="BJ52" s="62">
        <f t="shared" si="38"/>
        <v>241.31968359962227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64.17756250641898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6.6</v>
      </c>
      <c r="BY52" s="13">
        <f>IF('Données projet'!$A$114&gt;35,BY51+BX52-CG51,IF(A52&lt;'Données projet'!$A$114,$BV$205^A52,IF(A52='Données projet'!$A$114,'Données projet'!$B$114,BY51+BX52-CG51)))</f>
        <v>208.40000000000006</v>
      </c>
      <c r="BZ52" s="14">
        <f>BY52*VLOOKUP('Données projet'!$B$12,Paramètres!$A$1:$I$89,3,0)*VLOOKUP('Données projet'!$B$12,Paramètres!$A$1:$I$89,5,0)</f>
        <v>136.54368000000002</v>
      </c>
      <c r="CA52" s="14">
        <f t="shared" si="39"/>
        <v>35.504062844328153</v>
      </c>
      <c r="CB52" s="22">
        <f t="shared" si="10"/>
        <v>299.64981878720488</v>
      </c>
      <c r="CC52" s="62">
        <f t="shared" si="11"/>
        <v>571.63421464407452</v>
      </c>
      <c r="CD52" s="62">
        <f ca="1">AVERAGE(OFFSET($CC$3,0,0,'Données projet'!$E$12+1,1))-AVERAGE(OFFSET($H$3,0,0,'Données projet'!$E$12+1,1))</f>
        <v>292.13851489852607</v>
      </c>
      <c r="CE52" s="62">
        <f t="shared" si="40"/>
        <v>280.10866188737418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64.17756250641898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7.6</v>
      </c>
      <c r="CT52" s="13">
        <f>IF('Données projet'!$A$140&gt;35,CT51+CS52-DB51,IF(A52&lt;'Données projet'!$A$140,$CQ$205^A52,IF(A52='Données projet'!$A$140,'Données projet'!$B$140,CT51+CS52-DB51)))</f>
        <v>220.39999999999998</v>
      </c>
      <c r="CU52" s="18">
        <f>CT52*VLOOKUP('Données projet'!$B$13,Paramètres!$A$1:$I$89,3,0)*VLOOKUP('Données projet'!$B$13,Paramètres!$A$1:$I$89,5,0)</f>
        <v>178.78847999999999</v>
      </c>
      <c r="CV52" s="14">
        <f t="shared" si="41"/>
        <v>45.052539436241446</v>
      </c>
      <c r="CW52" s="22">
        <f t="shared" si="13"/>
        <v>389.85644218478711</v>
      </c>
      <c r="CX52" s="62">
        <f t="shared" si="14"/>
        <v>661.84083804165675</v>
      </c>
      <c r="CY52" s="62">
        <f ca="1">AVERAGE(OFFSET($CX$3,0,0,'Données projet'!$E$13+1,1))-AVERAGE(OFFSET($H$3,0,0,'Données projet'!$E$13+1,1))</f>
        <v>265.25572936607409</v>
      </c>
      <c r="CZ52" s="62">
        <f t="shared" si="42"/>
        <v>307.96244316129071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64.17756250641898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6.0256410256410273</v>
      </c>
      <c r="DO52" s="13">
        <f>IF('Données projet'!$A$166&gt;35,DO51+DN52-DW51,IF(A52&lt;'Données projet'!$A$166,$DL$205^A52,IF(A52='Données projet'!$A$166,'Données projet'!$B$166,DO51+DN52-DW51)))</f>
        <v>181.15384615384608</v>
      </c>
      <c r="DP52" s="18">
        <f>DO52*VLOOKUP('Données projet'!$B$14,Paramètres!$A$1:$I$89,3,0)*VLOOKUP('Données projet'!$B$14,Paramètres!$A$1:$I$89,5,0)</f>
        <v>172.38599999999991</v>
      </c>
      <c r="DQ52" s="14">
        <f t="shared" si="43"/>
        <v>43.623973962324399</v>
      </c>
      <c r="DR52" s="22">
        <f t="shared" si="16"/>
        <v>376.21737131771482</v>
      </c>
      <c r="DS52" s="62">
        <f t="shared" si="17"/>
        <v>648.20176717458435</v>
      </c>
      <c r="DT52" s="62">
        <f ca="1">AVERAGE(OFFSET($DS$3,0,0,'Données projet'!$E$14+1,1))-AVERAGE(OFFSET($H$3,0,0,'Données projet'!$E$14+1,1))</f>
        <v>425.41154182732936</v>
      </c>
      <c r="DU52" s="62">
        <f t="shared" si="44"/>
        <v>306.44721925744591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64.17756250641898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8.5399999999999974</v>
      </c>
      <c r="EJ52" s="13">
        <f>IF('Données projet'!$A$192&gt;35,EJ51+EI52-ER51,IF(A52&lt;'Données projet'!$A$192,$EG$205^A52,IF(A52='Données projet'!$A$192,'Données projet'!$B$192,EJ51+EI52-ER51)))</f>
        <v>276.3599999999999</v>
      </c>
      <c r="EK52" s="18">
        <f>EJ52*VLOOKUP('Données projet'!$B$15,Paramètres!$A$1:$I$89,3,0)*VLOOKUP('Données projet'!$B$15,Paramètres!$A$1:$I$89,5,0)</f>
        <v>202.62715199999994</v>
      </c>
      <c r="EL52" s="14">
        <f t="shared" si="45"/>
        <v>50.321096962872829</v>
      </c>
      <c r="EM52" s="22">
        <f t="shared" si="19"/>
        <v>440.55153361033672</v>
      </c>
      <c r="EN52" s="62">
        <f t="shared" si="20"/>
        <v>712.5359294672063</v>
      </c>
      <c r="EO52" s="62">
        <f ca="1">AVERAGE(OFFSET($EN$3,0,0,'Données projet'!$E$15+1,1))-AVERAGE(OFFSET($H$3,0,0,'Données projet'!$E$15+1,1))</f>
        <v>357.57626046668958</v>
      </c>
      <c r="EP52" s="62">
        <f t="shared" si="46"/>
        <v>386.90439522046199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64.17756250641898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10.375</v>
      </c>
      <c r="FE52" s="13">
        <f>IF('Données projet'!$A$218&gt;35,FE51+FD52-FM51,IF(A52&lt;'Données projet'!$A$218,$FB$205^A52,IF(A52='Données projet'!$A$218,'Données projet'!$B$218,FE51+FD52-FM51)))</f>
        <v>238.87499999999994</v>
      </c>
      <c r="FF52" s="18">
        <f>FE52*VLOOKUP('Données projet'!$B$16,Paramètres!$A$1:$I$89,3,0)*VLOOKUP('Données projet'!$B$16,Paramètres!$A$1:$I$89,5,0)</f>
        <v>186.32249999999996</v>
      </c>
      <c r="FG52" s="14">
        <f t="shared" si="47"/>
        <v>46.725987276254116</v>
      </c>
      <c r="FH52" s="22">
        <f t="shared" si="22"/>
        <v>405.89278200614257</v>
      </c>
      <c r="FI52" s="62">
        <f t="shared" si="23"/>
        <v>677.87717786301209</v>
      </c>
      <c r="FJ52" s="62">
        <f ca="1">AVERAGE(OFFSET($FI$3,0,0,'Données projet'!$E$16+1,1))-AVERAGE(OFFSET($H$3,0,0,'Données projet'!$E$16+1,1))</f>
        <v>303.56663121833833</v>
      </c>
      <c r="FK52" s="62">
        <f t="shared" si="48"/>
        <v>293.97736357938038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64.17756250641898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8.5399999999999974</v>
      </c>
      <c r="FZ52" s="13">
        <f>IF('Données projet'!$A$244&gt;35,FZ51+FY52-GH51,IF(A52&lt;'Données projet'!$A$244,$FW$205^A52,IF(A52='Données projet'!$A$244,'Données projet'!$B$244,FZ51+FY52-GH51)))</f>
        <v>276.3599999999999</v>
      </c>
      <c r="GA52" s="18">
        <f>FZ52*VLOOKUP('Données projet'!$B$17,Paramètres!$A$1:$I$89,3,0)*VLOOKUP('Données projet'!$B$17,Paramètres!$A$1:$I$89,5,0)</f>
        <v>219.87201599999992</v>
      </c>
      <c r="GB52" s="14">
        <f t="shared" si="49"/>
        <v>54.087068088530145</v>
      </c>
      <c r="GC52" s="22">
        <f t="shared" si="25"/>
        <v>477.14540478752315</v>
      </c>
      <c r="GD52" s="62">
        <f t="shared" si="26"/>
        <v>749.12980064439273</v>
      </c>
      <c r="GE52" s="62">
        <f ca="1">AVERAGE(OFFSET($GD$3,0,0,'Données projet'!$E$17+1,1))-AVERAGE(OFFSET($H$3,0,0,'Données projet'!$E$17+1,1))</f>
        <v>383.71724511025587</v>
      </c>
      <c r="GF52" s="62">
        <f t="shared" si="50"/>
        <v>415.10774719533185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64.17756250641898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6.2820512820512819</v>
      </c>
      <c r="GU52" s="13">
        <f>IF('Données projet'!$A$270&gt;35,GU51+GT52-HC51,IF(A52&lt;'Données projet'!$A$270,$GR$205^A52,IF(A52='Données projet'!$A$270,'Données projet'!$B$270,GU51+GT52-HC51)))</f>
        <v>215.5128205128205</v>
      </c>
      <c r="GV52" s="18">
        <f>GU52*VLOOKUP('Données projet'!$B$18,Paramètres!$A$1:$I$89,3,0)*VLOOKUP('Données projet'!$B$18,Paramètres!$A$1:$I$89,5,0)</f>
        <v>144.566</v>
      </c>
      <c r="GW52" s="14">
        <f t="shared" si="51"/>
        <v>37.341050188349875</v>
      </c>
      <c r="GX52" s="22">
        <f t="shared" si="28"/>
        <v>316.82144574470937</v>
      </c>
      <c r="GY52" s="62">
        <f t="shared" si="29"/>
        <v>588.805841601579</v>
      </c>
      <c r="GZ52" s="62">
        <f ca="1">AVERAGE(OFFSET($GY$3,0,0,'Données projet'!$E$18+1,1))-AVERAGE(OFFSET($H$3,0,0,'Données projet'!$E$18+1,1))</f>
        <v>329.93956600482801</v>
      </c>
      <c r="HA52" s="62">
        <f t="shared" si="52"/>
        <v>268.69186630599165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2.7450000000000001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10.065</v>
      </c>
      <c r="H53" s="70">
        <f t="shared" si="1"/>
        <v>216.40666666666667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64.278568779912476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726.45553807925637</v>
      </c>
      <c r="S53" s="62">
        <f ca="1">AVERAGE(OFFSET($R$3,0,0,'Données projet'!$E$9+1,1))-AVERAGE(OFFSET($H$3,0,0,'Données projet'!$E$9+1,1))</f>
        <v>551.67307965706379</v>
      </c>
      <c r="T53" s="62">
        <f t="shared" si="34"/>
        <v>288.70738860523943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64.278568779912476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231.00000000000006</v>
      </c>
      <c r="AJ53" s="14">
        <f>AI53*VLOOKUP('Données projet'!$B$10,Paramètres!$A$1:$I$89,3,0)*VLOOKUP('Données projet'!$B$10,Paramètres!$A$1:$I$89,5,0)</f>
        <v>194.59440000000006</v>
      </c>
      <c r="AK53" s="14">
        <f t="shared" si="35"/>
        <v>48.554292648263456</v>
      </c>
      <c r="AL53" s="22">
        <f t="shared" si="4"/>
        <v>423.48397302905897</v>
      </c>
      <c r="AM53" s="62">
        <f t="shared" si="5"/>
        <v>695.83872522207139</v>
      </c>
      <c r="AN53" s="62">
        <f ca="1">AVERAGE(OFFSET($AM$3,0,0,'Données projet'!$E$10+1,1))-AVERAGE(OFFSET($H$3,0,0,'Données projet'!$E$10+1,1))</f>
        <v>518.18933270904506</v>
      </c>
      <c r="AO53" s="62">
        <f t="shared" si="36"/>
        <v>272.44431899810411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64.278568779912476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15.5</v>
      </c>
      <c r="BD53" s="13">
        <f>IF('Données projet'!$A$88&gt;35,BD52+BC53-BL52,IF(A53&lt;'Données projet'!$A$88,$BA$205^A53,IF(A53='Données projet'!$A$88,'Données projet'!$B$88,BD52+BC53-BL52)))</f>
        <v>207.99999999999986</v>
      </c>
      <c r="BE53" s="14">
        <f>BD53*VLOOKUP('Données projet'!$B$11,Paramètres!$A$1:$I$89,3,0)*VLOOKUP('Données projet'!$B$11,Paramètres!$A$1:$I$89,5,0)</f>
        <v>178.46399999999991</v>
      </c>
      <c r="BF53" s="14">
        <f t="shared" si="37"/>
        <v>44.980284206661821</v>
      </c>
      <c r="BG53" s="22">
        <f t="shared" si="7"/>
        <v>389.16546165993583</v>
      </c>
      <c r="BH53" s="62">
        <f t="shared" si="8"/>
        <v>661.52021385294825</v>
      </c>
      <c r="BI53" s="62">
        <f ca="1">AVERAGE(OFFSET($BH$3,0,0,'Données projet'!$E$11+1,1))-AVERAGE(OFFSET($H$3,0,0,'Données projet'!$E$11+1,1))</f>
        <v>464.73160475167867</v>
      </c>
      <c r="BJ53" s="62">
        <f t="shared" si="38"/>
        <v>241.31968359962227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64.278568779912476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215</v>
      </c>
      <c r="BW53" s="13">
        <f>VLOOKUP(A53,'Données projet'!$A$113:$I$133,9,0)</f>
        <v>6.6</v>
      </c>
      <c r="BX53" s="13">
        <f t="array" ref="BX53">INDEX(BW:BW,MIN(IF(ISNUMBER(BW53:BW249),ROW(BW53:BW249),"")))</f>
        <v>6.6</v>
      </c>
      <c r="BY53" s="13">
        <f>IF('Données projet'!$A$114&gt;35,BY52+BX53-CG52,IF(A53&lt;'Données projet'!$A$114,$BV$205^A53,IF(A53='Données projet'!$A$114,'Données projet'!$B$114,BY52+BX53-CG52)))</f>
        <v>215.00000000000006</v>
      </c>
      <c r="BZ53" s="14">
        <f>BY53*VLOOKUP('Données projet'!$B$12,Paramètres!$A$1:$I$89,3,0)*VLOOKUP('Données projet'!$B$12,Paramètres!$A$1:$I$89,5,0)</f>
        <v>140.86800000000005</v>
      </c>
      <c r="CA53" s="14">
        <f t="shared" si="39"/>
        <v>36.495780519346958</v>
      </c>
      <c r="CB53" s="22">
        <f t="shared" si="10"/>
        <v>308.90858440452939</v>
      </c>
      <c r="CC53" s="62">
        <f t="shared" si="11"/>
        <v>581.26333659754187</v>
      </c>
      <c r="CD53" s="62">
        <f ca="1">AVERAGE(OFFSET($CC$3,0,0,'Données projet'!$E$12+1,1))-AVERAGE(OFFSET($H$3,0,0,'Données projet'!$E$12+1,1))</f>
        <v>292.13851489852607</v>
      </c>
      <c r="CE53" s="62">
        <f t="shared" si="40"/>
        <v>280.10866188737418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64.278568779912476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228</v>
      </c>
      <c r="CR53" s="13">
        <f>VLOOKUP(A53,'Données projet'!$A$139:$I$159,9,0)</f>
        <v>7.6</v>
      </c>
      <c r="CS53" s="13">
        <f t="array" ref="CS53">INDEX(CR:CR,MIN(IF(ISNUMBER(CR53:CR249),ROW(CR53:CR249),"")))</f>
        <v>7.6</v>
      </c>
      <c r="CT53" s="13">
        <f>IF('Données projet'!$A$140&gt;35,CT52+CS53-DB52,IF(A53&lt;'Données projet'!$A$140,$CQ$205^A53,IF(A53='Données projet'!$A$140,'Données projet'!$B$140,CT52+CS53-DB52)))</f>
        <v>227.99999999999997</v>
      </c>
      <c r="CU53" s="18">
        <f>CT53*VLOOKUP('Données projet'!$B$13,Paramètres!$A$1:$I$89,3,0)*VLOOKUP('Données projet'!$B$13,Paramètres!$A$1:$I$89,5,0)</f>
        <v>184.95359999999999</v>
      </c>
      <c r="CV53" s="14">
        <f t="shared" si="41"/>
        <v>46.42252355095799</v>
      </c>
      <c r="CW53" s="22">
        <f t="shared" si="13"/>
        <v>402.98008185125178</v>
      </c>
      <c r="CX53" s="62">
        <f t="shared" si="14"/>
        <v>675.3348340442642</v>
      </c>
      <c r="CY53" s="62">
        <f ca="1">AVERAGE(OFFSET($CX$3,0,0,'Données projet'!$E$13+1,1))-AVERAGE(OFFSET($H$3,0,0,'Données projet'!$E$13+1,1))</f>
        <v>265.25572936607409</v>
      </c>
      <c r="CZ53" s="62">
        <f t="shared" si="42"/>
        <v>307.96244316129071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64.278568779912476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187.17948717948718</v>
      </c>
      <c r="DM53" s="13">
        <f>VLOOKUP(A53,'Données projet'!$A$165:$I$185,9,0)</f>
        <v>6.0256410256410273</v>
      </c>
      <c r="DN53" s="13">
        <f t="array" ref="DN53">INDEX(DM:DM,MIN(IF(ISNUMBER(DM53:DM249),ROW(DM53:DM249),"")))</f>
        <v>6.0256410256410273</v>
      </c>
      <c r="DO53" s="13">
        <f>IF('Données projet'!$A$166&gt;35,DO52+DN53-DW52,IF(A53&lt;'Données projet'!$A$166,$DL$205^A53,IF(A53='Données projet'!$A$166,'Données projet'!$B$166,DO52+DN53-DW52)))</f>
        <v>187.1794871794871</v>
      </c>
      <c r="DP53" s="18">
        <f>DO53*VLOOKUP('Données projet'!$B$14,Paramètres!$A$1:$I$89,3,0)*VLOOKUP('Données projet'!$B$14,Paramètres!$A$1:$I$89,5,0)</f>
        <v>178.11999999999992</v>
      </c>
      <c r="DQ53" s="14">
        <f t="shared" si="43"/>
        <v>44.90366556024162</v>
      </c>
      <c r="DR53" s="22">
        <f t="shared" si="16"/>
        <v>388.4328841840873</v>
      </c>
      <c r="DS53" s="62">
        <f t="shared" si="17"/>
        <v>660.78763637709972</v>
      </c>
      <c r="DT53" s="62">
        <f ca="1">AVERAGE(OFFSET($DS$3,0,0,'Données projet'!$E$14+1,1))-AVERAGE(OFFSET($H$3,0,0,'Données projet'!$E$14+1,1))</f>
        <v>425.41154182732936</v>
      </c>
      <c r="DU53" s="62">
        <f t="shared" si="44"/>
        <v>306.44721925744591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64.278568779912476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284.89999999999998</v>
      </c>
      <c r="EH53" s="13">
        <f>VLOOKUP(A53,'Données projet'!$A$191:$I$211,9,0)</f>
        <v>8.5399999999999974</v>
      </c>
      <c r="EI53" s="13">
        <f t="array" ref="EI53">INDEX(EH:EH,MIN(IF(ISNUMBER(EH53:EH249),ROW(EH53:EH249),"")))</f>
        <v>8.5399999999999974</v>
      </c>
      <c r="EJ53" s="13">
        <f>IF('Données projet'!$A$192&gt;35,EJ52+EI53-ER52,IF(A53&lt;'Données projet'!$A$192,$EG$205^A53,IF(A53='Données projet'!$A$192,'Données projet'!$B$192,EJ52+EI53-ER52)))</f>
        <v>284.89999999999992</v>
      </c>
      <c r="EK53" s="18">
        <f>EJ53*VLOOKUP('Données projet'!$B$15,Paramètres!$A$1:$I$89,3,0)*VLOOKUP('Données projet'!$B$15,Paramètres!$A$1:$I$89,5,0)</f>
        <v>208.88867999999994</v>
      </c>
      <c r="EL53" s="14">
        <f t="shared" si="45"/>
        <v>51.692659373318428</v>
      </c>
      <c r="EM53" s="22">
        <f t="shared" si="19"/>
        <v>453.84583274186275</v>
      </c>
      <c r="EN53" s="62">
        <f t="shared" si="20"/>
        <v>726.20058493487522</v>
      </c>
      <c r="EO53" s="62">
        <f ca="1">AVERAGE(OFFSET($EN$3,0,0,'Données projet'!$E$15+1,1))-AVERAGE(OFFSET($H$3,0,0,'Données projet'!$E$15+1,1))</f>
        <v>357.57626046668958</v>
      </c>
      <c r="EP53" s="62">
        <f t="shared" si="46"/>
        <v>386.90439522046199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43.099999999999994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64.278568779912476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10.375</v>
      </c>
      <c r="FE53" s="13">
        <f>IF('Données projet'!$A$218&gt;35,FE52+FD53-FM52,IF(A53&lt;'Données projet'!$A$218,$FB$205^A53,IF(A53='Données projet'!$A$218,'Données projet'!$B$218,FE52+FD53-FM52)))</f>
        <v>249.24999999999994</v>
      </c>
      <c r="FF53" s="18">
        <f>FE53*VLOOKUP('Données projet'!$B$16,Paramètres!$A$1:$I$89,3,0)*VLOOKUP('Données projet'!$B$16,Paramètres!$A$1:$I$89,5,0)</f>
        <v>194.41499999999996</v>
      </c>
      <c r="FG53" s="14">
        <f t="shared" si="47"/>
        <v>48.514737888684969</v>
      </c>
      <c r="FH53" s="22">
        <f t="shared" si="22"/>
        <v>423.1026268227929</v>
      </c>
      <c r="FI53" s="62">
        <f t="shared" si="23"/>
        <v>695.45737901580537</v>
      </c>
      <c r="FJ53" s="62">
        <f ca="1">AVERAGE(OFFSET($FI$3,0,0,'Données projet'!$E$16+1,1))-AVERAGE(OFFSET($H$3,0,0,'Données projet'!$E$16+1,1))</f>
        <v>303.56663121833833</v>
      </c>
      <c r="FK53" s="62">
        <f t="shared" si="48"/>
        <v>293.97736357938038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64.278568779912476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284.89999999999998</v>
      </c>
      <c r="FX53" s="13">
        <f>VLOOKUP(A53,'Données projet'!$A$243:$I$263,9,0)</f>
        <v>8.5399999999999974</v>
      </c>
      <c r="FY53" s="13">
        <f t="array" ref="FY53">INDEX(FX:FX,MIN(IF(ISNUMBER(FX53:FX249),ROW(FX53:FX249),"")))</f>
        <v>8.5399999999999974</v>
      </c>
      <c r="FZ53" s="13">
        <f>IF('Données projet'!$A$244&gt;35,FZ52+FY53-GH52,IF(A53&lt;'Données projet'!$A$244,$FW$205^A53,IF(A53='Données projet'!$A$244,'Données projet'!$B$244,FZ52+FY53-GH52)))</f>
        <v>284.89999999999992</v>
      </c>
      <c r="GA53" s="18">
        <f>FZ53*VLOOKUP('Données projet'!$B$17,Paramètres!$A$1:$I$89,3,0)*VLOOKUP('Données projet'!$B$17,Paramètres!$A$1:$I$89,5,0)</f>
        <v>226.66643999999994</v>
      </c>
      <c r="GB53" s="14">
        <f t="shared" si="49"/>
        <v>55.561276600641385</v>
      </c>
      <c r="GC53" s="22">
        <f t="shared" si="25"/>
        <v>491.5466064127836</v>
      </c>
      <c r="GD53" s="62">
        <f t="shared" si="26"/>
        <v>763.90135860579608</v>
      </c>
      <c r="GE53" s="62">
        <f ca="1">AVERAGE(OFFSET($GD$3,0,0,'Données projet'!$E$17+1,1))-AVERAGE(OFFSET($H$3,0,0,'Données projet'!$E$17+1,1))</f>
        <v>383.71724511025587</v>
      </c>
      <c r="GF53" s="62">
        <f t="shared" si="50"/>
        <v>415.10774719533185</v>
      </c>
      <c r="GG53" s="16">
        <f>IF(ISNA(VLOOKUP(A53,'Données projet'!$A$243:$I$263,3,0)),0,VLOOKUP(A53,'Données projet'!$A$243:$I$263,3,0))</f>
        <v>4</v>
      </c>
      <c r="GH53" s="16">
        <f>IF(ISNA(VLOOKUP(A53,'Données projet'!$A$243:$I$263,4,0)),0,VLOOKUP(A53,'Données projet'!$A$243:$I$263,4,0))</f>
        <v>43.099999999999994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64.278568779912476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221.7948717948718</v>
      </c>
      <c r="GS53" s="13">
        <f>VLOOKUP(A53,'Données projet'!$A$269:$I$289,9,0)</f>
        <v>6.2820512820512819</v>
      </c>
      <c r="GT53" s="13">
        <f t="array" ref="GT53">INDEX(GS:GS,MIN(IF(ISNUMBER(GS53:GS249),ROW(GS53:GS249),"")))</f>
        <v>6.2820512820512819</v>
      </c>
      <c r="GU53" s="13">
        <f>IF('Données projet'!$A$270&gt;35,GU52+GT53-HC52,IF(A53&lt;'Données projet'!$A$270,$GR$205^A53,IF(A53='Données projet'!$A$270,'Données projet'!$B$270,GU52+GT53-HC52)))</f>
        <v>221.79487179487177</v>
      </c>
      <c r="GV53" s="18">
        <f>GU53*VLOOKUP('Données projet'!$B$18,Paramètres!$A$1:$I$89,3,0)*VLOOKUP('Données projet'!$B$18,Paramètres!$A$1:$I$89,5,0)</f>
        <v>148.78</v>
      </c>
      <c r="GW53" s="14">
        <f t="shared" si="51"/>
        <v>38.301204605347834</v>
      </c>
      <c r="GX53" s="22">
        <f t="shared" si="28"/>
        <v>325.8330980209808</v>
      </c>
      <c r="GY53" s="62">
        <f t="shared" si="29"/>
        <v>598.18785021399322</v>
      </c>
      <c r="GZ53" s="62">
        <f ca="1">AVERAGE(OFFSET($GY$3,0,0,'Données projet'!$E$18+1,1))-AVERAGE(OFFSET($H$3,0,0,'Données projet'!$E$18+1,1))</f>
        <v>329.93956600482801</v>
      </c>
      <c r="HA53" s="62">
        <f t="shared" si="52"/>
        <v>268.69186630599165</v>
      </c>
      <c r="HB53" s="16">
        <f>IF(ISNA(VLOOKUP(A53,'Données projet'!$A$269:$I$289,3,0)),0,VLOOKUP(A53,'Données projet'!$A$269:$I$289,3,0))</f>
        <v>4</v>
      </c>
      <c r="HC53" s="16">
        <f>IF(ISNA(VLOOKUP(A53,'Données projet'!$A$269:$I$289,4,0)),0,VLOOKUP(A53,'Données projet'!$A$269:$I$289,4,0))</f>
        <v>32.692307692307693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2.7450000000000001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10.065</v>
      </c>
      <c r="H54" s="70">
        <f t="shared" si="1"/>
        <v>216.40666666666667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64.377822820377048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2">
        <f t="shared" si="0"/>
        <v>746.39881339434248</v>
      </c>
      <c r="S54" s="62">
        <f ca="1">AVERAGE(OFFSET($R$3,0,0,'Données projet'!$E$9+1,1))-AVERAGE(OFFSET($H$3,0,0,'Données projet'!$E$9+1,1))</f>
        <v>551.67307965706379</v>
      </c>
      <c r="T54" s="62">
        <f t="shared" si="34"/>
        <v>288.70738860523943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64.377822820377048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241.20000000000005</v>
      </c>
      <c r="AJ54" s="14">
        <f>AI54*VLOOKUP('Données projet'!$B$10,Paramètres!$A$1:$I$89,3,0)*VLOOKUP('Données projet'!$B$10,Paramètres!$A$1:$I$89,5,0)</f>
        <v>203.18688000000009</v>
      </c>
      <c r="AK54" s="14">
        <f t="shared" si="35"/>
        <v>50.443901791793827</v>
      </c>
      <c r="AL54" s="22">
        <f t="shared" si="4"/>
        <v>441.74027828737439</v>
      </c>
      <c r="AM54" s="62">
        <f t="shared" si="5"/>
        <v>714.45896196209014</v>
      </c>
      <c r="AN54" s="62">
        <f ca="1">AVERAGE(OFFSET($AM$3,0,0,'Données projet'!$E$10+1,1))-AVERAGE(OFFSET($H$3,0,0,'Données projet'!$E$10+1,1))</f>
        <v>518.18933270904506</v>
      </c>
      <c r="AO54" s="62">
        <f t="shared" si="36"/>
        <v>272.44431899810411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64.377822820377048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15.5</v>
      </c>
      <c r="BD54" s="13">
        <f>IF('Données projet'!$A$88&gt;35,BD53+BC54-BL53,IF(A54&lt;'Données projet'!$A$88,$BA$205^A54,IF(A54='Données projet'!$A$88,'Données projet'!$B$88,BD53+BC54-BL53)))</f>
        <v>223.49999999999986</v>
      </c>
      <c r="BE54" s="14">
        <f>BD54*VLOOKUP('Données projet'!$B$11,Paramètres!$A$1:$I$89,3,0)*VLOOKUP('Données projet'!$B$11,Paramètres!$A$1:$I$89,5,0)</f>
        <v>191.76299999999989</v>
      </c>
      <c r="BF54" s="14">
        <f t="shared" si="37"/>
        <v>47.929517351413239</v>
      </c>
      <c r="BG54" s="22">
        <f t="shared" si="7"/>
        <v>417.46446772037785</v>
      </c>
      <c r="BH54" s="62">
        <f t="shared" si="8"/>
        <v>690.18315139509366</v>
      </c>
      <c r="BI54" s="62">
        <f ca="1">AVERAGE(OFFSET($BH$3,0,0,'Données projet'!$E$11+1,1))-AVERAGE(OFFSET($H$3,0,0,'Données projet'!$E$11+1,1))</f>
        <v>464.73160475167867</v>
      </c>
      <c r="BJ54" s="62">
        <f t="shared" si="38"/>
        <v>241.31968359962227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64.377822820377048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6.4</v>
      </c>
      <c r="BY54" s="13">
        <f>IF('Données projet'!$A$114&gt;35,BY53+BX54-CG53,IF(A54&lt;'Données projet'!$A$114,$BV$205^A54,IF(A54='Données projet'!$A$114,'Données projet'!$B$114,BY53+BX54-CG53)))</f>
        <v>221.40000000000006</v>
      </c>
      <c r="BZ54" s="14">
        <f>BY54*VLOOKUP('Données projet'!$B$12,Paramètres!$A$1:$I$89,3,0)*VLOOKUP('Données projet'!$B$12,Paramètres!$A$1:$I$89,5,0)</f>
        <v>145.06128000000004</v>
      </c>
      <c r="CA54" s="14">
        <f t="shared" si="39"/>
        <v>37.454066301840541</v>
      </c>
      <c r="CB54" s="22">
        <f t="shared" si="10"/>
        <v>317.88089480903892</v>
      </c>
      <c r="CC54" s="62">
        <f t="shared" si="11"/>
        <v>590.59957848375473</v>
      </c>
      <c r="CD54" s="62">
        <f ca="1">AVERAGE(OFFSET($CC$3,0,0,'Données projet'!$E$12+1,1))-AVERAGE(OFFSET($H$3,0,0,'Données projet'!$E$12+1,1))</f>
        <v>292.13851489852607</v>
      </c>
      <c r="CE54" s="62">
        <f t="shared" si="40"/>
        <v>280.10866188737418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64.377822820377048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7.6</v>
      </c>
      <c r="CT54" s="13">
        <f>IF('Données projet'!$A$140&gt;35,CT53+CS54-DB53,IF(A54&lt;'Données projet'!$A$140,$CQ$205^A54,IF(A54='Données projet'!$A$140,'Données projet'!$B$140,CT53+CS54-DB53)))</f>
        <v>235.59999999999997</v>
      </c>
      <c r="CU54" s="18">
        <f>CT54*VLOOKUP('Données projet'!$B$13,Paramètres!$A$1:$I$89,3,0)*VLOOKUP('Données projet'!$B$13,Paramètres!$A$1:$I$89,5,0)</f>
        <v>191.11872</v>
      </c>
      <c r="CV54" s="14">
        <f t="shared" si="41"/>
        <v>47.787201388032145</v>
      </c>
      <c r="CW54" s="22">
        <f t="shared" si="13"/>
        <v>416.09447975082259</v>
      </c>
      <c r="CX54" s="62">
        <f t="shared" si="14"/>
        <v>688.81316342553839</v>
      </c>
      <c r="CY54" s="62">
        <f ca="1">AVERAGE(OFFSET($CX$3,0,0,'Données projet'!$E$13+1,1))-AVERAGE(OFFSET($H$3,0,0,'Données projet'!$E$13+1,1))</f>
        <v>265.25572936607409</v>
      </c>
      <c r="CZ54" s="62">
        <f t="shared" si="42"/>
        <v>307.96244316129071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64.377822820377048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5.6410256410256405</v>
      </c>
      <c r="DO54" s="13">
        <f>IF('Données projet'!$A$166&gt;35,DO53+DN54-DW53,IF(A54&lt;'Données projet'!$A$166,$DL$205^A54,IF(A54='Données projet'!$A$166,'Données projet'!$B$166,DO53+DN54-DW53)))</f>
        <v>192.82051282051273</v>
      </c>
      <c r="DP54" s="18">
        <f>DO54*VLOOKUP('Données projet'!$B$14,Paramètres!$A$1:$I$89,3,0)*VLOOKUP('Données projet'!$B$14,Paramètres!$A$1:$I$89,5,0)</f>
        <v>183.48799999999991</v>
      </c>
      <c r="DQ54" s="14">
        <f t="shared" si="43"/>
        <v>46.097332970867861</v>
      </c>
      <c r="DR54" s="22">
        <f t="shared" si="16"/>
        <v>399.86112159092801</v>
      </c>
      <c r="DS54" s="62">
        <f t="shared" si="17"/>
        <v>672.57980526564381</v>
      </c>
      <c r="DT54" s="62">
        <f ca="1">AVERAGE(OFFSET($DS$3,0,0,'Données projet'!$E$14+1,1))-AVERAGE(OFFSET($H$3,0,0,'Données projet'!$E$14+1,1))</f>
        <v>425.41154182732936</v>
      </c>
      <c r="DU54" s="62">
        <f t="shared" si="44"/>
        <v>306.44721925744591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64.377822820377048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7.3600000000000083</v>
      </c>
      <c r="EJ54" s="13">
        <f>IF('Données projet'!$A$192&gt;35,EJ53+EI54-ER53,IF(A54&lt;'Données projet'!$A$192,$EG$205^A54,IF(A54='Données projet'!$A$192,'Données projet'!$B$192,EJ53+EI54-ER53)))</f>
        <v>249.15999999999994</v>
      </c>
      <c r="EK54" s="18">
        <f>EJ54*VLOOKUP('Données projet'!$B$15,Paramètres!$A$1:$I$89,3,0)*VLOOKUP('Données projet'!$B$15,Paramètres!$A$1:$I$89,5,0)</f>
        <v>182.68411199999994</v>
      </c>
      <c r="EL54" s="14">
        <f t="shared" si="45"/>
        <v>45.91883623040173</v>
      </c>
      <c r="EM54" s="22">
        <f t="shared" si="19"/>
        <v>398.15013483461621</v>
      </c>
      <c r="EN54" s="62">
        <f t="shared" si="20"/>
        <v>670.86881850933196</v>
      </c>
      <c r="EO54" s="62">
        <f ca="1">AVERAGE(OFFSET($EN$3,0,0,'Données projet'!$E$15+1,1))-AVERAGE(OFFSET($H$3,0,0,'Données projet'!$E$15+1,1))</f>
        <v>357.57626046668958</v>
      </c>
      <c r="EP54" s="62">
        <f t="shared" si="46"/>
        <v>386.90439522046199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64.377822820377048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10.375</v>
      </c>
      <c r="FE54" s="13">
        <f>IF('Données projet'!$A$218&gt;35,FE53+FD54-FM53,IF(A54&lt;'Données projet'!$A$218,$FB$205^A54,IF(A54='Données projet'!$A$218,'Données projet'!$B$218,FE53+FD54-FM53)))</f>
        <v>259.62499999999994</v>
      </c>
      <c r="FF54" s="18">
        <f>FE54*VLOOKUP('Données projet'!$B$16,Paramètres!$A$1:$I$89,3,0)*VLOOKUP('Données projet'!$B$16,Paramètres!$A$1:$I$89,5,0)</f>
        <v>202.50749999999996</v>
      </c>
      <c r="FG54" s="14">
        <f t="shared" si="47"/>
        <v>50.294840086606349</v>
      </c>
      <c r="FH54" s="22">
        <f t="shared" si="22"/>
        <v>440.29740898417259</v>
      </c>
      <c r="FI54" s="62">
        <f t="shared" si="23"/>
        <v>713.0160926588884</v>
      </c>
      <c r="FJ54" s="62">
        <f ca="1">AVERAGE(OFFSET($FI$3,0,0,'Données projet'!$E$16+1,1))-AVERAGE(OFFSET($H$3,0,0,'Données projet'!$E$16+1,1))</f>
        <v>303.56663121833833</v>
      </c>
      <c r="FK54" s="62">
        <f t="shared" si="48"/>
        <v>293.97736357938038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64.377822820377048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7.3600000000000083</v>
      </c>
      <c r="FZ54" s="13">
        <f>IF('Données projet'!$A$244&gt;35,FZ53+FY54-GH53,IF(A54&lt;'Données projet'!$A$244,$FW$205^A54,IF(A54='Données projet'!$A$244,'Données projet'!$B$244,FZ53+FY54-GH53)))</f>
        <v>249.15999999999994</v>
      </c>
      <c r="GA54" s="18">
        <f>FZ54*VLOOKUP('Données projet'!$B$17,Paramètres!$A$1:$I$89,3,0)*VLOOKUP('Données projet'!$B$17,Paramètres!$A$1:$I$89,5,0)</f>
        <v>198.23169599999997</v>
      </c>
      <c r="GB54" s="14">
        <f t="shared" si="49"/>
        <v>49.355347391815158</v>
      </c>
      <c r="GC54" s="22">
        <f t="shared" si="25"/>
        <v>431.21410057407803</v>
      </c>
      <c r="GD54" s="62">
        <f t="shared" si="26"/>
        <v>703.93278424879384</v>
      </c>
      <c r="GE54" s="62">
        <f ca="1">AVERAGE(OFFSET($GD$3,0,0,'Données projet'!$E$17+1,1))-AVERAGE(OFFSET($H$3,0,0,'Données projet'!$E$17+1,1))</f>
        <v>383.71724511025587</v>
      </c>
      <c r="GF54" s="62">
        <f t="shared" si="50"/>
        <v>415.10774719533185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64.377822820377048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5.7692307692307683</v>
      </c>
      <c r="GU54" s="13">
        <f>IF('Données projet'!$A$270&gt;35,GU53+GT54-HC53,IF(A54&lt;'Données projet'!$A$270,$GR$205^A54,IF(A54='Données projet'!$A$270,'Données projet'!$B$270,GU53+GT54-HC53)))</f>
        <v>194.87179487179486</v>
      </c>
      <c r="GV54" s="18">
        <f>GU54*VLOOKUP('Données projet'!$B$18,Paramètres!$A$1:$I$89,3,0)*VLOOKUP('Données projet'!$B$18,Paramètres!$A$1:$I$89,5,0)</f>
        <v>130.72</v>
      </c>
      <c r="GW54" s="14">
        <f t="shared" si="51"/>
        <v>34.162676675108806</v>
      </c>
      <c r="GX54" s="22">
        <f t="shared" si="28"/>
        <v>287.17066187581446</v>
      </c>
      <c r="GY54" s="62">
        <f t="shared" si="29"/>
        <v>559.88934555053027</v>
      </c>
      <c r="GZ54" s="62">
        <f ca="1">AVERAGE(OFFSET($GY$3,0,0,'Données projet'!$E$18+1,1))-AVERAGE(OFFSET($H$3,0,0,'Données projet'!$E$18+1,1))</f>
        <v>329.93956600482801</v>
      </c>
      <c r="HA54" s="62">
        <f t="shared" si="52"/>
        <v>268.69186630599165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2.7450000000000001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10.065</v>
      </c>
      <c r="H55" s="70">
        <f t="shared" si="1"/>
        <v>216.40666666666667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64.475355025138356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2">
        <f t="shared" si="0"/>
        <v>766.3185565073386</v>
      </c>
      <c r="S55" s="62">
        <f ca="1">AVERAGE(OFFSET($R$3,0,0,'Données projet'!$E$9+1,1))-AVERAGE(OFFSET($H$3,0,0,'Données projet'!$E$9+1,1))</f>
        <v>551.67307965706379</v>
      </c>
      <c r="T55" s="62">
        <f t="shared" si="34"/>
        <v>288.70738860523943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64.475355025138356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251.40000000000003</v>
      </c>
      <c r="AJ55" s="14">
        <f>AI55*VLOOKUP('Données projet'!$B$10,Paramètres!$A$1:$I$89,3,0)*VLOOKUP('Données projet'!$B$10,Paramètres!$A$1:$I$89,5,0)</f>
        <v>211.77936000000005</v>
      </c>
      <c r="AK55" s="14">
        <f t="shared" si="35"/>
        <v>52.324229479404138</v>
      </c>
      <c r="AL55" s="22">
        <f t="shared" si="4"/>
        <v>459.98041834329564</v>
      </c>
      <c r="AM55" s="62">
        <f t="shared" si="5"/>
        <v>733.0567201021363</v>
      </c>
      <c r="AN55" s="62">
        <f ca="1">AVERAGE(OFFSET($AM$3,0,0,'Données projet'!$E$10+1,1))-AVERAGE(OFFSET($H$3,0,0,'Données projet'!$E$10+1,1))</f>
        <v>518.18933270904506</v>
      </c>
      <c r="AO55" s="62">
        <f t="shared" si="36"/>
        <v>272.44431899810411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64.475355025138356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15.5</v>
      </c>
      <c r="BD55" s="13">
        <f>IF('Données projet'!$A$88&gt;35,BD54+BC55-BL54,IF(A55&lt;'Données projet'!$A$88,$BA$205^A55,IF(A55='Données projet'!$A$88,'Données projet'!$B$88,BD54+BC55-BL54)))</f>
        <v>238.99999999999986</v>
      </c>
      <c r="BE55" s="14">
        <f>BD55*VLOOKUP('Données projet'!$B$11,Paramètres!$A$1:$I$89,3,0)*VLOOKUP('Données projet'!$B$11,Paramètres!$A$1:$I$89,5,0)</f>
        <v>205.0619999999999</v>
      </c>
      <c r="BF55" s="14">
        <f t="shared" si="37"/>
        <v>50.855018623514823</v>
      </c>
      <c r="BG55" s="22">
        <f t="shared" si="7"/>
        <v>445.72214076928805</v>
      </c>
      <c r="BH55" s="62">
        <f t="shared" si="8"/>
        <v>718.7984425281287</v>
      </c>
      <c r="BI55" s="62">
        <f ca="1">AVERAGE(OFFSET($BH$3,0,0,'Données projet'!$E$11+1,1))-AVERAGE(OFFSET($H$3,0,0,'Données projet'!$E$11+1,1))</f>
        <v>464.73160475167867</v>
      </c>
      <c r="BJ55" s="62">
        <f t="shared" si="38"/>
        <v>241.31968359962227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64.475355025138356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6.4</v>
      </c>
      <c r="BY55" s="13">
        <f>IF('Données projet'!$A$114&gt;35,BY54+BX55-CG54,IF(A55&lt;'Données projet'!$A$114,$BV$205^A55,IF(A55='Données projet'!$A$114,'Données projet'!$B$114,BY54+BX55-CG54)))</f>
        <v>227.80000000000007</v>
      </c>
      <c r="BZ55" s="14">
        <f>BY55*VLOOKUP('Données projet'!$B$12,Paramètres!$A$1:$I$89,3,0)*VLOOKUP('Données projet'!$B$12,Paramètres!$A$1:$I$89,5,0)</f>
        <v>149.25456000000005</v>
      </c>
      <c r="CA55" s="14">
        <f t="shared" si="39"/>
        <v>38.409132618275962</v>
      </c>
      <c r="CB55" s="22">
        <f t="shared" si="10"/>
        <v>326.84759797683068</v>
      </c>
      <c r="CC55" s="62">
        <f t="shared" si="11"/>
        <v>599.92389973567128</v>
      </c>
      <c r="CD55" s="62">
        <f ca="1">AVERAGE(OFFSET($CC$3,0,0,'Données projet'!$E$12+1,1))-AVERAGE(OFFSET($H$3,0,0,'Données projet'!$E$12+1,1))</f>
        <v>292.13851489852607</v>
      </c>
      <c r="CE55" s="62">
        <f t="shared" si="40"/>
        <v>280.10866188737418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64.475355025138356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7.6</v>
      </c>
      <c r="CT55" s="13">
        <f>IF('Données projet'!$A$140&gt;35,CT54+CS55-DB54,IF(A55&lt;'Données projet'!$A$140,$CQ$205^A55,IF(A55='Données projet'!$A$140,'Données projet'!$B$140,CT54+CS55-DB54)))</f>
        <v>243.19999999999996</v>
      </c>
      <c r="CU55" s="18">
        <f>CT55*VLOOKUP('Données projet'!$B$13,Paramètres!$A$1:$I$89,3,0)*VLOOKUP('Données projet'!$B$13,Paramètres!$A$1:$I$89,5,0)</f>
        <v>197.28383999999997</v>
      </c>
      <c r="CV55" s="14">
        <f t="shared" si="41"/>
        <v>49.146763750789503</v>
      </c>
      <c r="CW55" s="22">
        <f t="shared" si="13"/>
        <v>429.19996819929173</v>
      </c>
      <c r="CX55" s="62">
        <f t="shared" si="14"/>
        <v>702.27626995813239</v>
      </c>
      <c r="CY55" s="62">
        <f ca="1">AVERAGE(OFFSET($CX$3,0,0,'Données projet'!$E$13+1,1))-AVERAGE(OFFSET($H$3,0,0,'Données projet'!$E$13+1,1))</f>
        <v>265.25572936607409</v>
      </c>
      <c r="CZ55" s="62">
        <f t="shared" si="42"/>
        <v>307.96244316129071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64.475355025138356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5.6410256410256405</v>
      </c>
      <c r="DO55" s="13">
        <f>IF('Données projet'!$A$166&gt;35,DO54+DN55-DW54,IF(A55&lt;'Données projet'!$A$166,$DL$205^A55,IF(A55='Données projet'!$A$166,'Données projet'!$B$166,DO54+DN55-DW54)))</f>
        <v>198.46153846153837</v>
      </c>
      <c r="DP55" s="18">
        <f>DO55*VLOOKUP('Données projet'!$B$14,Paramètres!$A$1:$I$89,3,0)*VLOOKUP('Données projet'!$B$14,Paramètres!$A$1:$I$89,5,0)</f>
        <v>188.85599999999991</v>
      </c>
      <c r="DQ55" s="14">
        <f t="shared" si="43"/>
        <v>47.286941864448139</v>
      </c>
      <c r="DR55" s="22">
        <f t="shared" si="16"/>
        <v>411.28229041391364</v>
      </c>
      <c r="DS55" s="62">
        <f t="shared" si="17"/>
        <v>684.35859217275424</v>
      </c>
      <c r="DT55" s="62">
        <f ca="1">AVERAGE(OFFSET($DS$3,0,0,'Données projet'!$E$14+1,1))-AVERAGE(OFFSET($H$3,0,0,'Données projet'!$E$14+1,1))</f>
        <v>425.41154182732936</v>
      </c>
      <c r="DU55" s="62">
        <f t="shared" si="44"/>
        <v>306.44721925744591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64.475355025138356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7.3600000000000083</v>
      </c>
      <c r="EJ55" s="13">
        <f>IF('Données projet'!$A$192&gt;35,EJ54+EI55-ER54,IF(A55&lt;'Données projet'!$A$192,$EG$205^A55,IF(A55='Données projet'!$A$192,'Données projet'!$B$192,EJ54+EI55-ER54)))</f>
        <v>256.51999999999992</v>
      </c>
      <c r="EK55" s="18">
        <f>EJ55*VLOOKUP('Données projet'!$B$15,Paramètres!$A$1:$I$89,3,0)*VLOOKUP('Données projet'!$B$15,Paramètres!$A$1:$I$89,5,0)</f>
        <v>188.08046399999995</v>
      </c>
      <c r="EL55" s="14">
        <f t="shared" si="45"/>
        <v>47.115320222436289</v>
      </c>
      <c r="EM55" s="22">
        <f t="shared" si="19"/>
        <v>409.63265752074312</v>
      </c>
      <c r="EN55" s="62">
        <f t="shared" si="20"/>
        <v>682.70895927958372</v>
      </c>
      <c r="EO55" s="62">
        <f ca="1">AVERAGE(OFFSET($EN$3,0,0,'Données projet'!$E$15+1,1))-AVERAGE(OFFSET($H$3,0,0,'Données projet'!$E$15+1,1))</f>
        <v>357.57626046668958</v>
      </c>
      <c r="EP55" s="62">
        <f t="shared" si="46"/>
        <v>386.90439522046199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64.475355025138356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>
        <f>VLOOKUP(A55,'Données projet'!$A$217:$I$237,2,0)</f>
        <v>270</v>
      </c>
      <c r="FC55" s="13">
        <f>VLOOKUP(A55,'Données projet'!$A$217:$I$237,9,0)</f>
        <v>10.375</v>
      </c>
      <c r="FD55" s="13">
        <f t="array" ref="FD55">INDEX(FC:FC,MIN(IF(ISNUMBER(FC55:FC251),ROW(FC55:FC251),"")))</f>
        <v>10.375</v>
      </c>
      <c r="FE55" s="13">
        <f>IF('Données projet'!$A$218&gt;35,FE54+FD55-FM54,IF(A55&lt;'Données projet'!$A$218,$FB$205^A55,IF(A55='Données projet'!$A$218,'Données projet'!$B$218,FE54+FD55-FM54)))</f>
        <v>269.99999999999994</v>
      </c>
      <c r="FF55" s="18">
        <f>FE55*VLOOKUP('Données projet'!$B$16,Paramètres!$A$1:$I$89,3,0)*VLOOKUP('Données projet'!$B$16,Paramètres!$A$1:$I$89,5,0)</f>
        <v>210.59999999999997</v>
      </c>
      <c r="FG55" s="14">
        <f t="shared" si="47"/>
        <v>52.066679014659961</v>
      </c>
      <c r="FH55" s="22">
        <f t="shared" si="22"/>
        <v>457.47779928386598</v>
      </c>
      <c r="FI55" s="62">
        <f t="shared" si="23"/>
        <v>730.55410104270663</v>
      </c>
      <c r="FJ55" s="62">
        <f ca="1">AVERAGE(OFFSET($FI$3,0,0,'Données projet'!$E$16+1,1))-AVERAGE(OFFSET($H$3,0,0,'Données projet'!$E$16+1,1))</f>
        <v>303.56663121833833</v>
      </c>
      <c r="FK55" s="62">
        <f t="shared" si="48"/>
        <v>293.97736357938038</v>
      </c>
      <c r="FL55" s="16">
        <f>IF(ISNA(VLOOKUP(A55,'Données projet'!$A$217:$I$237,3,0)),0,VLOOKUP(A55,'Données projet'!$A$217:$I$237,3,0))</f>
        <v>5</v>
      </c>
      <c r="FM55" s="16">
        <f>IF(ISNA(VLOOKUP(A55,'Données projet'!$A$217:$I$237,4,0)),0,VLOOKUP(A55,'Données projet'!$A$217:$I$237,4,0))</f>
        <v>48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64.475355025138356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7.3600000000000083</v>
      </c>
      <c r="FZ55" s="13">
        <f>IF('Données projet'!$A$244&gt;35,FZ54+FY55-GH54,IF(A55&lt;'Données projet'!$A$244,$FW$205^A55,IF(A55='Données projet'!$A$244,'Données projet'!$B$244,FZ54+FY55-GH54)))</f>
        <v>256.51999999999992</v>
      </c>
      <c r="GA55" s="18">
        <f>FZ55*VLOOKUP('Données projet'!$B$17,Paramètres!$A$1:$I$89,3,0)*VLOOKUP('Données projet'!$B$17,Paramètres!$A$1:$I$89,5,0)</f>
        <v>204.08731199999997</v>
      </c>
      <c r="GB55" s="14">
        <f t="shared" si="49"/>
        <v>50.641374824638383</v>
      </c>
      <c r="GC55" s="22">
        <f t="shared" si="25"/>
        <v>443.65246288624508</v>
      </c>
      <c r="GD55" s="62">
        <f t="shared" si="26"/>
        <v>716.72876464508568</v>
      </c>
      <c r="GE55" s="62">
        <f ca="1">AVERAGE(OFFSET($GD$3,0,0,'Données projet'!$E$17+1,1))-AVERAGE(OFFSET($H$3,0,0,'Données projet'!$E$17+1,1))</f>
        <v>383.71724511025587</v>
      </c>
      <c r="GF55" s="62">
        <f t="shared" si="50"/>
        <v>415.10774719533185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64.475355025138356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5.7692307692307683</v>
      </c>
      <c r="GU55" s="13">
        <f>IF('Données projet'!$A$270&gt;35,GU54+GT55-HC54,IF(A55&lt;'Données projet'!$A$270,$GR$205^A55,IF(A55='Données projet'!$A$270,'Données projet'!$B$270,GU54+GT55-HC54)))</f>
        <v>200.64102564102564</v>
      </c>
      <c r="GV55" s="18">
        <f>GU55*VLOOKUP('Données projet'!$B$18,Paramètres!$A$1:$I$89,3,0)*VLOOKUP('Données projet'!$B$18,Paramètres!$A$1:$I$89,5,0)</f>
        <v>134.59</v>
      </c>
      <c r="GW55" s="14">
        <f t="shared" si="51"/>
        <v>35.054822215165878</v>
      </c>
      <c r="GX55" s="22">
        <f t="shared" si="28"/>
        <v>295.46473202474721</v>
      </c>
      <c r="GY55" s="62">
        <f t="shared" si="29"/>
        <v>568.54103378358786</v>
      </c>
      <c r="GZ55" s="62">
        <f ca="1">AVERAGE(OFFSET($GY$3,0,0,'Données projet'!$E$18+1,1))-AVERAGE(OFFSET($H$3,0,0,'Données projet'!$E$18+1,1))</f>
        <v>329.93956600482801</v>
      </c>
      <c r="HA55" s="62">
        <f t="shared" si="52"/>
        <v>268.69186630599165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2.7450000000000001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10.065</v>
      </c>
      <c r="H56" s="70">
        <f t="shared" si="1"/>
        <v>216.40666666666667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64.57119526419639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2">
        <f t="shared" si="0"/>
        <v>786.21565547195291</v>
      </c>
      <c r="S56" s="62">
        <f ca="1">AVERAGE(OFFSET($R$3,0,0,'Données projet'!$E$9+1,1))-AVERAGE(OFFSET($H$3,0,0,'Données projet'!$E$9+1,1))</f>
        <v>551.67307965706379</v>
      </c>
      <c r="T56" s="62">
        <f t="shared" si="34"/>
        <v>288.70738860523943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64.57119526419639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261.60000000000002</v>
      </c>
      <c r="AJ56" s="14">
        <f>AI56*VLOOKUP('Données projet'!$B$10,Paramètres!$A$1:$I$89,3,0)*VLOOKUP('Données projet'!$B$10,Paramètres!$A$1:$I$89,5,0)</f>
        <v>220.37184000000002</v>
      </c>
      <c r="AK56" s="14">
        <f t="shared" si="35"/>
        <v>54.195695362491193</v>
      </c>
      <c r="AL56" s="22">
        <f t="shared" si="4"/>
        <v>478.20512408967215</v>
      </c>
      <c r="AM56" s="62">
        <f t="shared" si="5"/>
        <v>751.63284005839228</v>
      </c>
      <c r="AN56" s="62">
        <f ca="1">AVERAGE(OFFSET($AM$3,0,0,'Données projet'!$E$10+1,1))-AVERAGE(OFFSET($H$3,0,0,'Données projet'!$E$10+1,1))</f>
        <v>518.18933270904506</v>
      </c>
      <c r="AO56" s="62">
        <f t="shared" si="36"/>
        <v>272.44431899810411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64.57119526419639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15.5</v>
      </c>
      <c r="BD56" s="13">
        <f>IF('Données projet'!$A$88&gt;35,BD55+BC56-BL55,IF(A56&lt;'Données projet'!$A$88,$BA$205^A56,IF(A56='Données projet'!$A$88,'Données projet'!$B$88,BD55+BC56-BL55)))</f>
        <v>254.49999999999986</v>
      </c>
      <c r="BE56" s="14">
        <f>BD56*VLOOKUP('Données projet'!$B$11,Paramètres!$A$1:$I$89,3,0)*VLOOKUP('Données projet'!$B$11,Paramètres!$A$1:$I$89,5,0)</f>
        <v>218.3609999999999</v>
      </c>
      <c r="BF56" s="14">
        <f t="shared" si="37"/>
        <v>53.758502281527136</v>
      </c>
      <c r="BG56" s="22">
        <f t="shared" si="7"/>
        <v>473.94146647365955</v>
      </c>
      <c r="BH56" s="62">
        <f t="shared" si="8"/>
        <v>747.36918244237961</v>
      </c>
      <c r="BI56" s="62">
        <f ca="1">AVERAGE(OFFSET($BH$3,0,0,'Données projet'!$E$11+1,1))-AVERAGE(OFFSET($H$3,0,0,'Données projet'!$E$11+1,1))</f>
        <v>464.73160475167867</v>
      </c>
      <c r="BJ56" s="62">
        <f t="shared" si="38"/>
        <v>241.31968359962227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64.57119526419639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6.4</v>
      </c>
      <c r="BY56" s="13">
        <f>IF('Données projet'!$A$114&gt;35,BY55+BX56-CG55,IF(A56&lt;'Données projet'!$A$114,$BV$205^A56,IF(A56='Données projet'!$A$114,'Données projet'!$B$114,BY55+BX56-CG55)))</f>
        <v>234.20000000000007</v>
      </c>
      <c r="BZ56" s="14">
        <f>BY56*VLOOKUP('Données projet'!$B$12,Paramètres!$A$1:$I$89,3,0)*VLOOKUP('Données projet'!$B$12,Paramètres!$A$1:$I$89,5,0)</f>
        <v>153.44784000000007</v>
      </c>
      <c r="CA56" s="14">
        <f t="shared" si="39"/>
        <v>39.361080309334518</v>
      </c>
      <c r="CB56" s="22">
        <f t="shared" si="10"/>
        <v>335.80886953875768</v>
      </c>
      <c r="CC56" s="62">
        <f t="shared" si="11"/>
        <v>609.23658550747768</v>
      </c>
      <c r="CD56" s="62">
        <f ca="1">AVERAGE(OFFSET($CC$3,0,0,'Données projet'!$E$12+1,1))-AVERAGE(OFFSET($H$3,0,0,'Données projet'!$E$12+1,1))</f>
        <v>292.13851489852607</v>
      </c>
      <c r="CE56" s="62">
        <f t="shared" si="40"/>
        <v>280.10866188737418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64.57119526419639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7.6</v>
      </c>
      <c r="CT56" s="13">
        <f>IF('Données projet'!$A$140&gt;35,CT55+CS56-DB55,IF(A56&lt;'Données projet'!$A$140,$CQ$205^A56,IF(A56='Données projet'!$A$140,'Données projet'!$B$140,CT55+CS56-DB55)))</f>
        <v>250.79999999999995</v>
      </c>
      <c r="CU56" s="18">
        <f>CT56*VLOOKUP('Données projet'!$B$13,Paramètres!$A$1:$I$89,3,0)*VLOOKUP('Données projet'!$B$13,Paramètres!$A$1:$I$89,5,0)</f>
        <v>203.44895999999997</v>
      </c>
      <c r="CV56" s="14">
        <f t="shared" si="41"/>
        <v>50.501388840000267</v>
      </c>
      <c r="CW56" s="22">
        <f t="shared" si="13"/>
        <v>442.2968575630004</v>
      </c>
      <c r="CX56" s="62">
        <f t="shared" si="14"/>
        <v>715.72457353172047</v>
      </c>
      <c r="CY56" s="62">
        <f ca="1">AVERAGE(OFFSET($CX$3,0,0,'Données projet'!$E$13+1,1))-AVERAGE(OFFSET($H$3,0,0,'Données projet'!$E$13+1,1))</f>
        <v>265.25572936607409</v>
      </c>
      <c r="CZ56" s="62">
        <f t="shared" si="42"/>
        <v>307.96244316129071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64.57119526419639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5.6410256410256405</v>
      </c>
      <c r="DO56" s="13">
        <f>IF('Données projet'!$A$166&gt;35,DO55+DN56-DW55,IF(A56&lt;'Données projet'!$A$166,$DL$205^A56,IF(A56='Données projet'!$A$166,'Données projet'!$B$166,DO55+DN56-DW55)))</f>
        <v>204.102564102564</v>
      </c>
      <c r="DP56" s="18">
        <f>DO56*VLOOKUP('Données projet'!$B$14,Paramètres!$A$1:$I$89,3,0)*VLOOKUP('Données projet'!$B$14,Paramètres!$A$1:$I$89,5,0)</f>
        <v>194.2239999999999</v>
      </c>
      <c r="DQ56" s="14">
        <f t="shared" si="43"/>
        <v>48.472620849341268</v>
      </c>
      <c r="DR56" s="22">
        <f t="shared" si="16"/>
        <v>422.69661464593588</v>
      </c>
      <c r="DS56" s="62">
        <f t="shared" si="17"/>
        <v>696.12433061465595</v>
      </c>
      <c r="DT56" s="62">
        <f ca="1">AVERAGE(OFFSET($DS$3,0,0,'Données projet'!$E$14+1,1))-AVERAGE(OFFSET($H$3,0,0,'Données projet'!$E$14+1,1))</f>
        <v>425.41154182732936</v>
      </c>
      <c r="DU56" s="62">
        <f t="shared" si="44"/>
        <v>306.44721925744591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64.57119526419639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7.3600000000000083</v>
      </c>
      <c r="EJ56" s="13">
        <f>IF('Données projet'!$A$192&gt;35,EJ55+EI56-ER55,IF(A56&lt;'Données projet'!$A$192,$EG$205^A56,IF(A56='Données projet'!$A$192,'Données projet'!$B$192,EJ55+EI56-ER55)))</f>
        <v>263.87999999999994</v>
      </c>
      <c r="EK56" s="18">
        <f>EJ56*VLOOKUP('Données projet'!$B$15,Paramètres!$A$1:$I$89,3,0)*VLOOKUP('Données projet'!$B$15,Paramètres!$A$1:$I$89,5,0)</f>
        <v>193.47681599999996</v>
      </c>
      <c r="EL56" s="14">
        <f t="shared" si="45"/>
        <v>48.307814384267459</v>
      </c>
      <c r="EM56" s="22">
        <f t="shared" si="19"/>
        <v>421.10823125259907</v>
      </c>
      <c r="EN56" s="62">
        <f t="shared" si="20"/>
        <v>694.53594722131913</v>
      </c>
      <c r="EO56" s="62">
        <f ca="1">AVERAGE(OFFSET($EN$3,0,0,'Données projet'!$E$15+1,1))-AVERAGE(OFFSET($H$3,0,0,'Données projet'!$E$15+1,1))</f>
        <v>357.57626046668958</v>
      </c>
      <c r="EP56" s="62">
        <f t="shared" si="46"/>
        <v>386.90439522046199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64.57119526419639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9.375</v>
      </c>
      <c r="FE56" s="13">
        <f>IF('Données projet'!$A$218&gt;35,FE55+FD56-FM55,IF(A56&lt;'Données projet'!$A$218,$FB$205^A56,IF(A56='Données projet'!$A$218,'Données projet'!$B$218,FE55+FD56-FM55)))</f>
        <v>231.37499999999994</v>
      </c>
      <c r="FF56" s="18">
        <f>FE56*VLOOKUP('Données projet'!$B$16,Paramètres!$A$1:$I$89,3,0)*VLOOKUP('Données projet'!$B$16,Paramètres!$A$1:$I$89,5,0)</f>
        <v>180.47249999999997</v>
      </c>
      <c r="FG56" s="14">
        <f t="shared" si="47"/>
        <v>45.427292666837829</v>
      </c>
      <c r="FH56" s="22">
        <f t="shared" si="22"/>
        <v>393.44213889474253</v>
      </c>
      <c r="FI56" s="62">
        <f t="shared" si="23"/>
        <v>666.86985486346259</v>
      </c>
      <c r="FJ56" s="62">
        <f ca="1">AVERAGE(OFFSET($FI$3,0,0,'Données projet'!$E$16+1,1))-AVERAGE(OFFSET($H$3,0,0,'Données projet'!$E$16+1,1))</f>
        <v>303.56663121833833</v>
      </c>
      <c r="FK56" s="62">
        <f t="shared" si="48"/>
        <v>293.97736357938038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64.57119526419639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7.3600000000000083</v>
      </c>
      <c r="FZ56" s="13">
        <f>IF('Données projet'!$A$244&gt;35,FZ55+FY56-GH55,IF(A56&lt;'Données projet'!$A$244,$FW$205^A56,IF(A56='Données projet'!$A$244,'Données projet'!$B$244,FZ55+FY56-GH55)))</f>
        <v>263.87999999999994</v>
      </c>
      <c r="GA56" s="18">
        <f>FZ56*VLOOKUP('Données projet'!$B$17,Paramètres!$A$1:$I$89,3,0)*VLOOKUP('Données projet'!$B$17,Paramètres!$A$1:$I$89,5,0)</f>
        <v>209.94292799999997</v>
      </c>
      <c r="GB56" s="14">
        <f t="shared" si="49"/>
        <v>51.9231138331048</v>
      </c>
      <c r="GC56" s="22">
        <f t="shared" si="25"/>
        <v>456.08335619265745</v>
      </c>
      <c r="GD56" s="62">
        <f t="shared" si="26"/>
        <v>729.51107216137757</v>
      </c>
      <c r="GE56" s="62">
        <f ca="1">AVERAGE(OFFSET($GD$3,0,0,'Données projet'!$E$17+1,1))-AVERAGE(OFFSET($H$3,0,0,'Données projet'!$E$17+1,1))</f>
        <v>383.71724511025587</v>
      </c>
      <c r="GF56" s="62">
        <f t="shared" si="50"/>
        <v>415.10774719533185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64.57119526419639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5.7692307692307683</v>
      </c>
      <c r="GU56" s="13">
        <f>IF('Données projet'!$A$270&gt;35,GU55+GT56-HC55,IF(A56&lt;'Données projet'!$A$270,$GR$205^A56,IF(A56='Données projet'!$A$270,'Données projet'!$B$270,GU55+GT56-HC55)))</f>
        <v>206.41025641025641</v>
      </c>
      <c r="GV56" s="18">
        <f>GU56*VLOOKUP('Données projet'!$B$18,Paramètres!$A$1:$I$89,3,0)*VLOOKUP('Données projet'!$B$18,Paramètres!$A$1:$I$89,5,0)</f>
        <v>138.45999999999998</v>
      </c>
      <c r="GW56" s="14">
        <f t="shared" si="51"/>
        <v>35.943986332761526</v>
      </c>
      <c r="GX56" s="22">
        <f t="shared" si="28"/>
        <v>303.75360952955964</v>
      </c>
      <c r="GY56" s="62">
        <f t="shared" si="29"/>
        <v>577.18132549827965</v>
      </c>
      <c r="GZ56" s="62">
        <f ca="1">AVERAGE(OFFSET($GY$3,0,0,'Données projet'!$E$18+1,1))-AVERAGE(OFFSET($H$3,0,0,'Données projet'!$E$18+1,1))</f>
        <v>329.93956600482801</v>
      </c>
      <c r="HA56" s="62">
        <f t="shared" si="52"/>
        <v>268.69186630599165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2.7450000000000001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10.065</v>
      </c>
      <c r="H57" s="70">
        <f t="shared" si="1"/>
        <v>216.40666666666667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64.665372889373444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2">
        <f t="shared" si="0"/>
        <v>806.09093229328528</v>
      </c>
      <c r="S57" s="62">
        <f ca="1">AVERAGE(OFFSET($R$3,0,0,'Données projet'!$E$9+1,1))-AVERAGE(OFFSET($H$3,0,0,'Données projet'!$E$9+1,1))</f>
        <v>551.67307965706379</v>
      </c>
      <c r="T57" s="62">
        <f t="shared" si="34"/>
        <v>288.70738860523943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64.665372889373444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271.8</v>
      </c>
      <c r="AJ57" s="14">
        <f>AI57*VLOOKUP('Données projet'!$B$10,Paramètres!$A$1:$I$89,3,0)*VLOOKUP('Données projet'!$B$10,Paramètres!$A$1:$I$89,5,0)</f>
        <v>228.96432000000004</v>
      </c>
      <c r="AK57" s="14">
        <f t="shared" si="35"/>
        <v>56.058684514404661</v>
      </c>
      <c r="AL57" s="22">
        <f t="shared" si="4"/>
        <v>496.4150661959215</v>
      </c>
      <c r="AM57" s="62">
        <f t="shared" si="5"/>
        <v>770.18810012362405</v>
      </c>
      <c r="AN57" s="62">
        <f ca="1">AVERAGE(OFFSET($AM$3,0,0,'Données projet'!$E$10+1,1))-AVERAGE(OFFSET($H$3,0,0,'Données projet'!$E$10+1,1))</f>
        <v>518.18933270904506</v>
      </c>
      <c r="AO57" s="62">
        <f t="shared" si="36"/>
        <v>272.44431899810411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64.665372889373444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>
        <f>VLOOKUP(A57,'Données projet'!$A$87:$I$107,2,0)</f>
        <v>270</v>
      </c>
      <c r="BB57" s="13">
        <f>VLOOKUP(A57,'Données projet'!$A$87:$I$107,9,0)</f>
        <v>15.5</v>
      </c>
      <c r="BC57" s="13">
        <f t="array" ref="BC57">INDEX(BB:BB,MIN(IF(ISNUMBER(BB57:BB253),ROW(BB57:BB253),"")))</f>
        <v>15.5</v>
      </c>
      <c r="BD57" s="13">
        <f>IF('Données projet'!$A$88&gt;35,BD56+BC57-BL56,IF(A57&lt;'Données projet'!$A$88,$BA$205^A57,IF(A57='Données projet'!$A$88,'Données projet'!$B$88,BD56+BC57-BL56)))</f>
        <v>269.99999999999989</v>
      </c>
      <c r="BE57" s="14">
        <f>BD57*VLOOKUP('Données projet'!$B$11,Paramètres!$A$1:$I$89,3,0)*VLOOKUP('Données projet'!$B$11,Paramètres!$A$1:$I$89,5,0)</f>
        <v>231.65999999999991</v>
      </c>
      <c r="BF57" s="14">
        <f t="shared" si="37"/>
        <v>56.641461975682766</v>
      </c>
      <c r="BG57" s="22">
        <f t="shared" si="7"/>
        <v>502.125046274314</v>
      </c>
      <c r="BH57" s="62">
        <f t="shared" si="8"/>
        <v>775.89808020201667</v>
      </c>
      <c r="BI57" s="62">
        <f ca="1">AVERAGE(OFFSET($BH$3,0,0,'Données projet'!$E$11+1,1))-AVERAGE(OFFSET($H$3,0,0,'Données projet'!$E$11+1,1))</f>
        <v>464.73160475167867</v>
      </c>
      <c r="BJ57" s="62">
        <f t="shared" si="38"/>
        <v>241.31968359962227</v>
      </c>
      <c r="BK57" s="16">
        <f>IF(ISNA(VLOOKUP(A57,'Données projet'!$A$87:$I$107,3,0)),0,VLOOKUP(A57,'Données projet'!$A$87:$I$107,3,0))</f>
        <v>6</v>
      </c>
      <c r="BL57" s="16">
        <f>IF(ISNA(VLOOKUP(A57,'Données projet'!$A$87:$I$107,4,0)),0,VLOOKUP(A57,'Données projet'!$A$87:$I$107,4,0))</f>
        <v>64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64.665372889373444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6.4</v>
      </c>
      <c r="BY57" s="13">
        <f>IF('Données projet'!$A$114&gt;35,BY56+BX57-CG56,IF(A57&lt;'Données projet'!$A$114,$BV$205^A57,IF(A57='Données projet'!$A$114,'Données projet'!$B$114,BY56+BX57-CG56)))</f>
        <v>240.60000000000008</v>
      </c>
      <c r="BZ57" s="14">
        <f>BY57*VLOOKUP('Données projet'!$B$12,Paramètres!$A$1:$I$89,3,0)*VLOOKUP('Données projet'!$B$12,Paramètres!$A$1:$I$89,5,0)</f>
        <v>157.64112000000006</v>
      </c>
      <c r="CA57" s="14">
        <f t="shared" si="39"/>
        <v>40.31000439065015</v>
      </c>
      <c r="CB57" s="22">
        <f t="shared" si="10"/>
        <v>344.76487498038233</v>
      </c>
      <c r="CC57" s="62">
        <f t="shared" si="11"/>
        <v>618.537908908085</v>
      </c>
      <c r="CD57" s="62">
        <f ca="1">AVERAGE(OFFSET($CC$3,0,0,'Données projet'!$E$12+1,1))-AVERAGE(OFFSET($H$3,0,0,'Données projet'!$E$12+1,1))</f>
        <v>292.13851489852607</v>
      </c>
      <c r="CE57" s="62">
        <f t="shared" si="40"/>
        <v>280.10866188737418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64.665372889373444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7.6</v>
      </c>
      <c r="CT57" s="13">
        <f>IF('Données projet'!$A$140&gt;35,CT56+CS57-DB56,IF(A57&lt;'Données projet'!$A$140,$CQ$205^A57,IF(A57='Données projet'!$A$140,'Données projet'!$B$140,CT56+CS57-DB56)))</f>
        <v>258.39999999999998</v>
      </c>
      <c r="CU57" s="18">
        <f>CT57*VLOOKUP('Données projet'!$B$13,Paramètres!$A$1:$I$89,3,0)*VLOOKUP('Données projet'!$B$13,Paramètres!$A$1:$I$89,5,0)</f>
        <v>209.61408</v>
      </c>
      <c r="CV57" s="14">
        <f t="shared" si="41"/>
        <v>51.851243442662593</v>
      </c>
      <c r="CW57" s="22">
        <f t="shared" si="13"/>
        <v>455.38543832930395</v>
      </c>
      <c r="CX57" s="62">
        <f t="shared" si="14"/>
        <v>729.15847225700657</v>
      </c>
      <c r="CY57" s="62">
        <f ca="1">AVERAGE(OFFSET($CX$3,0,0,'Données projet'!$E$13+1,1))-AVERAGE(OFFSET($H$3,0,0,'Données projet'!$E$13+1,1))</f>
        <v>265.25572936607409</v>
      </c>
      <c r="CZ57" s="62">
        <f t="shared" si="42"/>
        <v>307.96244316129071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64.665372889373444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5.6410256410256405</v>
      </c>
      <c r="DO57" s="13">
        <f>IF('Données projet'!$A$166&gt;35,DO56+DN57-DW56,IF(A57&lt;'Données projet'!$A$166,$DL$205^A57,IF(A57='Données projet'!$A$166,'Données projet'!$B$166,DO56+DN57-DW56)))</f>
        <v>209.74358974358964</v>
      </c>
      <c r="DP57" s="18">
        <f>DO57*VLOOKUP('Données projet'!$B$14,Paramètres!$A$1:$I$89,3,0)*VLOOKUP('Données projet'!$B$14,Paramètres!$A$1:$I$89,5,0)</f>
        <v>199.5919999999999</v>
      </c>
      <c r="DQ57" s="14">
        <f t="shared" si="43"/>
        <v>49.654491020353277</v>
      </c>
      <c r="DR57" s="22">
        <f t="shared" si="16"/>
        <v>434.10430519378178</v>
      </c>
      <c r="DS57" s="62">
        <f t="shared" si="17"/>
        <v>707.8773391214844</v>
      </c>
      <c r="DT57" s="62">
        <f ca="1">AVERAGE(OFFSET($DS$3,0,0,'Données projet'!$E$14+1,1))-AVERAGE(OFFSET($H$3,0,0,'Données projet'!$E$14+1,1))</f>
        <v>425.41154182732936</v>
      </c>
      <c r="DU57" s="62">
        <f t="shared" si="44"/>
        <v>306.44721925744591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64.665372889373444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7.3600000000000083</v>
      </c>
      <c r="EJ57" s="13">
        <f>IF('Données projet'!$A$192&gt;35,EJ56+EI57-ER56,IF(A57&lt;'Données projet'!$A$192,$EG$205^A57,IF(A57='Données projet'!$A$192,'Données projet'!$B$192,EJ56+EI57-ER56)))</f>
        <v>271.23999999999995</v>
      </c>
      <c r="EK57" s="18">
        <f>EJ57*VLOOKUP('Données projet'!$B$15,Paramètres!$A$1:$I$89,3,0)*VLOOKUP('Données projet'!$B$15,Paramètres!$A$1:$I$89,5,0)</f>
        <v>198.87316799999996</v>
      </c>
      <c r="EL57" s="14">
        <f t="shared" si="45"/>
        <v>49.496442782493347</v>
      </c>
      <c r="EM57" s="22">
        <f t="shared" si="19"/>
        <v>432.57707211284247</v>
      </c>
      <c r="EN57" s="62">
        <f t="shared" si="20"/>
        <v>706.35010604054514</v>
      </c>
      <c r="EO57" s="62">
        <f ca="1">AVERAGE(OFFSET($EN$3,0,0,'Données projet'!$E$15+1,1))-AVERAGE(OFFSET($H$3,0,0,'Données projet'!$E$15+1,1))</f>
        <v>357.57626046668958</v>
      </c>
      <c r="EP57" s="62">
        <f t="shared" si="46"/>
        <v>386.90439522046199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64.665372889373444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9.375</v>
      </c>
      <c r="FE57" s="13">
        <f>IF('Données projet'!$A$218&gt;35,FE56+FD57-FM56,IF(A57&lt;'Données projet'!$A$218,$FB$205^A57,IF(A57='Données projet'!$A$218,'Données projet'!$B$218,FE56+FD57-FM56)))</f>
        <v>240.74999999999994</v>
      </c>
      <c r="FF57" s="18">
        <f>FE57*VLOOKUP('Données projet'!$B$16,Paramètres!$A$1:$I$89,3,0)*VLOOKUP('Données projet'!$B$16,Paramètres!$A$1:$I$89,5,0)</f>
        <v>187.78499999999997</v>
      </c>
      <c r="FG57" s="14">
        <f t="shared" si="47"/>
        <v>47.049914090154054</v>
      </c>
      <c r="FH57" s="22">
        <f t="shared" si="22"/>
        <v>409.00414204035161</v>
      </c>
      <c r="FI57" s="62">
        <f t="shared" si="23"/>
        <v>682.77717596805428</v>
      </c>
      <c r="FJ57" s="62">
        <f ca="1">AVERAGE(OFFSET($FI$3,0,0,'Données projet'!$E$16+1,1))-AVERAGE(OFFSET($H$3,0,0,'Données projet'!$E$16+1,1))</f>
        <v>303.56663121833833</v>
      </c>
      <c r="FK57" s="62">
        <f t="shared" si="48"/>
        <v>293.97736357938038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64.665372889373444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7.3600000000000083</v>
      </c>
      <c r="FZ57" s="13">
        <f>IF('Données projet'!$A$244&gt;35,FZ56+FY57-GH56,IF(A57&lt;'Données projet'!$A$244,$FW$205^A57,IF(A57='Données projet'!$A$244,'Données projet'!$B$244,FZ56+FY57-GH56)))</f>
        <v>271.23999999999995</v>
      </c>
      <c r="GA57" s="18">
        <f>FZ57*VLOOKUP('Données projet'!$B$17,Paramètres!$A$1:$I$89,3,0)*VLOOKUP('Données projet'!$B$17,Paramètres!$A$1:$I$89,5,0)</f>
        <v>215.79854399999996</v>
      </c>
      <c r="GB57" s="14">
        <f t="shared" si="49"/>
        <v>53.200697768809484</v>
      </c>
      <c r="GC57" s="22">
        <f t="shared" si="25"/>
        <v>468.50701274734303</v>
      </c>
      <c r="GD57" s="62">
        <f t="shared" si="26"/>
        <v>742.2800466750457</v>
      </c>
      <c r="GE57" s="62">
        <f ca="1">AVERAGE(OFFSET($GD$3,0,0,'Données projet'!$E$17+1,1))-AVERAGE(OFFSET($H$3,0,0,'Données projet'!$E$17+1,1))</f>
        <v>383.71724511025587</v>
      </c>
      <c r="GF57" s="62">
        <f t="shared" si="50"/>
        <v>415.10774719533185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64.665372889373444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5.7692307692307683</v>
      </c>
      <c r="GU57" s="13">
        <f>IF('Données projet'!$A$270&gt;35,GU56+GT57-HC56,IF(A57&lt;'Données projet'!$A$270,$GR$205^A57,IF(A57='Données projet'!$A$270,'Données projet'!$B$270,GU56+GT57-HC56)))</f>
        <v>212.17948717948718</v>
      </c>
      <c r="GV57" s="18">
        <f>GU57*VLOOKUP('Données projet'!$B$18,Paramètres!$A$1:$I$89,3,0)*VLOOKUP('Données projet'!$B$18,Paramètres!$A$1:$I$89,5,0)</f>
        <v>142.33000000000001</v>
      </c>
      <c r="GW57" s="14">
        <f t="shared" si="51"/>
        <v>36.830261932722308</v>
      </c>
      <c r="GX57" s="22">
        <f t="shared" si="28"/>
        <v>312.03745619949137</v>
      </c>
      <c r="GY57" s="62">
        <f t="shared" si="29"/>
        <v>585.81049012719404</v>
      </c>
      <c r="GZ57" s="62">
        <f ca="1">AVERAGE(OFFSET($GY$3,0,0,'Données projet'!$E$18+1,1))-AVERAGE(OFFSET($H$3,0,0,'Données projet'!$E$18+1,1))</f>
        <v>329.93956600482801</v>
      </c>
      <c r="HA57" s="62">
        <f t="shared" si="52"/>
        <v>268.69186630599165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2.7450000000000001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10.065</v>
      </c>
      <c r="H58" s="70">
        <f t="shared" si="1"/>
        <v>216.40666666666667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64.757916743303298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2">
        <f t="shared" si="0"/>
        <v>825.94515045390926</v>
      </c>
      <c r="S58" s="62">
        <f ca="1">AVERAGE(OFFSET($R$3,0,0,'Données projet'!$E$9+1,1))-AVERAGE(OFFSET($H$3,0,0,'Données projet'!$E$9+1,1))</f>
        <v>551.67307965706379</v>
      </c>
      <c r="T58" s="62">
        <f t="shared" si="34"/>
        <v>288.70738860523943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64.757916743303298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282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282</v>
      </c>
      <c r="AJ58" s="14">
        <f>AI58*VLOOKUP('Données projet'!$B$10,Paramètres!$A$1:$I$89,3,0)*VLOOKUP('Données projet'!$B$10,Paramètres!$A$1:$I$89,5,0)</f>
        <v>237.55680000000001</v>
      </c>
      <c r="AK58" s="14">
        <f t="shared" si="35"/>
        <v>57.913551469467357</v>
      </c>
      <c r="AL58" s="22">
        <f t="shared" si="4"/>
        <v>514.61086214265561</v>
      </c>
      <c r="AM58" s="62">
        <f t="shared" si="5"/>
        <v>788.72322353476761</v>
      </c>
      <c r="AN58" s="62">
        <f ca="1">AVERAGE(OFFSET($AM$3,0,0,'Données projet'!$E$10+1,1))-AVERAGE(OFFSET($H$3,0,0,'Données projet'!$E$10+1,1))</f>
        <v>518.18933270904506</v>
      </c>
      <c r="AO58" s="62">
        <f t="shared" si="36"/>
        <v>272.44431899810411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56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64.757916743303298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14.833333333333334</v>
      </c>
      <c r="BD58" s="13">
        <f>IF('Données projet'!$A$88&gt;35,BD57+BC58-BL57,IF(A58&lt;'Données projet'!$A$88,$BA$205^A58,IF(A58='Données projet'!$A$88,'Données projet'!$B$88,BD57+BC58-BL57)))</f>
        <v>220.8333333333332</v>
      </c>
      <c r="BE58" s="14">
        <f>BD58*VLOOKUP('Données projet'!$B$11,Paramètres!$A$1:$I$89,3,0)*VLOOKUP('Données projet'!$B$11,Paramètres!$A$1:$I$89,5,0)</f>
        <v>189.47499999999991</v>
      </c>
      <c r="BF58" s="14">
        <f t="shared" si="37"/>
        <v>47.423864120172716</v>
      </c>
      <c r="BG58" s="22">
        <f t="shared" si="7"/>
        <v>412.59885500930062</v>
      </c>
      <c r="BH58" s="62">
        <f t="shared" si="8"/>
        <v>686.71121640141268</v>
      </c>
      <c r="BI58" s="62">
        <f ca="1">AVERAGE(OFFSET($BH$3,0,0,'Données projet'!$E$11+1,1))-AVERAGE(OFFSET($H$3,0,0,'Données projet'!$E$11+1,1))</f>
        <v>464.73160475167867</v>
      </c>
      <c r="BJ58" s="62">
        <f t="shared" si="38"/>
        <v>241.31968359962227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64.757916743303298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247</v>
      </c>
      <c r="BW58" s="13">
        <f>VLOOKUP(A58,'Données projet'!$A$113:$I$133,9,0)</f>
        <v>6.4</v>
      </c>
      <c r="BX58" s="13">
        <f t="array" ref="BX58">INDEX(BW:BW,MIN(IF(ISNUMBER(BW58:BW254),ROW(BW58:BW254),"")))</f>
        <v>6.4</v>
      </c>
      <c r="BY58" s="13">
        <f>IF('Données projet'!$A$114&gt;35,BY57+BX58-CG57,IF(A58&lt;'Données projet'!$A$114,$BV$205^A58,IF(A58='Données projet'!$A$114,'Données projet'!$B$114,BY57+BX58-CG57)))</f>
        <v>247.00000000000009</v>
      </c>
      <c r="BZ58" s="14">
        <f>BY58*VLOOKUP('Données projet'!$B$12,Paramètres!$A$1:$I$89,3,0)*VLOOKUP('Données projet'!$B$12,Paramètres!$A$1:$I$89,5,0)</f>
        <v>161.83440000000007</v>
      </c>
      <c r="CA58" s="14">
        <f t="shared" si="39"/>
        <v>41.255994535170515</v>
      </c>
      <c r="CB58" s="22">
        <f t="shared" si="10"/>
        <v>353.71577048208877</v>
      </c>
      <c r="CC58" s="62">
        <f t="shared" si="11"/>
        <v>627.82813187420084</v>
      </c>
      <c r="CD58" s="62">
        <f ca="1">AVERAGE(OFFSET($CC$3,0,0,'Données projet'!$E$12+1,1))-AVERAGE(OFFSET($H$3,0,0,'Données projet'!$E$12+1,1))</f>
        <v>292.13851489852607</v>
      </c>
      <c r="CE58" s="62">
        <f t="shared" si="40"/>
        <v>280.10866188737418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47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64.757916743303298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266</v>
      </c>
      <c r="CR58" s="13">
        <f>VLOOKUP(A58,'Données projet'!$A$139:$I$159,9,0)</f>
        <v>7.6</v>
      </c>
      <c r="CS58" s="13">
        <f t="array" ref="CS58">INDEX(CR:CR,MIN(IF(ISNUMBER(CR58:CR254),ROW(CR58:CR254),"")))</f>
        <v>7.6</v>
      </c>
      <c r="CT58" s="13">
        <f>IF('Données projet'!$A$140&gt;35,CT57+CS58-DB57,IF(A58&lt;'Données projet'!$A$140,$CQ$205^A58,IF(A58='Données projet'!$A$140,'Données projet'!$B$140,CT57+CS58-DB57)))</f>
        <v>266</v>
      </c>
      <c r="CU58" s="18">
        <f>CT58*VLOOKUP('Données projet'!$B$13,Paramètres!$A$1:$I$89,3,0)*VLOOKUP('Données projet'!$B$13,Paramètres!$A$1:$I$89,5,0)</f>
        <v>215.7792</v>
      </c>
      <c r="CV58" s="14">
        <f t="shared" si="41"/>
        <v>53.196483976998607</v>
      </c>
      <c r="CW58" s="22">
        <f t="shared" si="13"/>
        <v>468.46598292660588</v>
      </c>
      <c r="CX58" s="62">
        <f t="shared" si="14"/>
        <v>742.57834431871788</v>
      </c>
      <c r="CY58" s="62">
        <f ca="1">AVERAGE(OFFSET($CX$3,0,0,'Données projet'!$E$13+1,1))-AVERAGE(OFFSET($H$3,0,0,'Données projet'!$E$13+1,1))</f>
        <v>265.25572936607409</v>
      </c>
      <c r="CZ58" s="62">
        <f t="shared" si="42"/>
        <v>307.96244316129071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64.757916743303298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215.38461538461539</v>
      </c>
      <c r="DM58" s="13">
        <f>VLOOKUP(A58,'Données projet'!$A$165:$I$185,9,0)</f>
        <v>5.6410256410256405</v>
      </c>
      <c r="DN58" s="13">
        <f t="array" ref="DN58">INDEX(DM:DM,MIN(IF(ISNUMBER(DM58:DM254),ROW(DM58:DM254),"")))</f>
        <v>5.6410256410256405</v>
      </c>
      <c r="DO58" s="13">
        <f>IF('Données projet'!$A$166&gt;35,DO57+DN58-DW57,IF(A58&lt;'Données projet'!$A$166,$DL$205^A58,IF(A58='Données projet'!$A$166,'Données projet'!$B$166,DO57+DN58-DW57)))</f>
        <v>215.38461538461527</v>
      </c>
      <c r="DP58" s="18">
        <f>DO58*VLOOKUP('Données projet'!$B$14,Paramètres!$A$1:$I$89,3,0)*VLOOKUP('Données projet'!$B$14,Paramètres!$A$1:$I$89,5,0)</f>
        <v>204.95999999999987</v>
      </c>
      <c r="DQ58" s="14">
        <f t="shared" si="43"/>
        <v>50.832666587809335</v>
      </c>
      <c r="DR58" s="22">
        <f t="shared" si="16"/>
        <v>445.50556097376767</v>
      </c>
      <c r="DS58" s="62">
        <f t="shared" si="17"/>
        <v>719.61792236587974</v>
      </c>
      <c r="DT58" s="62">
        <f ca="1">AVERAGE(OFFSET($DS$3,0,0,'Données projet'!$E$14+1,1))-AVERAGE(OFFSET($H$3,0,0,'Données projet'!$E$14+1,1))</f>
        <v>425.41154182732936</v>
      </c>
      <c r="DU58" s="62">
        <f t="shared" si="44"/>
        <v>306.44721925744591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34.615384615384613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64.757916743303298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278.60000000000002</v>
      </c>
      <c r="EH58" s="13">
        <f>VLOOKUP(A58,'Données projet'!$A$191:$I$211,9,0)</f>
        <v>7.3600000000000083</v>
      </c>
      <c r="EI58" s="13">
        <f t="array" ref="EI58">INDEX(EH:EH,MIN(IF(ISNUMBER(EH58:EH254),ROW(EH58:EH254),"")))</f>
        <v>7.3600000000000083</v>
      </c>
      <c r="EJ58" s="13">
        <f>IF('Données projet'!$A$192&gt;35,EJ57+EI58-ER57,IF(A58&lt;'Données projet'!$A$192,$EG$205^A58,IF(A58='Données projet'!$A$192,'Données projet'!$B$192,EJ57+EI58-ER57)))</f>
        <v>278.59999999999997</v>
      </c>
      <c r="EK58" s="18">
        <f>EJ58*VLOOKUP('Données projet'!$B$15,Paramètres!$A$1:$I$89,3,0)*VLOOKUP('Données projet'!$B$15,Paramètres!$A$1:$I$89,5,0)</f>
        <v>204.26951999999997</v>
      </c>
      <c r="EL58" s="14">
        <f t="shared" si="45"/>
        <v>50.681322367447613</v>
      </c>
      <c r="EM58" s="22">
        <f t="shared" si="19"/>
        <v>444.03938378997123</v>
      </c>
      <c r="EN58" s="62">
        <f t="shared" si="20"/>
        <v>718.15174518208323</v>
      </c>
      <c r="EO58" s="62">
        <f ca="1">AVERAGE(OFFSET($EN$3,0,0,'Données projet'!$E$15+1,1))-AVERAGE(OFFSET($H$3,0,0,'Données projet'!$E$15+1,1))</f>
        <v>357.57626046668958</v>
      </c>
      <c r="EP58" s="62">
        <f t="shared" si="46"/>
        <v>386.90439522046199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64.757916743303298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9.375</v>
      </c>
      <c r="FE58" s="13">
        <f>IF('Données projet'!$A$218&gt;35,FE57+FD58-FM57,IF(A58&lt;'Données projet'!$A$218,$FB$205^A58,IF(A58='Données projet'!$A$218,'Données projet'!$B$218,FE57+FD58-FM57)))</f>
        <v>250.12499999999994</v>
      </c>
      <c r="FF58" s="18">
        <f>FE58*VLOOKUP('Données projet'!$B$16,Paramètres!$A$1:$I$89,3,0)*VLOOKUP('Données projet'!$B$16,Paramètres!$A$1:$I$89,5,0)</f>
        <v>195.09749999999997</v>
      </c>
      <c r="FG58" s="14">
        <f t="shared" si="47"/>
        <v>48.66519532492584</v>
      </c>
      <c r="FH58" s="22">
        <f t="shared" si="22"/>
        <v>424.55336102424576</v>
      </c>
      <c r="FI58" s="62">
        <f t="shared" si="23"/>
        <v>698.66572241635777</v>
      </c>
      <c r="FJ58" s="62">
        <f ca="1">AVERAGE(OFFSET($FI$3,0,0,'Données projet'!$E$16+1,1))-AVERAGE(OFFSET($H$3,0,0,'Données projet'!$E$16+1,1))</f>
        <v>303.56663121833833</v>
      </c>
      <c r="FK58" s="62">
        <f t="shared" si="48"/>
        <v>293.97736357938038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64.757916743303298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278.60000000000002</v>
      </c>
      <c r="FX58" s="13">
        <f>VLOOKUP(A58,'Données projet'!$A$243:$I$263,9,0)</f>
        <v>7.3600000000000083</v>
      </c>
      <c r="FY58" s="13">
        <f t="array" ref="FY58">INDEX(FX:FX,MIN(IF(ISNUMBER(FX58:FX254),ROW(FX58:FX254),"")))</f>
        <v>7.3600000000000083</v>
      </c>
      <c r="FZ58" s="13">
        <f>IF('Données projet'!$A$244&gt;35,FZ57+FY58-GH57,IF(A58&lt;'Données projet'!$A$244,$FW$205^A58,IF(A58='Données projet'!$A$244,'Données projet'!$B$244,FZ57+FY58-GH57)))</f>
        <v>278.59999999999997</v>
      </c>
      <c r="GA58" s="18">
        <f>FZ58*VLOOKUP('Données projet'!$B$17,Paramètres!$A$1:$I$89,3,0)*VLOOKUP('Données projet'!$B$17,Paramètres!$A$1:$I$89,5,0)</f>
        <v>221.65415999999999</v>
      </c>
      <c r="GB58" s="14">
        <f t="shared" si="49"/>
        <v>54.474252334510162</v>
      </c>
      <c r="GC58" s="22">
        <f t="shared" si="25"/>
        <v>480.92365148260507</v>
      </c>
      <c r="GD58" s="62">
        <f t="shared" si="26"/>
        <v>755.03601287471713</v>
      </c>
      <c r="GE58" s="62">
        <f ca="1">AVERAGE(OFFSET($GD$3,0,0,'Données projet'!$E$17+1,1))-AVERAGE(OFFSET($H$3,0,0,'Données projet'!$E$17+1,1))</f>
        <v>383.71724511025587</v>
      </c>
      <c r="GF58" s="62">
        <f t="shared" si="50"/>
        <v>415.10774719533185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64.757916743303298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217.94871794871793</v>
      </c>
      <c r="GS58" s="13">
        <f>VLOOKUP(A58,'Données projet'!$A$269:$I$289,9,0)</f>
        <v>5.7692307692307683</v>
      </c>
      <c r="GT58" s="13">
        <f t="array" ref="GT58">INDEX(GS:GS,MIN(IF(ISNUMBER(GS58:GS254),ROW(GS58:GS254),"")))</f>
        <v>5.7692307692307683</v>
      </c>
      <c r="GU58" s="13">
        <f>IF('Données projet'!$A$270&gt;35,GU57+GT58-HC57,IF(A58&lt;'Données projet'!$A$270,$GR$205^A58,IF(A58='Données projet'!$A$270,'Données projet'!$B$270,GU57+GT58-HC57)))</f>
        <v>217.94871794871796</v>
      </c>
      <c r="GV58" s="18">
        <f>GU58*VLOOKUP('Données projet'!$B$18,Paramètres!$A$1:$I$89,3,0)*VLOOKUP('Données projet'!$B$18,Paramètres!$A$1:$I$89,5,0)</f>
        <v>146.19999999999999</v>
      </c>
      <c r="GW58" s="14">
        <f t="shared" si="51"/>
        <v>37.713736580072478</v>
      </c>
      <c r="GX58" s="22">
        <f t="shared" si="28"/>
        <v>320.31642454362617</v>
      </c>
      <c r="GY58" s="62">
        <f t="shared" si="29"/>
        <v>594.42878593573823</v>
      </c>
      <c r="GZ58" s="62">
        <f ca="1">AVERAGE(OFFSET($GY$3,0,0,'Données projet'!$E$18+1,1))-AVERAGE(OFFSET($H$3,0,0,'Données projet'!$E$18+1,1))</f>
        <v>329.93956600482801</v>
      </c>
      <c r="HA58" s="62">
        <f t="shared" si="52"/>
        <v>268.69186630599165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2.7450000000000001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10.065</v>
      </c>
      <c r="H59" s="70">
        <f t="shared" si="1"/>
        <v>216.40666666666667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64.848855168264549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736.99474424691346</v>
      </c>
      <c r="S59" s="62">
        <f ca="1">AVERAGE(OFFSET($R$3,0,0,'Données projet'!$E$9+1,1))-AVERAGE(OFFSET($H$3,0,0,'Données projet'!$E$9+1,1))</f>
        <v>551.67307965706379</v>
      </c>
      <c r="T59" s="62">
        <f t="shared" si="34"/>
        <v>288.70738860523943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64.848855168264549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198.30096</v>
      </c>
      <c r="AK59" s="14">
        <f t="shared" si="35"/>
        <v>49.3705849564736</v>
      </c>
      <c r="AL59" s="22">
        <f t="shared" si="4"/>
        <v>431.36127413252484</v>
      </c>
      <c r="AM59" s="62">
        <f t="shared" si="5"/>
        <v>705.80707641616152</v>
      </c>
      <c r="AN59" s="62">
        <f ca="1">AVERAGE(OFFSET($AM$3,0,0,'Données projet'!$E$10+1,1))-AVERAGE(OFFSET($H$3,0,0,'Données projet'!$E$10+1,1))</f>
        <v>518.18933270904506</v>
      </c>
      <c r="AO59" s="62">
        <f t="shared" si="36"/>
        <v>272.44431899810411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64.848855168264549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14.833333333333334</v>
      </c>
      <c r="BD59" s="13">
        <f>IF('Données projet'!$A$88&gt;35,BD58+BC59-BL58,IF(A59&lt;'Données projet'!$A$88,$BA$205^A59,IF(A59='Données projet'!$A$88,'Données projet'!$B$88,BD58+BC59-BL58)))</f>
        <v>235.66666666666654</v>
      </c>
      <c r="BE59" s="14">
        <f>BD59*VLOOKUP('Données projet'!$B$11,Paramètres!$A$1:$I$89,3,0)*VLOOKUP('Données projet'!$B$11,Paramètres!$A$1:$I$89,5,0)</f>
        <v>202.20199999999994</v>
      </c>
      <c r="BF59" s="14">
        <f t="shared" si="37"/>
        <v>50.227791845116698</v>
      </c>
      <c r="BG59" s="22">
        <f t="shared" si="7"/>
        <v>439.6485541302448</v>
      </c>
      <c r="BH59" s="62">
        <f t="shared" si="8"/>
        <v>714.09435641388154</v>
      </c>
      <c r="BI59" s="62">
        <f ca="1">AVERAGE(OFFSET($BH$3,0,0,'Données projet'!$E$11+1,1))-AVERAGE(OFFSET($H$3,0,0,'Données projet'!$E$11+1,1))</f>
        <v>464.73160475167867</v>
      </c>
      <c r="BJ59" s="62">
        <f t="shared" si="38"/>
        <v>241.31968359962227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64.848855168264549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5.8</v>
      </c>
      <c r="BY59" s="13">
        <f>IF('Données projet'!$A$114&gt;35,BY58+BX59-CG58,IF(A59&lt;'Données projet'!$A$114,$BV$205^A59,IF(A59='Données projet'!$A$114,'Données projet'!$B$114,BY58+BX59-CG58)))</f>
        <v>205.8000000000001</v>
      </c>
      <c r="BZ59" s="14">
        <f>BY59*VLOOKUP('Données projet'!$B$12,Paramètres!$A$1:$I$89,3,0)*VLOOKUP('Données projet'!$B$12,Paramètres!$A$1:$I$89,5,0)</f>
        <v>134.84016000000005</v>
      </c>
      <c r="CA59" s="14">
        <f t="shared" si="39"/>
        <v>35.112387625030664</v>
      </c>
      <c r="CB59" s="22">
        <f t="shared" si="10"/>
        <v>296.00068711359518</v>
      </c>
      <c r="CC59" s="62">
        <f t="shared" si="11"/>
        <v>570.44648939723186</v>
      </c>
      <c r="CD59" s="62">
        <f ca="1">AVERAGE(OFFSET($CC$3,0,0,'Données projet'!$E$12+1,1))-AVERAGE(OFFSET($H$3,0,0,'Données projet'!$E$12+1,1))</f>
        <v>292.13851489852607</v>
      </c>
      <c r="CE59" s="62">
        <f t="shared" si="40"/>
        <v>280.10866188737418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64.848855168264549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7.4</v>
      </c>
      <c r="CT59" s="13">
        <f>IF('Données projet'!$A$140&gt;35,CT58+CS59-DB58,IF(A59&lt;'Données projet'!$A$140,$CQ$205^A59,IF(A59='Données projet'!$A$140,'Données projet'!$B$140,CT58+CS59-DB58)))</f>
        <v>273.39999999999998</v>
      </c>
      <c r="CU59" s="18">
        <f>CT59*VLOOKUP('Données projet'!$B$13,Paramètres!$A$1:$I$89,3,0)*VLOOKUP('Données projet'!$B$13,Paramètres!$A$1:$I$89,5,0)</f>
        <v>221.78208000000001</v>
      </c>
      <c r="CV59" s="14">
        <f t="shared" si="41"/>
        <v>54.502029950220781</v>
      </c>
      <c r="CW59" s="22">
        <f t="shared" si="13"/>
        <v>481.19482482996779</v>
      </c>
      <c r="CX59" s="62">
        <f t="shared" si="14"/>
        <v>755.64062711360452</v>
      </c>
      <c r="CY59" s="62">
        <f ca="1">AVERAGE(OFFSET($CX$3,0,0,'Données projet'!$E$13+1,1))-AVERAGE(OFFSET($H$3,0,0,'Données projet'!$E$13+1,1))</f>
        <v>265.25572936607409</v>
      </c>
      <c r="CZ59" s="62">
        <f t="shared" si="42"/>
        <v>307.96244316129071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64.848855168264549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5.3846153846153815</v>
      </c>
      <c r="DO59" s="13">
        <f>IF('Données projet'!$A$166&gt;35,DO58+DN59-DW58,IF(A59&lt;'Données projet'!$A$166,$DL$205^A59,IF(A59='Données projet'!$A$166,'Données projet'!$B$166,DO58+DN59-DW58)))</f>
        <v>186.15384615384605</v>
      </c>
      <c r="DP59" s="18">
        <f>DO59*VLOOKUP('Données projet'!$B$14,Paramètres!$A$1:$I$89,3,0)*VLOOKUP('Données projet'!$B$14,Paramètres!$A$1:$I$89,5,0)</f>
        <v>177.14399999999989</v>
      </c>
      <c r="DQ59" s="14">
        <f t="shared" si="43"/>
        <v>44.6861885307368</v>
      </c>
      <c r="DR59" s="22">
        <f t="shared" si="16"/>
        <v>386.35424502436632</v>
      </c>
      <c r="DS59" s="62">
        <f t="shared" si="17"/>
        <v>660.80004730800306</v>
      </c>
      <c r="DT59" s="62">
        <f ca="1">AVERAGE(OFFSET($DS$3,0,0,'Données projet'!$E$14+1,1))-AVERAGE(OFFSET($H$3,0,0,'Données projet'!$E$14+1,1))</f>
        <v>425.41154182732936</v>
      </c>
      <c r="DU59" s="62">
        <f t="shared" si="44"/>
        <v>306.44721925744591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64.848855168264549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6.2799999999999958</v>
      </c>
      <c r="EJ59" s="13">
        <f>IF('Données projet'!$A$192&gt;35,EJ58+EI59-ER58,IF(A59&lt;'Données projet'!$A$192,$EG$205^A59,IF(A59='Données projet'!$A$192,'Données projet'!$B$192,EJ58+EI59-ER58)))</f>
        <v>284.87999999999994</v>
      </c>
      <c r="EK59" s="18">
        <f>EJ59*VLOOKUP('Données projet'!$B$15,Paramètres!$A$1:$I$89,3,0)*VLOOKUP('Données projet'!$B$15,Paramètres!$A$1:$I$89,5,0)</f>
        <v>208.87401599999995</v>
      </c>
      <c r="EL59" s="14">
        <f t="shared" si="45"/>
        <v>51.689452927517024</v>
      </c>
      <c r="EM59" s="22">
        <f t="shared" si="19"/>
        <v>453.81470838209202</v>
      </c>
      <c r="EN59" s="62">
        <f t="shared" si="20"/>
        <v>728.2605106657287</v>
      </c>
      <c r="EO59" s="62">
        <f ca="1">AVERAGE(OFFSET($EN$3,0,0,'Données projet'!$E$15+1,1))-AVERAGE(OFFSET($H$3,0,0,'Données projet'!$E$15+1,1))</f>
        <v>357.57626046668958</v>
      </c>
      <c r="EP59" s="62">
        <f t="shared" si="46"/>
        <v>386.90439522046199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64.848855168264549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9.375</v>
      </c>
      <c r="FE59" s="13">
        <f>IF('Données projet'!$A$218&gt;35,FE58+FD59-FM58,IF(A59&lt;'Données projet'!$A$218,$FB$205^A59,IF(A59='Données projet'!$A$218,'Données projet'!$B$218,FE58+FD59-FM58)))</f>
        <v>259.49999999999994</v>
      </c>
      <c r="FF59" s="18">
        <f>FE59*VLOOKUP('Données projet'!$B$16,Paramètres!$A$1:$I$89,3,0)*VLOOKUP('Données projet'!$B$16,Paramètres!$A$1:$I$89,5,0)</f>
        <v>202.40999999999997</v>
      </c>
      <c r="FG59" s="14">
        <f t="shared" si="47"/>
        <v>50.273442991661867</v>
      </c>
      <c r="FH59" s="22">
        <f t="shared" si="22"/>
        <v>440.09032987714431</v>
      </c>
      <c r="FI59" s="62">
        <f t="shared" si="23"/>
        <v>714.53613216078099</v>
      </c>
      <c r="FJ59" s="62">
        <f ca="1">AVERAGE(OFFSET($FI$3,0,0,'Données projet'!$E$16+1,1))-AVERAGE(OFFSET($H$3,0,0,'Données projet'!$E$16+1,1))</f>
        <v>303.56663121833833</v>
      </c>
      <c r="FK59" s="62">
        <f t="shared" si="48"/>
        <v>293.97736357938038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64.848855168264549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6.2799999999999958</v>
      </c>
      <c r="FZ59" s="13">
        <f>IF('Données projet'!$A$244&gt;35,FZ58+FY59-GH58,IF(A59&lt;'Données projet'!$A$244,$FW$205^A59,IF(A59='Données projet'!$A$244,'Données projet'!$B$244,FZ58+FY59-GH58)))</f>
        <v>284.87999999999994</v>
      </c>
      <c r="GA59" s="18">
        <f>FZ59*VLOOKUP('Données projet'!$B$17,Paramètres!$A$1:$I$89,3,0)*VLOOKUP('Données projet'!$B$17,Paramètres!$A$1:$I$89,5,0)</f>
        <v>226.65052799999998</v>
      </c>
      <c r="GB59" s="14">
        <f t="shared" si="49"/>
        <v>55.557830188244751</v>
      </c>
      <c r="GC59" s="22">
        <f t="shared" si="25"/>
        <v>491.51289051119289</v>
      </c>
      <c r="GD59" s="62">
        <f t="shared" si="26"/>
        <v>765.95869279482963</v>
      </c>
      <c r="GE59" s="62">
        <f ca="1">AVERAGE(OFFSET($GD$3,0,0,'Données projet'!$E$17+1,1))-AVERAGE(OFFSET($H$3,0,0,'Données projet'!$E$17+1,1))</f>
        <v>383.71724511025587</v>
      </c>
      <c r="GF59" s="62">
        <f t="shared" si="50"/>
        <v>415.10774719533185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64.848855168264549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5.3846153846153868</v>
      </c>
      <c r="GU59" s="13">
        <f>IF('Données projet'!$A$270&gt;35,GU58+GT59-HC58,IF(A59&lt;'Données projet'!$A$270,$GR$205^A59,IF(A59='Données projet'!$A$270,'Données projet'!$B$270,GU58+GT59-HC58)))</f>
        <v>223.33333333333334</v>
      </c>
      <c r="GV59" s="18">
        <f>GU59*VLOOKUP('Données projet'!$B$18,Paramètres!$A$1:$I$89,3,0)*VLOOKUP('Données projet'!$B$18,Paramètres!$A$1:$I$89,5,0)</f>
        <v>149.81200000000001</v>
      </c>
      <c r="GW59" s="14">
        <f t="shared" si="51"/>
        <v>38.535858828351053</v>
      </c>
      <c r="GX59" s="22">
        <f t="shared" si="28"/>
        <v>328.03918745937807</v>
      </c>
      <c r="GY59" s="62">
        <f t="shared" si="29"/>
        <v>602.48498974301469</v>
      </c>
      <c r="GZ59" s="62">
        <f ca="1">AVERAGE(OFFSET($GY$3,0,0,'Données projet'!$E$18+1,1))-AVERAGE(OFFSET($H$3,0,0,'Données projet'!$E$18+1,1))</f>
        <v>329.93956600482801</v>
      </c>
      <c r="HA59" s="62">
        <f t="shared" si="52"/>
        <v>268.69186630599165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2.7450000000000001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10.065</v>
      </c>
      <c r="H60" s="70">
        <f t="shared" si="1"/>
        <v>216.40666666666667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64.938216014860558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755.35979247957562</v>
      </c>
      <c r="S60" s="62">
        <f ca="1">AVERAGE(OFFSET($R$3,0,0,'Données projet'!$E$9+1,1))-AVERAGE(OFFSET($H$3,0,0,'Données projet'!$E$9+1,1))</f>
        <v>551.67307965706379</v>
      </c>
      <c r="T60" s="62">
        <f t="shared" si="34"/>
        <v>288.70738860523943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64.938216014860558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206.21952000000002</v>
      </c>
      <c r="AK60" s="14">
        <f t="shared" si="35"/>
        <v>51.108584284640322</v>
      </c>
      <c r="AL60" s="22">
        <f t="shared" si="4"/>
        <v>448.1797816290819</v>
      </c>
      <c r="AM60" s="62">
        <f t="shared" si="5"/>
        <v>722.95324035023725</v>
      </c>
      <c r="AN60" s="62">
        <f ca="1">AVERAGE(OFFSET($AM$3,0,0,'Données projet'!$E$10+1,1))-AVERAGE(OFFSET($H$3,0,0,'Données projet'!$E$10+1,1))</f>
        <v>518.18933270904506</v>
      </c>
      <c r="AO60" s="62">
        <f t="shared" si="36"/>
        <v>272.44431899810411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64.938216014860558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14.833333333333334</v>
      </c>
      <c r="BD60" s="13">
        <f>IF('Données projet'!$A$88&gt;35,BD59+BC60-BL59,IF(A60&lt;'Données projet'!$A$88,$BA$205^A60,IF(A60='Données projet'!$A$88,'Données projet'!$B$88,BD59+BC60-BL59)))</f>
        <v>250.49999999999989</v>
      </c>
      <c r="BE60" s="14">
        <f>BD60*VLOOKUP('Données projet'!$B$11,Paramètres!$A$1:$I$89,3,0)*VLOOKUP('Données projet'!$B$11,Paramètres!$A$1:$I$89,5,0)</f>
        <v>214.92899999999992</v>
      </c>
      <c r="BF60" s="14">
        <f t="shared" si="37"/>
        <v>53.011237531572512</v>
      </c>
      <c r="BG60" s="22">
        <f t="shared" si="7"/>
        <v>466.66258036748872</v>
      </c>
      <c r="BH60" s="62">
        <f t="shared" si="8"/>
        <v>741.43603908864407</v>
      </c>
      <c r="BI60" s="62">
        <f ca="1">AVERAGE(OFFSET($BH$3,0,0,'Données projet'!$E$11+1,1))-AVERAGE(OFFSET($H$3,0,0,'Données projet'!$E$11+1,1))</f>
        <v>464.73160475167867</v>
      </c>
      <c r="BJ60" s="62">
        <f t="shared" si="38"/>
        <v>241.31968359962227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64.938216014860558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5.8</v>
      </c>
      <c r="BY60" s="13">
        <f>IF('Données projet'!$A$114&gt;35,BY59+BX60-CG59,IF(A60&lt;'Données projet'!$A$114,$BV$205^A60,IF(A60='Données projet'!$A$114,'Données projet'!$B$114,BY59+BX60-CG59)))</f>
        <v>211.60000000000011</v>
      </c>
      <c r="BZ60" s="14">
        <f>BY60*VLOOKUP('Données projet'!$B$12,Paramètres!$A$1:$I$89,3,0)*VLOOKUP('Données projet'!$B$12,Paramètres!$A$1:$I$89,5,0)</f>
        <v>138.64032000000006</v>
      </c>
      <c r="CA60" s="14">
        <f t="shared" si="39"/>
        <v>35.985345198165817</v>
      </c>
      <c r="CB60" s="22">
        <f t="shared" si="10"/>
        <v>304.13970022013888</v>
      </c>
      <c r="CC60" s="62">
        <f t="shared" si="11"/>
        <v>578.91315894129423</v>
      </c>
      <c r="CD60" s="62">
        <f ca="1">AVERAGE(OFFSET($CC$3,0,0,'Données projet'!$E$12+1,1))-AVERAGE(OFFSET($H$3,0,0,'Données projet'!$E$12+1,1))</f>
        <v>292.13851489852607</v>
      </c>
      <c r="CE60" s="62">
        <f t="shared" si="40"/>
        <v>280.10866188737418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64.938216014860558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7.4</v>
      </c>
      <c r="CT60" s="13">
        <f>IF('Données projet'!$A$140&gt;35,CT59+CS60-DB59,IF(A60&lt;'Données projet'!$A$140,$CQ$205^A60,IF(A60='Données projet'!$A$140,'Données projet'!$B$140,CT59+CS60-DB59)))</f>
        <v>280.79999999999995</v>
      </c>
      <c r="CU60" s="18">
        <f>CT60*VLOOKUP('Données projet'!$B$13,Paramètres!$A$1:$I$89,3,0)*VLOOKUP('Données projet'!$B$13,Paramètres!$A$1:$I$89,5,0)</f>
        <v>227.78495999999998</v>
      </c>
      <c r="CV60" s="14">
        <f t="shared" si="41"/>
        <v>55.803468680001743</v>
      </c>
      <c r="CW60" s="22">
        <f t="shared" si="13"/>
        <v>493.91651328433619</v>
      </c>
      <c r="CX60" s="62">
        <f t="shared" si="14"/>
        <v>768.68997200549154</v>
      </c>
      <c r="CY60" s="62">
        <f ca="1">AVERAGE(OFFSET($CX$3,0,0,'Données projet'!$E$13+1,1))-AVERAGE(OFFSET($H$3,0,0,'Données projet'!$E$13+1,1))</f>
        <v>265.25572936607409</v>
      </c>
      <c r="CZ60" s="62">
        <f t="shared" si="42"/>
        <v>307.96244316129071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64.938216014860558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5.3846153846153815</v>
      </c>
      <c r="DO60" s="13">
        <f>IF('Données projet'!$A$166&gt;35,DO59+DN60-DW59,IF(A60&lt;'Données projet'!$A$166,$DL$205^A60,IF(A60='Données projet'!$A$166,'Données projet'!$B$166,DO59+DN60-DW59)))</f>
        <v>191.53846153846143</v>
      </c>
      <c r="DP60" s="18">
        <f>DO60*VLOOKUP('Données projet'!$B$14,Paramètres!$A$1:$I$89,3,0)*VLOOKUP('Données projet'!$B$14,Paramètres!$A$1:$I$89,5,0)</f>
        <v>182.26799999999992</v>
      </c>
      <c r="DQ60" s="14">
        <f t="shared" si="43"/>
        <v>45.82640608003836</v>
      </c>
      <c r="DR60" s="22">
        <f t="shared" si="16"/>
        <v>397.26442392273333</v>
      </c>
      <c r="DS60" s="62">
        <f t="shared" si="17"/>
        <v>672.03788264388868</v>
      </c>
      <c r="DT60" s="62">
        <f ca="1">AVERAGE(OFFSET($DS$3,0,0,'Données projet'!$E$14+1,1))-AVERAGE(OFFSET($H$3,0,0,'Données projet'!$E$14+1,1))</f>
        <v>425.41154182732936</v>
      </c>
      <c r="DU60" s="62">
        <f t="shared" si="44"/>
        <v>306.44721925744591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64.938216014860558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6.2799999999999958</v>
      </c>
      <c r="EJ60" s="13">
        <f>IF('Données projet'!$A$192&gt;35,EJ59+EI60-ER59,IF(A60&lt;'Données projet'!$A$192,$EG$205^A60,IF(A60='Données projet'!$A$192,'Données projet'!$B$192,EJ59+EI60-ER59)))</f>
        <v>291.15999999999991</v>
      </c>
      <c r="EK60" s="18">
        <f>EJ60*VLOOKUP('Données projet'!$B$15,Paramètres!$A$1:$I$89,3,0)*VLOOKUP('Données projet'!$B$15,Paramètres!$A$1:$I$89,5,0)</f>
        <v>213.47851199999994</v>
      </c>
      <c r="EL60" s="14">
        <f t="shared" si="45"/>
        <v>52.694999755073347</v>
      </c>
      <c r="EM60" s="22">
        <f t="shared" si="19"/>
        <v>463.58553297341928</v>
      </c>
      <c r="EN60" s="62">
        <f t="shared" si="20"/>
        <v>738.35899169457457</v>
      </c>
      <c r="EO60" s="62">
        <f ca="1">AVERAGE(OFFSET($EN$3,0,0,'Données projet'!$E$15+1,1))-AVERAGE(OFFSET($H$3,0,0,'Données projet'!$E$15+1,1))</f>
        <v>357.57626046668958</v>
      </c>
      <c r="EP60" s="62">
        <f t="shared" si="46"/>
        <v>386.90439522046199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64.938216014860558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9.375</v>
      </c>
      <c r="FE60" s="13">
        <f>IF('Données projet'!$A$218&gt;35,FE59+FD60-FM59,IF(A60&lt;'Données projet'!$A$218,$FB$205^A60,IF(A60='Données projet'!$A$218,'Données projet'!$B$218,FE59+FD60-FM59)))</f>
        <v>268.87499999999994</v>
      </c>
      <c r="FF60" s="18">
        <f>FE60*VLOOKUP('Données projet'!$B$16,Paramètres!$A$1:$I$89,3,0)*VLOOKUP('Données projet'!$B$16,Paramètres!$A$1:$I$89,5,0)</f>
        <v>209.72249999999997</v>
      </c>
      <c r="FG60" s="14">
        <f t="shared" si="47"/>
        <v>51.874940300502296</v>
      </c>
      <c r="FH60" s="22">
        <f t="shared" si="22"/>
        <v>455.61554185670815</v>
      </c>
      <c r="FI60" s="62">
        <f t="shared" si="23"/>
        <v>730.3890005778635</v>
      </c>
      <c r="FJ60" s="62">
        <f ca="1">AVERAGE(OFFSET($FI$3,0,0,'Données projet'!$E$16+1,1))-AVERAGE(OFFSET($H$3,0,0,'Données projet'!$E$16+1,1))</f>
        <v>303.56663121833833</v>
      </c>
      <c r="FK60" s="62">
        <f t="shared" si="48"/>
        <v>293.97736357938038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64.938216014860558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6.2799999999999958</v>
      </c>
      <c r="FZ60" s="13">
        <f>IF('Données projet'!$A$244&gt;35,FZ59+FY60-GH59,IF(A60&lt;'Données projet'!$A$244,$FW$205^A60,IF(A60='Données projet'!$A$244,'Données projet'!$B$244,FZ59+FY60-GH59)))</f>
        <v>291.15999999999991</v>
      </c>
      <c r="GA60" s="18">
        <f>FZ60*VLOOKUP('Données projet'!$B$17,Paramètres!$A$1:$I$89,3,0)*VLOOKUP('Données projet'!$B$17,Paramètres!$A$1:$I$89,5,0)</f>
        <v>231.64689599999994</v>
      </c>
      <c r="GB60" s="14">
        <f t="shared" si="49"/>
        <v>56.63863094599396</v>
      </c>
      <c r="GC60" s="22">
        <f t="shared" si="25"/>
        <v>502.09729276427265</v>
      </c>
      <c r="GD60" s="62">
        <f t="shared" si="26"/>
        <v>776.87075148542795</v>
      </c>
      <c r="GE60" s="62">
        <f ca="1">AVERAGE(OFFSET($GD$3,0,0,'Données projet'!$E$17+1,1))-AVERAGE(OFFSET($H$3,0,0,'Données projet'!$E$17+1,1))</f>
        <v>383.71724511025587</v>
      </c>
      <c r="GF60" s="62">
        <f t="shared" si="50"/>
        <v>415.10774719533185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64.938216014860558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5.3846153846153868</v>
      </c>
      <c r="GU60" s="13">
        <f>IF('Données projet'!$A$270&gt;35,GU59+GT60-HC59,IF(A60&lt;'Données projet'!$A$270,$GR$205^A60,IF(A60='Données projet'!$A$270,'Données projet'!$B$270,GU59+GT60-HC59)))</f>
        <v>228.71794871794873</v>
      </c>
      <c r="GV60" s="18">
        <f>GU60*VLOOKUP('Données projet'!$B$18,Paramètres!$A$1:$I$89,3,0)*VLOOKUP('Données projet'!$B$18,Paramètres!$A$1:$I$89,5,0)</f>
        <v>153.42400000000001</v>
      </c>
      <c r="GW60" s="14">
        <f t="shared" si="51"/>
        <v>39.355676847161391</v>
      </c>
      <c r="GX60" s="22">
        <f t="shared" si="28"/>
        <v>335.75793717547276</v>
      </c>
      <c r="GY60" s="62">
        <f t="shared" si="29"/>
        <v>610.53139589662806</v>
      </c>
      <c r="GZ60" s="62">
        <f ca="1">AVERAGE(OFFSET($GY$3,0,0,'Données projet'!$E$18+1,1))-AVERAGE(OFFSET($H$3,0,0,'Données projet'!$E$18+1,1))</f>
        <v>329.93956600482801</v>
      </c>
      <c r="HA60" s="62">
        <f t="shared" si="52"/>
        <v>268.69186630599165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2.7450000000000001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10.065</v>
      </c>
      <c r="H61" s="70">
        <f t="shared" si="1"/>
        <v>216.40666666666667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65.02602665054907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773.70477363966324</v>
      </c>
      <c r="S61" s="62">
        <f ca="1">AVERAGE(OFFSET($R$3,0,0,'Données projet'!$E$9+1,1))-AVERAGE(OFFSET($H$3,0,0,'Données projet'!$E$9+1,1))</f>
        <v>551.67307965706379</v>
      </c>
      <c r="T61" s="62">
        <f t="shared" si="34"/>
        <v>288.70738860523943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65.02602665054907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214.13808</v>
      </c>
      <c r="AK61" s="14">
        <f t="shared" si="35"/>
        <v>52.838830759579693</v>
      </c>
      <c r="AL61" s="22">
        <f t="shared" si="4"/>
        <v>464.98478623960131</v>
      </c>
      <c r="AM61" s="62">
        <f t="shared" si="5"/>
        <v>740.08021729161453</v>
      </c>
      <c r="AN61" s="62">
        <f ca="1">AVERAGE(OFFSET($AM$3,0,0,'Données projet'!$E$10+1,1))-AVERAGE(OFFSET($H$3,0,0,'Données projet'!$E$10+1,1))</f>
        <v>518.18933270904506</v>
      </c>
      <c r="AO61" s="62">
        <f t="shared" si="36"/>
        <v>272.44431899810411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65.02602665054907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14.833333333333334</v>
      </c>
      <c r="BD61" s="13">
        <f>IF('Données projet'!$A$88&gt;35,BD60+BC61-BL60,IF(A61&lt;'Données projet'!$A$88,$BA$205^A61,IF(A61='Données projet'!$A$88,'Données projet'!$B$88,BD60+BC61-BL60)))</f>
        <v>265.3333333333332</v>
      </c>
      <c r="BE61" s="14">
        <f>BD61*VLOOKUP('Données projet'!$B$11,Paramètres!$A$1:$I$89,3,0)*VLOOKUP('Données projet'!$B$11,Paramètres!$A$1:$I$89,5,0)</f>
        <v>227.65599999999992</v>
      </c>
      <c r="BF61" s="14">
        <f t="shared" si="37"/>
        <v>55.775552165489643</v>
      </c>
      <c r="BG61" s="22">
        <f t="shared" si="7"/>
        <v>493.64328668822759</v>
      </c>
      <c r="BH61" s="62">
        <f t="shared" si="8"/>
        <v>768.73871774024087</v>
      </c>
      <c r="BI61" s="62">
        <f ca="1">AVERAGE(OFFSET($BH$3,0,0,'Données projet'!$E$11+1,1))-AVERAGE(OFFSET($H$3,0,0,'Données projet'!$E$11+1,1))</f>
        <v>464.73160475167867</v>
      </c>
      <c r="BJ61" s="62">
        <f t="shared" si="38"/>
        <v>241.31968359962227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65.02602665054907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5.8</v>
      </c>
      <c r="BY61" s="13">
        <f>IF('Données projet'!$A$114&gt;35,BY60+BX61-CG60,IF(A61&lt;'Données projet'!$A$114,$BV$205^A61,IF(A61='Données projet'!$A$114,'Données projet'!$B$114,BY60+BX61-CG60)))</f>
        <v>217.40000000000012</v>
      </c>
      <c r="BZ61" s="14">
        <f>BY61*VLOOKUP('Données projet'!$B$12,Paramètres!$A$1:$I$89,3,0)*VLOOKUP('Données projet'!$B$12,Paramètres!$A$1:$I$89,5,0)</f>
        <v>142.44048000000009</v>
      </c>
      <c r="CA61" s="14">
        <f t="shared" si="39"/>
        <v>36.855521628538284</v>
      </c>
      <c r="CB61" s="22">
        <f t="shared" si="10"/>
        <v>312.27386950303764</v>
      </c>
      <c r="CC61" s="62">
        <f t="shared" si="11"/>
        <v>587.36930055505081</v>
      </c>
      <c r="CD61" s="62">
        <f ca="1">AVERAGE(OFFSET($CC$3,0,0,'Données projet'!$E$12+1,1))-AVERAGE(OFFSET($H$3,0,0,'Données projet'!$E$12+1,1))</f>
        <v>292.13851489852607</v>
      </c>
      <c r="CE61" s="62">
        <f t="shared" si="40"/>
        <v>280.10866188737418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65.02602665054907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7.4</v>
      </c>
      <c r="CT61" s="13">
        <f>IF('Données projet'!$A$140&gt;35,CT60+CS61-DB60,IF(A61&lt;'Données projet'!$A$140,$CQ$205^A61,IF(A61='Données projet'!$A$140,'Données projet'!$B$140,CT60+CS61-DB60)))</f>
        <v>288.19999999999993</v>
      </c>
      <c r="CU61" s="18">
        <f>CT61*VLOOKUP('Données projet'!$B$13,Paramètres!$A$1:$I$89,3,0)*VLOOKUP('Données projet'!$B$13,Paramètres!$A$1:$I$89,5,0)</f>
        <v>233.78783999999996</v>
      </c>
      <c r="CV61" s="14">
        <f t="shared" si="41"/>
        <v>57.100920847849451</v>
      </c>
      <c r="CW61" s="22">
        <f t="shared" si="13"/>
        <v>506.63125847667106</v>
      </c>
      <c r="CX61" s="62">
        <f t="shared" si="14"/>
        <v>781.72668952868435</v>
      </c>
      <c r="CY61" s="62">
        <f ca="1">AVERAGE(OFFSET($CX$3,0,0,'Données projet'!$E$13+1,1))-AVERAGE(OFFSET($H$3,0,0,'Données projet'!$E$13+1,1))</f>
        <v>265.25572936607409</v>
      </c>
      <c r="CZ61" s="62">
        <f t="shared" si="42"/>
        <v>307.96244316129071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65.02602665054907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5.3846153846153815</v>
      </c>
      <c r="DO61" s="13">
        <f>IF('Données projet'!$A$166&gt;35,DO60+DN61-DW60,IF(A61&lt;'Données projet'!$A$166,$DL$205^A61,IF(A61='Données projet'!$A$166,'Données projet'!$B$166,DO60+DN61-DW60)))</f>
        <v>196.92307692307682</v>
      </c>
      <c r="DP61" s="18">
        <f>DO61*VLOOKUP('Données projet'!$B$14,Paramètres!$A$1:$I$89,3,0)*VLOOKUP('Données projet'!$B$14,Paramètres!$A$1:$I$89,5,0)</f>
        <v>187.39199999999988</v>
      </c>
      <c r="DQ61" s="14">
        <f t="shared" si="43"/>
        <v>46.962898087285787</v>
      </c>
      <c r="DR61" s="22">
        <f t="shared" si="16"/>
        <v>408.16811416868921</v>
      </c>
      <c r="DS61" s="62">
        <f t="shared" si="17"/>
        <v>683.26354522070244</v>
      </c>
      <c r="DT61" s="62">
        <f ca="1">AVERAGE(OFFSET($DS$3,0,0,'Données projet'!$E$14+1,1))-AVERAGE(OFFSET($H$3,0,0,'Données projet'!$E$14+1,1))</f>
        <v>425.41154182732936</v>
      </c>
      <c r="DU61" s="62">
        <f t="shared" si="44"/>
        <v>306.44721925744591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65.02602665054907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6.2799999999999958</v>
      </c>
      <c r="EJ61" s="13">
        <f>IF('Données projet'!$A$192&gt;35,EJ60+EI61-ER60,IF(A61&lt;'Données projet'!$A$192,$EG$205^A61,IF(A61='Données projet'!$A$192,'Données projet'!$B$192,EJ60+EI61-ER60)))</f>
        <v>297.43999999999988</v>
      </c>
      <c r="EK61" s="18">
        <f>EJ61*VLOOKUP('Données projet'!$B$15,Paramètres!$A$1:$I$89,3,0)*VLOOKUP('Données projet'!$B$15,Paramètres!$A$1:$I$89,5,0)</f>
        <v>218.08300799999989</v>
      </c>
      <c r="EL61" s="14">
        <f t="shared" si="45"/>
        <v>53.698024996844545</v>
      </c>
      <c r="EM61" s="22">
        <f t="shared" si="19"/>
        <v>473.35196580283736</v>
      </c>
      <c r="EN61" s="62">
        <f t="shared" si="20"/>
        <v>748.44739685485058</v>
      </c>
      <c r="EO61" s="62">
        <f ca="1">AVERAGE(OFFSET($EN$3,0,0,'Données projet'!$E$15+1,1))-AVERAGE(OFFSET($H$3,0,0,'Données projet'!$E$15+1,1))</f>
        <v>357.57626046668958</v>
      </c>
      <c r="EP61" s="62">
        <f t="shared" si="46"/>
        <v>386.90439522046199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65.02602665054907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9.375</v>
      </c>
      <c r="FE61" s="13">
        <f>IF('Données projet'!$A$218&gt;35,FE60+FD61-FM60,IF(A61&lt;'Données projet'!$A$218,$FB$205^A61,IF(A61='Données projet'!$A$218,'Données projet'!$B$218,FE60+FD61-FM60)))</f>
        <v>278.24999999999994</v>
      </c>
      <c r="FF61" s="18">
        <f>FE61*VLOOKUP('Données projet'!$B$16,Paramètres!$A$1:$I$89,3,0)*VLOOKUP('Données projet'!$B$16,Paramètres!$A$1:$I$89,5,0)</f>
        <v>217.03499999999997</v>
      </c>
      <c r="FG61" s="14">
        <f t="shared" si="47"/>
        <v>53.469949591969474</v>
      </c>
      <c r="FH61" s="22">
        <f t="shared" si="22"/>
        <v>471.12945387268002</v>
      </c>
      <c r="FI61" s="62">
        <f t="shared" si="23"/>
        <v>746.22488492469324</v>
      </c>
      <c r="FJ61" s="62">
        <f ca="1">AVERAGE(OFFSET($FI$3,0,0,'Données projet'!$E$16+1,1))-AVERAGE(OFFSET($H$3,0,0,'Données projet'!$E$16+1,1))</f>
        <v>303.56663121833833</v>
      </c>
      <c r="FK61" s="62">
        <f t="shared" si="48"/>
        <v>293.97736357938038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65.02602665054907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6.2799999999999958</v>
      </c>
      <c r="FZ61" s="13">
        <f>IF('Données projet'!$A$244&gt;35,FZ60+FY61-GH60,IF(A61&lt;'Données projet'!$A$244,$FW$205^A61,IF(A61='Données projet'!$A$244,'Données projet'!$B$244,FZ60+FY61-GH60)))</f>
        <v>297.43999999999988</v>
      </c>
      <c r="GA61" s="18">
        <f>FZ61*VLOOKUP('Données projet'!$B$17,Paramètres!$A$1:$I$89,3,0)*VLOOKUP('Données projet'!$B$17,Paramètres!$A$1:$I$89,5,0)</f>
        <v>236.64326399999993</v>
      </c>
      <c r="GB61" s="14">
        <f t="shared" si="49"/>
        <v>57.716721405473052</v>
      </c>
      <c r="GC61" s="22">
        <f t="shared" si="25"/>
        <v>512.67697458119881</v>
      </c>
      <c r="GD61" s="62">
        <f t="shared" si="26"/>
        <v>787.77240563321197</v>
      </c>
      <c r="GE61" s="62">
        <f ca="1">AVERAGE(OFFSET($GD$3,0,0,'Données projet'!$E$17+1,1))-AVERAGE(OFFSET($H$3,0,0,'Données projet'!$E$17+1,1))</f>
        <v>383.71724511025587</v>
      </c>
      <c r="GF61" s="62">
        <f t="shared" si="50"/>
        <v>415.10774719533185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65.02602665054907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5.3846153846153868</v>
      </c>
      <c r="GU61" s="13">
        <f>IF('Données projet'!$A$270&gt;35,GU60+GT61-HC60,IF(A61&lt;'Données projet'!$A$270,$GR$205^A61,IF(A61='Données projet'!$A$270,'Données projet'!$B$270,GU60+GT61-HC60)))</f>
        <v>234.10256410256412</v>
      </c>
      <c r="GV61" s="18">
        <f>GU61*VLOOKUP('Données projet'!$B$18,Paramètres!$A$1:$I$89,3,0)*VLOOKUP('Données projet'!$B$18,Paramètres!$A$1:$I$89,5,0)</f>
        <v>157.036</v>
      </c>
      <c r="GW61" s="14">
        <f t="shared" si="51"/>
        <v>40.17325112686504</v>
      </c>
      <c r="GX61" s="22">
        <f t="shared" si="28"/>
        <v>343.47277904595654</v>
      </c>
      <c r="GY61" s="62">
        <f t="shared" si="29"/>
        <v>618.56821009796977</v>
      </c>
      <c r="GZ61" s="62">
        <f ca="1">AVERAGE(OFFSET($GY$3,0,0,'Données projet'!$E$18+1,1))-AVERAGE(OFFSET($H$3,0,0,'Données projet'!$E$18+1,1))</f>
        <v>329.93956600482801</v>
      </c>
      <c r="HA61" s="62">
        <f t="shared" si="52"/>
        <v>268.69186630599165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2.7450000000000001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10.065</v>
      </c>
      <c r="H62" s="70">
        <f t="shared" si="1"/>
        <v>216.40666666666667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65.112313968023557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792.03037910573767</v>
      </c>
      <c r="S62" s="62">
        <f ca="1">AVERAGE(OFFSET($R$3,0,0,'Données projet'!$E$9+1,1))-AVERAGE(OFFSET($H$3,0,0,'Données projet'!$E$9+1,1))</f>
        <v>551.67307965706379</v>
      </c>
      <c r="T62" s="62">
        <f t="shared" si="34"/>
        <v>288.70738860523943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65.112313968023557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222.05663999999999</v>
      </c>
      <c r="AK62" s="14">
        <f t="shared" si="35"/>
        <v>54.561643903321311</v>
      </c>
      <c r="AL62" s="22">
        <f t="shared" si="4"/>
        <v>481.77684446495124</v>
      </c>
      <c r="AM62" s="62">
        <f t="shared" si="5"/>
        <v>757.18866234770428</v>
      </c>
      <c r="AN62" s="62">
        <f ca="1">AVERAGE(OFFSET($AM$3,0,0,'Données projet'!$E$10+1,1))-AVERAGE(OFFSET($H$3,0,0,'Données projet'!$E$10+1,1))</f>
        <v>518.18933270904506</v>
      </c>
      <c r="AO62" s="62">
        <f t="shared" si="36"/>
        <v>272.44431899810411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65.112313968023557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14.833333333333334</v>
      </c>
      <c r="BD62" s="13">
        <f>IF('Données projet'!$A$88&gt;35,BD61+BC62-BL61,IF(A62&lt;'Données projet'!$A$88,$BA$205^A62,IF(A62='Données projet'!$A$88,'Données projet'!$B$88,BD61+BC62-BL61)))</f>
        <v>280.16666666666652</v>
      </c>
      <c r="BE62" s="14">
        <f>BD62*VLOOKUP('Données projet'!$B$11,Paramètres!$A$1:$I$89,3,0)*VLOOKUP('Données projet'!$B$11,Paramètres!$A$1:$I$89,5,0)</f>
        <v>240.38299999999987</v>
      </c>
      <c r="BF62" s="14">
        <f t="shared" si="37"/>
        <v>58.521927148992098</v>
      </c>
      <c r="BG62" s="22">
        <f t="shared" si="7"/>
        <v>520.59274811782768</v>
      </c>
      <c r="BH62" s="62">
        <f t="shared" si="8"/>
        <v>796.00456600058078</v>
      </c>
      <c r="BI62" s="62">
        <f ca="1">AVERAGE(OFFSET($BH$3,0,0,'Données projet'!$E$11+1,1))-AVERAGE(OFFSET($H$3,0,0,'Données projet'!$E$11+1,1))</f>
        <v>464.73160475167867</v>
      </c>
      <c r="BJ62" s="62">
        <f t="shared" si="38"/>
        <v>241.31968359962227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65.112313968023557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5.8</v>
      </c>
      <c r="BY62" s="13">
        <f>IF('Données projet'!$A$114&gt;35,BY61+BX62-CG61,IF(A62&lt;'Données projet'!$A$114,$BV$205^A62,IF(A62='Données projet'!$A$114,'Données projet'!$B$114,BY61+BX62-CG61)))</f>
        <v>223.20000000000013</v>
      </c>
      <c r="BZ62" s="14">
        <f>BY62*VLOOKUP('Données projet'!$B$12,Paramètres!$A$1:$I$89,3,0)*VLOOKUP('Données projet'!$B$12,Paramètres!$A$1:$I$89,5,0)</f>
        <v>146.2406400000001</v>
      </c>
      <c r="CA62" s="14">
        <f t="shared" si="39"/>
        <v>37.722999642090628</v>
      </c>
      <c r="CB62" s="22">
        <f t="shared" si="10"/>
        <v>320.40333904330799</v>
      </c>
      <c r="CC62" s="62">
        <f t="shared" si="11"/>
        <v>595.81515692606104</v>
      </c>
      <c r="CD62" s="62">
        <f ca="1">AVERAGE(OFFSET($CC$3,0,0,'Données projet'!$E$12+1,1))-AVERAGE(OFFSET($H$3,0,0,'Données projet'!$E$12+1,1))</f>
        <v>292.13851489852607</v>
      </c>
      <c r="CE62" s="62">
        <f t="shared" si="40"/>
        <v>280.10866188737418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65.112313968023557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7.4</v>
      </c>
      <c r="CT62" s="13">
        <f>IF('Données projet'!$A$140&gt;35,CT61+CS62-DB61,IF(A62&lt;'Données projet'!$A$140,$CQ$205^A62,IF(A62='Données projet'!$A$140,'Données projet'!$B$140,CT61+CS62-DB61)))</f>
        <v>295.59999999999991</v>
      </c>
      <c r="CU62" s="18">
        <f>CT62*VLOOKUP('Données projet'!$B$13,Paramètres!$A$1:$I$89,3,0)*VLOOKUP('Données projet'!$B$13,Paramètres!$A$1:$I$89,5,0)</f>
        <v>239.79071999999994</v>
      </c>
      <c r="CV62" s="14">
        <f t="shared" si="41"/>
        <v>58.394500584818381</v>
      </c>
      <c r="CW62" s="22">
        <f t="shared" si="13"/>
        <v>519.33925918522516</v>
      </c>
      <c r="CX62" s="62">
        <f t="shared" si="14"/>
        <v>794.75107706797826</v>
      </c>
      <c r="CY62" s="62">
        <f ca="1">AVERAGE(OFFSET($CX$3,0,0,'Données projet'!$E$13+1,1))-AVERAGE(OFFSET($H$3,0,0,'Données projet'!$E$13+1,1))</f>
        <v>265.25572936607409</v>
      </c>
      <c r="CZ62" s="62">
        <f t="shared" si="42"/>
        <v>307.96244316129071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65.112313968023557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5.3846153846153815</v>
      </c>
      <c r="DO62" s="13">
        <f>IF('Données projet'!$A$166&gt;35,DO61+DN62-DW61,IF(A62&lt;'Données projet'!$A$166,$DL$205^A62,IF(A62='Données projet'!$A$166,'Données projet'!$B$166,DO61+DN62-DW61)))</f>
        <v>202.30769230769221</v>
      </c>
      <c r="DP62" s="18">
        <f>DO62*VLOOKUP('Données projet'!$B$14,Paramètres!$A$1:$I$89,3,0)*VLOOKUP('Données projet'!$B$14,Paramètres!$A$1:$I$89,5,0)</f>
        <v>192.51599999999991</v>
      </c>
      <c r="DQ62" s="14">
        <f t="shared" si="43"/>
        <v>48.095778128339838</v>
      </c>
      <c r="DR62" s="22">
        <f t="shared" si="16"/>
        <v>419.06551357352504</v>
      </c>
      <c r="DS62" s="62">
        <f t="shared" si="17"/>
        <v>694.47733145627808</v>
      </c>
      <c r="DT62" s="62">
        <f ca="1">AVERAGE(OFFSET($DS$3,0,0,'Données projet'!$E$14+1,1))-AVERAGE(OFFSET($H$3,0,0,'Données projet'!$E$14+1,1))</f>
        <v>425.41154182732936</v>
      </c>
      <c r="DU62" s="62">
        <f t="shared" si="44"/>
        <v>306.44721925744591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65.112313968023557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6.2799999999999958</v>
      </c>
      <c r="EJ62" s="13">
        <f>IF('Données projet'!$A$192&gt;35,EJ61+EI62-ER61,IF(A62&lt;'Données projet'!$A$192,$EG$205^A62,IF(A62='Données projet'!$A$192,'Données projet'!$B$192,EJ61+EI62-ER61)))</f>
        <v>303.71999999999986</v>
      </c>
      <c r="EK62" s="18">
        <f>EJ62*VLOOKUP('Données projet'!$B$15,Paramètres!$A$1:$I$89,3,0)*VLOOKUP('Données projet'!$B$15,Paramètres!$A$1:$I$89,5,0)</f>
        <v>222.68750399999988</v>
      </c>
      <c r="EL62" s="14">
        <f t="shared" si="45"/>
        <v>54.698588025346766</v>
      </c>
      <c r="EM62" s="22">
        <f t="shared" si="19"/>
        <v>483.1141102774788</v>
      </c>
      <c r="EN62" s="62">
        <f t="shared" si="20"/>
        <v>758.52592816023184</v>
      </c>
      <c r="EO62" s="62">
        <f ca="1">AVERAGE(OFFSET($EN$3,0,0,'Données projet'!$E$15+1,1))-AVERAGE(OFFSET($H$3,0,0,'Données projet'!$E$15+1,1))</f>
        <v>357.57626046668958</v>
      </c>
      <c r="EP62" s="62">
        <f t="shared" si="46"/>
        <v>386.90439522046199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65.112313968023557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9.375</v>
      </c>
      <c r="FE62" s="13">
        <f>IF('Données projet'!$A$218&gt;35,FE61+FD62-FM61,IF(A62&lt;'Données projet'!$A$218,$FB$205^A62,IF(A62='Données projet'!$A$218,'Données projet'!$B$218,FE61+FD62-FM61)))</f>
        <v>287.62499999999994</v>
      </c>
      <c r="FF62" s="18">
        <f>FE62*VLOOKUP('Données projet'!$B$16,Paramètres!$A$1:$I$89,3,0)*VLOOKUP('Données projet'!$B$16,Paramètres!$A$1:$I$89,5,0)</f>
        <v>224.34749999999997</v>
      </c>
      <c r="FG62" s="14">
        <f t="shared" si="47"/>
        <v>55.058714525680479</v>
      </c>
      <c r="FH62" s="22">
        <f t="shared" si="22"/>
        <v>486.63249029889352</v>
      </c>
      <c r="FI62" s="62">
        <f t="shared" si="23"/>
        <v>762.04430818164656</v>
      </c>
      <c r="FJ62" s="62">
        <f ca="1">AVERAGE(OFFSET($FI$3,0,0,'Données projet'!$E$16+1,1))-AVERAGE(OFFSET($H$3,0,0,'Données projet'!$E$16+1,1))</f>
        <v>303.56663121833833</v>
      </c>
      <c r="FK62" s="62">
        <f t="shared" si="48"/>
        <v>293.97736357938038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65.112313968023557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6.2799999999999958</v>
      </c>
      <c r="FZ62" s="13">
        <f>IF('Données projet'!$A$244&gt;35,FZ61+FY62-GH61,IF(A62&lt;'Données projet'!$A$244,$FW$205^A62,IF(A62='Données projet'!$A$244,'Données projet'!$B$244,FZ61+FY62-GH61)))</f>
        <v>303.71999999999986</v>
      </c>
      <c r="GA62" s="18">
        <f>FZ62*VLOOKUP('Données projet'!$B$17,Paramètres!$A$1:$I$89,3,0)*VLOOKUP('Données projet'!$B$17,Paramètres!$A$1:$I$89,5,0)</f>
        <v>241.63963199999992</v>
      </c>
      <c r="GB62" s="14">
        <f t="shared" si="49"/>
        <v>58.792165382566672</v>
      </c>
      <c r="GC62" s="22">
        <f t="shared" si="25"/>
        <v>523.25204710797016</v>
      </c>
      <c r="GD62" s="62">
        <f t="shared" si="26"/>
        <v>798.66386499072314</v>
      </c>
      <c r="GE62" s="62">
        <f ca="1">AVERAGE(OFFSET($GD$3,0,0,'Données projet'!$E$17+1,1))-AVERAGE(OFFSET($H$3,0,0,'Données projet'!$E$17+1,1))</f>
        <v>383.71724511025587</v>
      </c>
      <c r="GF62" s="62">
        <f t="shared" si="50"/>
        <v>415.10774719533185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65.112313968023557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5.3846153846153868</v>
      </c>
      <c r="GU62" s="13">
        <f>IF('Données projet'!$A$270&gt;35,GU61+GT62-HC61,IF(A62&lt;'Données projet'!$A$270,$GR$205^A62,IF(A62='Données projet'!$A$270,'Données projet'!$B$270,GU61+GT62-HC61)))</f>
        <v>239.4871794871795</v>
      </c>
      <c r="GV62" s="18">
        <f>GU62*VLOOKUP('Données projet'!$B$18,Paramètres!$A$1:$I$89,3,0)*VLOOKUP('Données projet'!$B$18,Paramètres!$A$1:$I$89,5,0)</f>
        <v>160.648</v>
      </c>
      <c r="GW62" s="14">
        <f t="shared" si="51"/>
        <v>40.988639216339969</v>
      </c>
      <c r="GX62" s="22">
        <f t="shared" si="28"/>
        <v>351.1838133017921</v>
      </c>
      <c r="GY62" s="62">
        <f t="shared" si="29"/>
        <v>626.59563118454514</v>
      </c>
      <c r="GZ62" s="62">
        <f ca="1">AVERAGE(OFFSET($GY$3,0,0,'Données projet'!$E$18+1,1))-AVERAGE(OFFSET($H$3,0,0,'Données projet'!$E$18+1,1))</f>
        <v>329.93956600482801</v>
      </c>
      <c r="HA62" s="62">
        <f t="shared" si="52"/>
        <v>268.69186630599165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2.7450000000000001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10.065</v>
      </c>
      <c r="H63" s="70">
        <f t="shared" si="1"/>
        <v>216.40666666666667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65.197104393449393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810.33725387250968</v>
      </c>
      <c r="S63" s="62">
        <f ca="1">AVERAGE(OFFSET($R$3,0,0,'Données projet'!$E$9+1,1))-AVERAGE(OFFSET($H$3,0,0,'Données projet'!$E$9+1,1))</f>
        <v>551.67307965706379</v>
      </c>
      <c r="T63" s="62">
        <f t="shared" si="34"/>
        <v>288.70738860523943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65.197104393449393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229.9752</v>
      </c>
      <c r="AK63" s="14">
        <f t="shared" si="35"/>
        <v>56.277319157664316</v>
      </c>
      <c r="AL63" s="22">
        <f t="shared" si="4"/>
        <v>498.55647086626527</v>
      </c>
      <c r="AM63" s="62">
        <f t="shared" si="5"/>
        <v>774.27918697557971</v>
      </c>
      <c r="AN63" s="62">
        <f ca="1">AVERAGE(OFFSET($AM$3,0,0,'Données projet'!$E$10+1,1))-AVERAGE(OFFSET($H$3,0,0,'Données projet'!$E$10+1,1))</f>
        <v>518.18933270904506</v>
      </c>
      <c r="AO63" s="62">
        <f t="shared" si="36"/>
        <v>272.44431899810411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65.197104393449393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295</v>
      </c>
      <c r="BB63" s="13">
        <f>VLOOKUP(A63,'Données projet'!$A$87:$I$107,9,0)</f>
        <v>14.833333333333334</v>
      </c>
      <c r="BC63" s="13">
        <f t="array" ref="BC63">INDEX(BB:BB,MIN(IF(ISNUMBER(BB63:BB259),ROW(BB63:BB259),"")))</f>
        <v>14.833333333333334</v>
      </c>
      <c r="BD63" s="13">
        <f>IF('Données projet'!$A$88&gt;35,BD62+BC63-BL62,IF(A63&lt;'Données projet'!$A$88,$BA$205^A63,IF(A63='Données projet'!$A$88,'Données projet'!$B$88,BD62+BC63-BL62)))</f>
        <v>294.99999999999983</v>
      </c>
      <c r="BE63" s="14">
        <f>BD63*VLOOKUP('Données projet'!$B$11,Paramètres!$A$1:$I$89,3,0)*VLOOKUP('Données projet'!$B$11,Paramètres!$A$1:$I$89,5,0)</f>
        <v>253.10999999999987</v>
      </c>
      <c r="BF63" s="14">
        <f t="shared" si="37"/>
        <v>61.251420602177625</v>
      </c>
      <c r="BG63" s="22">
        <f t="shared" si="7"/>
        <v>547.51280754879247</v>
      </c>
      <c r="BH63" s="62">
        <f t="shared" si="8"/>
        <v>823.2355236581069</v>
      </c>
      <c r="BI63" s="62">
        <f ca="1">AVERAGE(OFFSET($BH$3,0,0,'Données projet'!$E$11+1,1))-AVERAGE(OFFSET($H$3,0,0,'Données projet'!$E$11+1,1))</f>
        <v>464.73160475167867</v>
      </c>
      <c r="BJ63" s="62">
        <f t="shared" si="38"/>
        <v>241.31968359962227</v>
      </c>
      <c r="BK63" s="16">
        <f>IF(ISNA(VLOOKUP(A63,'Données projet'!$A$87:$I$107,3,0)),0,VLOOKUP(A63,'Données projet'!$A$87:$I$107,3,0))</f>
        <v>7</v>
      </c>
      <c r="BL63" s="16">
        <f>IF(ISNA(VLOOKUP(A63,'Données projet'!$A$87:$I$107,4,0)),0,VLOOKUP(A63,'Données projet'!$A$87:$I$107,4,0))</f>
        <v>61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65.197104393449393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229</v>
      </c>
      <c r="BW63" s="13">
        <f>VLOOKUP(A63,'Données projet'!$A$113:$I$133,9,0)</f>
        <v>5.8</v>
      </c>
      <c r="BX63" s="13">
        <f t="array" ref="BX63">INDEX(BW:BW,MIN(IF(ISNUMBER(BW63:BW259),ROW(BW63:BW259),"")))</f>
        <v>5.8</v>
      </c>
      <c r="BY63" s="13">
        <f>IF('Données projet'!$A$114&gt;35,BY62+BX63-CG62,IF(A63&lt;'Données projet'!$A$114,$BV$205^A63,IF(A63='Données projet'!$A$114,'Données projet'!$B$114,BY62+BX63-CG62)))</f>
        <v>229.00000000000014</v>
      </c>
      <c r="BZ63" s="14">
        <f>BY63*VLOOKUP('Données projet'!$B$12,Paramètres!$A$1:$I$89,3,0)*VLOOKUP('Données projet'!$B$12,Paramètres!$A$1:$I$89,5,0)</f>
        <v>150.04080000000008</v>
      </c>
      <c r="CA63" s="14">
        <f t="shared" si="39"/>
        <v>38.587857420495212</v>
      </c>
      <c r="CB63" s="22">
        <f t="shared" si="10"/>
        <v>328.52824500736261</v>
      </c>
      <c r="CC63" s="62">
        <f t="shared" si="11"/>
        <v>604.25096111667699</v>
      </c>
      <c r="CD63" s="62">
        <f ca="1">AVERAGE(OFFSET($CC$3,0,0,'Données projet'!$E$12+1,1))-AVERAGE(OFFSET($H$3,0,0,'Données projet'!$E$12+1,1))</f>
        <v>292.13851489852607</v>
      </c>
      <c r="CE63" s="62">
        <f t="shared" si="40"/>
        <v>280.10866188737418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65.197104393449393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303</v>
      </c>
      <c r="CR63" s="13">
        <f>VLOOKUP(A63,'Données projet'!$A$139:$I$159,9,0)</f>
        <v>7.4</v>
      </c>
      <c r="CS63" s="13">
        <f t="array" ref="CS63">INDEX(CR:CR,MIN(IF(ISNUMBER(CR63:CR259),ROW(CR63:CR259),"")))</f>
        <v>7.4</v>
      </c>
      <c r="CT63" s="13">
        <f>IF('Données projet'!$A$140&gt;35,CT62+CS63-DB62,IF(A63&lt;'Données projet'!$A$140,$CQ$205^A63,IF(A63='Données projet'!$A$140,'Données projet'!$B$140,CT62+CS63-DB62)))</f>
        <v>302.99999999999989</v>
      </c>
      <c r="CU63" s="18">
        <f>CT63*VLOOKUP('Données projet'!$B$13,Paramètres!$A$1:$I$89,3,0)*VLOOKUP('Données projet'!$B$13,Paramètres!$A$1:$I$89,5,0)</f>
        <v>245.79359999999991</v>
      </c>
      <c r="CV63" s="14">
        <f t="shared" si="41"/>
        <v>59.684315982017168</v>
      </c>
      <c r="CW63" s="22">
        <f t="shared" si="13"/>
        <v>532.04070366867973</v>
      </c>
      <c r="CX63" s="62">
        <f t="shared" si="14"/>
        <v>807.76341977799416</v>
      </c>
      <c r="CY63" s="62">
        <f ca="1">AVERAGE(OFFSET($CX$3,0,0,'Données projet'!$E$13+1,1))-AVERAGE(OFFSET($H$3,0,0,'Données projet'!$E$13+1,1))</f>
        <v>265.25572936607409</v>
      </c>
      <c r="CZ63" s="62">
        <f t="shared" si="42"/>
        <v>307.96244316129071</v>
      </c>
      <c r="DA63" s="16">
        <f>IF(ISNA(VLOOKUP(A63,'Données projet'!$A$139:$I$159,3,0)),0,VLOOKUP(A63,'Données projet'!$A$139:$I$159,3,0))</f>
        <v>3</v>
      </c>
      <c r="DB63" s="16">
        <f>IF(ISNA(VLOOKUP(A63,'Données projet'!$A$139:$I$159,4,0)),0,VLOOKUP(A63,'Données projet'!$A$139:$I$159,4,0))</f>
        <v>303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65.197104393449393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207.69230769230768</v>
      </c>
      <c r="DM63" s="13">
        <f>VLOOKUP(A63,'Données projet'!$A$165:$I$185,9,0)</f>
        <v>5.3846153846153815</v>
      </c>
      <c r="DN63" s="13">
        <f t="array" ref="DN63">INDEX(DM:DM,MIN(IF(ISNUMBER(DM63:DM259),ROW(DM63:DM259),"")))</f>
        <v>5.3846153846153815</v>
      </c>
      <c r="DO63" s="13">
        <f>IF('Données projet'!$A$166&gt;35,DO62+DN63-DW62,IF(A63&lt;'Données projet'!$A$166,$DL$205^A63,IF(A63='Données projet'!$A$166,'Données projet'!$B$166,DO62+DN63-DW62)))</f>
        <v>207.69230769230759</v>
      </c>
      <c r="DP63" s="18">
        <f>DO63*VLOOKUP('Données projet'!$B$14,Paramètres!$A$1:$I$89,3,0)*VLOOKUP('Données projet'!$B$14,Paramètres!$A$1:$I$89,5,0)</f>
        <v>197.63999999999993</v>
      </c>
      <c r="DQ63" s="14">
        <f t="shared" si="43"/>
        <v>49.22515338895078</v>
      </c>
      <c r="DR63" s="22">
        <f t="shared" si="16"/>
        <v>429.95680881908919</v>
      </c>
      <c r="DS63" s="62">
        <f t="shared" si="17"/>
        <v>705.67952492840368</v>
      </c>
      <c r="DT63" s="62">
        <f ca="1">AVERAGE(OFFSET($DS$3,0,0,'Données projet'!$E$14+1,1))-AVERAGE(OFFSET($H$3,0,0,'Données projet'!$E$14+1,1))</f>
        <v>425.41154182732936</v>
      </c>
      <c r="DU63" s="62">
        <f t="shared" si="44"/>
        <v>306.44721925744591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65.197104393449393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310</v>
      </c>
      <c r="EH63" s="13">
        <f>VLOOKUP(A63,'Données projet'!$A$191:$I$211,9,0)</f>
        <v>6.2799999999999958</v>
      </c>
      <c r="EI63" s="13">
        <f t="array" ref="EI63">INDEX(EH:EH,MIN(IF(ISNUMBER(EH63:EH259),ROW(EH63:EH259),"")))</f>
        <v>6.2799999999999958</v>
      </c>
      <c r="EJ63" s="13">
        <f>IF('Données projet'!$A$192&gt;35,EJ62+EI63-ER62,IF(A63&lt;'Données projet'!$A$192,$EG$205^A63,IF(A63='Données projet'!$A$192,'Données projet'!$B$192,EJ62+EI63-ER62)))</f>
        <v>309.99999999999983</v>
      </c>
      <c r="EK63" s="18">
        <f>EJ63*VLOOKUP('Données projet'!$B$15,Paramètres!$A$1:$I$89,3,0)*VLOOKUP('Données projet'!$B$15,Paramètres!$A$1:$I$89,5,0)</f>
        <v>227.29199999999986</v>
      </c>
      <c r="EL63" s="14">
        <f t="shared" si="45"/>
        <v>55.69674561748365</v>
      </c>
      <c r="EM63" s="22">
        <f t="shared" si="19"/>
        <v>492.8720652837838</v>
      </c>
      <c r="EN63" s="62">
        <f t="shared" si="20"/>
        <v>768.59478139309817</v>
      </c>
      <c r="EO63" s="62">
        <f ca="1">AVERAGE(OFFSET($EN$3,0,0,'Données projet'!$E$15+1,1))-AVERAGE(OFFSET($H$3,0,0,'Données projet'!$E$15+1,1))</f>
        <v>357.57626046668958</v>
      </c>
      <c r="EP63" s="62">
        <f t="shared" si="46"/>
        <v>386.90439522046199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30.2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65.197104393449393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297</v>
      </c>
      <c r="FC63" s="13">
        <f>VLOOKUP(A63,'Données projet'!$A$217:$I$237,9,0)</f>
        <v>9.375</v>
      </c>
      <c r="FD63" s="13">
        <f t="array" ref="FD63">INDEX(FC:FC,MIN(IF(ISNUMBER(FC63:FC259),ROW(FC63:FC259),"")))</f>
        <v>9.375</v>
      </c>
      <c r="FE63" s="13">
        <f>IF('Données projet'!$A$218&gt;35,FE62+FD63-FM62,IF(A63&lt;'Données projet'!$A$218,$FB$205^A63,IF(A63='Données projet'!$A$218,'Données projet'!$B$218,FE62+FD63-FM62)))</f>
        <v>296.99999999999994</v>
      </c>
      <c r="FF63" s="18">
        <f>FE63*VLOOKUP('Données projet'!$B$16,Paramètres!$A$1:$I$89,3,0)*VLOOKUP('Données projet'!$B$16,Paramètres!$A$1:$I$89,5,0)</f>
        <v>231.65999999999997</v>
      </c>
      <c r="FG63" s="14">
        <f t="shared" si="47"/>
        <v>56.641461975682766</v>
      </c>
      <c r="FH63" s="22">
        <f t="shared" si="22"/>
        <v>502.12504627431412</v>
      </c>
      <c r="FI63" s="62">
        <f t="shared" si="23"/>
        <v>777.84776238362861</v>
      </c>
      <c r="FJ63" s="62">
        <f ca="1">AVERAGE(OFFSET($FI$3,0,0,'Données projet'!$E$16+1,1))-AVERAGE(OFFSET($H$3,0,0,'Données projet'!$E$16+1,1))</f>
        <v>303.56663121833833</v>
      </c>
      <c r="FK63" s="62">
        <f t="shared" si="48"/>
        <v>293.97736357938038</v>
      </c>
      <c r="FL63" s="16">
        <f>IF(ISNA(VLOOKUP(A63,'Données projet'!$A$217:$I$237,3,0)),0,VLOOKUP(A63,'Données projet'!$A$217:$I$237,3,0))</f>
        <v>6</v>
      </c>
      <c r="FM63" s="16">
        <f>IF(ISNA(VLOOKUP(A63,'Données projet'!$A$217:$I$237,4,0)),0,VLOOKUP(A63,'Données projet'!$A$217:$I$237,4,0))</f>
        <v>47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65.197104393449393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310</v>
      </c>
      <c r="FX63" s="13">
        <f>VLOOKUP(A63,'Données projet'!$A$243:$I$263,9,0)</f>
        <v>6.2799999999999958</v>
      </c>
      <c r="FY63" s="13">
        <f t="array" ref="FY63">INDEX(FX:FX,MIN(IF(ISNUMBER(FX63:FX259),ROW(FX63:FX259),"")))</f>
        <v>6.2799999999999958</v>
      </c>
      <c r="FZ63" s="13">
        <f>IF('Données projet'!$A$244&gt;35,FZ62+FY63-GH62,IF(A63&lt;'Données projet'!$A$244,$FW$205^A63,IF(A63='Données projet'!$A$244,'Données projet'!$B$244,FZ62+FY63-GH62)))</f>
        <v>309.99999999999983</v>
      </c>
      <c r="GA63" s="18">
        <f>FZ63*VLOOKUP('Données projet'!$B$17,Paramètres!$A$1:$I$89,3,0)*VLOOKUP('Données projet'!$B$17,Paramètres!$A$1:$I$89,5,0)</f>
        <v>246.63599999999985</v>
      </c>
      <c r="GB63" s="14">
        <f t="shared" si="49"/>
        <v>59.865023903294535</v>
      </c>
      <c r="GC63" s="22">
        <f t="shared" si="25"/>
        <v>533.8226166315709</v>
      </c>
      <c r="GD63" s="62">
        <f t="shared" si="26"/>
        <v>809.54533274088533</v>
      </c>
      <c r="GE63" s="62">
        <f ca="1">AVERAGE(OFFSET($GD$3,0,0,'Données projet'!$E$17+1,1))-AVERAGE(OFFSET($H$3,0,0,'Données projet'!$E$17+1,1))</f>
        <v>383.71724511025587</v>
      </c>
      <c r="GF63" s="62">
        <f t="shared" si="50"/>
        <v>415.10774719533185</v>
      </c>
      <c r="GG63" s="16">
        <f>IF(ISNA(VLOOKUP(A63,'Données projet'!$A$243:$I$263,3,0)),0,VLOOKUP(A63,'Données projet'!$A$243:$I$263,3,0))</f>
        <v>5</v>
      </c>
      <c r="GH63" s="16">
        <f>IF(ISNA(VLOOKUP(A63,'Données projet'!$A$243:$I$263,4,0)),0,VLOOKUP(A63,'Données projet'!$A$243:$I$263,4,0))</f>
        <v>30.2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65.197104393449393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244.87179487179486</v>
      </c>
      <c r="GS63" s="13">
        <f>VLOOKUP(A63,'Données projet'!$A$269:$I$289,9,0)</f>
        <v>5.3846153846153868</v>
      </c>
      <c r="GT63" s="13">
        <f t="array" ref="GT63">INDEX(GS:GS,MIN(IF(ISNUMBER(GS63:GS259),ROW(GS63:GS259),"")))</f>
        <v>5.3846153846153868</v>
      </c>
      <c r="GU63" s="13">
        <f>IF('Données projet'!$A$270&gt;35,GU62+GT63-HC62,IF(A63&lt;'Données projet'!$A$270,$GR$205^A63,IF(A63='Données projet'!$A$270,'Données projet'!$B$270,GU62+GT63-HC62)))</f>
        <v>244.87179487179489</v>
      </c>
      <c r="GV63" s="18">
        <f>GU63*VLOOKUP('Données projet'!$B$18,Paramètres!$A$1:$I$89,3,0)*VLOOKUP('Données projet'!$B$18,Paramètres!$A$1:$I$89,5,0)</f>
        <v>164.26000000000002</v>
      </c>
      <c r="GW63" s="14">
        <f t="shared" si="51"/>
        <v>41.801895928887475</v>
      </c>
      <c r="GX63" s="22">
        <f t="shared" si="28"/>
        <v>358.89113540947909</v>
      </c>
      <c r="GY63" s="62">
        <f t="shared" si="29"/>
        <v>634.61385151879358</v>
      </c>
      <c r="GZ63" s="62">
        <f ca="1">AVERAGE(OFFSET($GY$3,0,0,'Données projet'!$E$18+1,1))-AVERAGE(OFFSET($H$3,0,0,'Données projet'!$E$18+1,1))</f>
        <v>329.93956600482801</v>
      </c>
      <c r="HA63" s="62">
        <f t="shared" si="52"/>
        <v>268.69186630599165</v>
      </c>
      <c r="HB63" s="16">
        <f>IF(ISNA(VLOOKUP(A63,'Données projet'!$A$269:$I$289,3,0)),0,VLOOKUP(A63,'Données projet'!$A$269:$I$289,3,0))</f>
        <v>5</v>
      </c>
      <c r="HC63" s="16">
        <f>IF(ISNA(VLOOKUP(A63,'Données projet'!$A$269:$I$289,4,0)),0,VLOOKUP(A63,'Données projet'!$A$269:$I$289,4,0))</f>
        <v>30.128205128205128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2.7450000000000001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10.065</v>
      </c>
      <c r="H64" s="70">
        <f t="shared" si="1"/>
        <v>216.40666666666667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65.280423894557089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2">
        <f t="shared" si="0"/>
        <v>827.47850599337244</v>
      </c>
      <c r="S64" s="62">
        <f ca="1">AVERAGE(OFFSET($R$3,0,0,'Données projet'!$E$9+1,1))-AVERAGE(OFFSET($H$3,0,0,'Données projet'!$E$9+1,1))</f>
        <v>551.67307965706379</v>
      </c>
      <c r="T64" s="62">
        <f t="shared" si="34"/>
        <v>288.70738860523943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65.280423894557089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281.79999999999995</v>
      </c>
      <c r="AJ64" s="14">
        <f>AI64*VLOOKUP('Données projet'!$B$10,Paramètres!$A$1:$I$89,3,0)*VLOOKUP('Données projet'!$B$10,Paramètres!$A$1:$I$89,5,0)</f>
        <v>237.38831999999999</v>
      </c>
      <c r="AK64" s="14">
        <f t="shared" si="35"/>
        <v>57.877257478787087</v>
      </c>
      <c r="AL64" s="22">
        <f t="shared" si="4"/>
        <v>514.25421410888737</v>
      </c>
      <c r="AM64" s="62">
        <f t="shared" si="5"/>
        <v>790.28243505559669</v>
      </c>
      <c r="AN64" s="62">
        <f ca="1">AVERAGE(OFFSET($AM$3,0,0,'Données projet'!$E$10+1,1))-AVERAGE(OFFSET($H$3,0,0,'Données projet'!$E$10+1,1))</f>
        <v>518.18933270904506</v>
      </c>
      <c r="AO64" s="62">
        <f t="shared" si="36"/>
        <v>272.44431899810411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65.280423894557089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13.777777777777779</v>
      </c>
      <c r="BD64" s="13">
        <f>IF('Données projet'!$A$88&gt;35,BD63+BC64-BL63,IF(A64&lt;'Données projet'!$A$88,$BA$205^A64,IF(A64='Données projet'!$A$88,'Données projet'!$B$88,BD63+BC64-BL63)))</f>
        <v>247.7777777777776</v>
      </c>
      <c r="BE64" s="14">
        <f>BD64*VLOOKUP('Données projet'!$B$11,Paramètres!$A$1:$I$89,3,0)*VLOOKUP('Données projet'!$B$11,Paramètres!$A$1:$I$89,5,0)</f>
        <v>212.59333333333319</v>
      </c>
      <c r="BF64" s="14">
        <f t="shared" si="37"/>
        <v>52.501888831663351</v>
      </c>
      <c r="BG64" s="22">
        <f t="shared" si="7"/>
        <v>461.70751193736891</v>
      </c>
      <c r="BH64" s="62">
        <f t="shared" si="8"/>
        <v>737.73573288407829</v>
      </c>
      <c r="BI64" s="62">
        <f ca="1">AVERAGE(OFFSET($BH$3,0,0,'Données projet'!$E$11+1,1))-AVERAGE(OFFSET($H$3,0,0,'Données projet'!$E$11+1,1))</f>
        <v>464.73160475167867</v>
      </c>
      <c r="BJ64" s="62">
        <f t="shared" si="38"/>
        <v>241.31968359962227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65.280423894557089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234.20000000000013</v>
      </c>
      <c r="BZ64" s="14">
        <f>BY64*VLOOKUP('Données projet'!$B$12,Paramètres!$A$1:$I$89,3,0)*VLOOKUP('Données projet'!$B$12,Paramètres!$A$1:$I$89,5,0)</f>
        <v>153.44784000000007</v>
      </c>
      <c r="CA64" s="14">
        <f t="shared" si="39"/>
        <v>39.361080309334518</v>
      </c>
      <c r="CB64" s="22">
        <f t="shared" si="10"/>
        <v>335.80886953875768</v>
      </c>
      <c r="CC64" s="62">
        <f t="shared" si="11"/>
        <v>611.837090485467</v>
      </c>
      <c r="CD64" s="62">
        <f ca="1">AVERAGE(OFFSET($CC$3,0,0,'Données projet'!$E$12+1,1))-AVERAGE(OFFSET($H$3,0,0,'Données projet'!$E$12+1,1))</f>
        <v>292.13851489852607</v>
      </c>
      <c r="CE64" s="62">
        <f t="shared" si="40"/>
        <v>280.10866188737418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65.280423894557089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-1.1368683772161603E-13</v>
      </c>
      <c r="CU64" s="18">
        <f>CT64*VLOOKUP('Données projet'!$B$13,Paramètres!$A$1:$I$89,3,0)*VLOOKUP('Données projet'!$B$13,Paramètres!$A$1:$I$89,5,0)</f>
        <v>-9.2222762759774927E-14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265.25572936607409</v>
      </c>
      <c r="CZ64" s="62">
        <f t="shared" si="42"/>
        <v>307.96244316129071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65.280423894557089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</v>
      </c>
      <c r="DO64" s="13">
        <f>IF('Données projet'!$A$166&gt;35,DO63+DN64-DW63,IF(A64&lt;'Données projet'!$A$166,$DL$205^A64,IF(A64='Données projet'!$A$166,'Données projet'!$B$166,DO63+DN64-DW63)))</f>
        <v>212.69230769230759</v>
      </c>
      <c r="DP64" s="18">
        <f>DO64*VLOOKUP('Données projet'!$B$14,Paramètres!$A$1:$I$89,3,0)*VLOOKUP('Données projet'!$B$14,Paramètres!$A$1:$I$89,5,0)</f>
        <v>202.39799999999991</v>
      </c>
      <c r="DQ64" s="14">
        <f t="shared" si="43"/>
        <v>50.270809420148282</v>
      </c>
      <c r="DR64" s="22">
        <f t="shared" si="16"/>
        <v>440.06484307342475</v>
      </c>
      <c r="DS64" s="62">
        <f t="shared" si="17"/>
        <v>716.09306402013408</v>
      </c>
      <c r="DT64" s="62">
        <f ca="1">AVERAGE(OFFSET($DS$3,0,0,'Données projet'!$E$14+1,1))-AVERAGE(OFFSET($H$3,0,0,'Données projet'!$E$14+1,1))</f>
        <v>425.41154182732936</v>
      </c>
      <c r="DU64" s="62">
        <f t="shared" si="44"/>
        <v>306.44721925744591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65.280423894557089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5.2399999999999975</v>
      </c>
      <c r="EJ64" s="13">
        <f>IF('Données projet'!$A$192&gt;35,EJ63+EI64-ER63,IF(A64&lt;'Données projet'!$A$192,$EG$205^A64,IF(A64='Données projet'!$A$192,'Données projet'!$B$192,EJ63+EI64-ER63)))</f>
        <v>285.03999999999985</v>
      </c>
      <c r="EK64" s="18">
        <f>EJ64*VLOOKUP('Données projet'!$B$15,Paramètres!$A$1:$I$89,3,0)*VLOOKUP('Données projet'!$B$15,Paramètres!$A$1:$I$89,5,0)</f>
        <v>208.9913279999999</v>
      </c>
      <c r="EL64" s="14">
        <f t="shared" si="45"/>
        <v>51.715103760424256</v>
      </c>
      <c r="EM64" s="22">
        <f t="shared" si="19"/>
        <v>454.06370198273868</v>
      </c>
      <c r="EN64" s="62">
        <f t="shared" si="20"/>
        <v>730.09192292944795</v>
      </c>
      <c r="EO64" s="62">
        <f ca="1">AVERAGE(OFFSET($EN$3,0,0,'Données projet'!$E$15+1,1))-AVERAGE(OFFSET($H$3,0,0,'Données projet'!$E$15+1,1))</f>
        <v>357.57626046668958</v>
      </c>
      <c r="EP64" s="62">
        <f t="shared" si="46"/>
        <v>386.90439522046199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65.280423894557089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8.6666666666666661</v>
      </c>
      <c r="FE64" s="13">
        <f>IF('Données projet'!$A$218&gt;35,FE63+FD64-FM63,IF(A64&lt;'Données projet'!$A$218,$FB$205^A64,IF(A64='Données projet'!$A$218,'Données projet'!$B$218,FE63+FD64-FM63)))</f>
        <v>258.66666666666663</v>
      </c>
      <c r="FF64" s="18">
        <f>FE64*VLOOKUP('Données projet'!$B$16,Paramètres!$A$1:$I$89,3,0)*VLOOKUP('Données projet'!$B$16,Paramètres!$A$1:$I$89,5,0)</f>
        <v>201.76</v>
      </c>
      <c r="FG64" s="14">
        <f t="shared" si="47"/>
        <v>50.130765000424212</v>
      </c>
      <c r="FH64" s="22">
        <f t="shared" si="22"/>
        <v>438.70974904240546</v>
      </c>
      <c r="FI64" s="62">
        <f t="shared" si="23"/>
        <v>714.73796998911484</v>
      </c>
      <c r="FJ64" s="62">
        <f ca="1">AVERAGE(OFFSET($FI$3,0,0,'Données projet'!$E$16+1,1))-AVERAGE(OFFSET($H$3,0,0,'Données projet'!$E$16+1,1))</f>
        <v>303.56663121833833</v>
      </c>
      <c r="FK64" s="62">
        <f t="shared" si="48"/>
        <v>293.97736357938038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65.280423894557089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5.2399999999999975</v>
      </c>
      <c r="FZ64" s="13">
        <f>IF('Données projet'!$A$244&gt;35,FZ63+FY64-GH63,IF(A64&lt;'Données projet'!$A$244,$FW$205^A64,IF(A64='Données projet'!$A$244,'Données projet'!$B$244,FZ63+FY64-GH63)))</f>
        <v>285.03999999999985</v>
      </c>
      <c r="GA64" s="18">
        <f>FZ64*VLOOKUP('Données projet'!$B$17,Paramètres!$A$1:$I$89,3,0)*VLOOKUP('Données projet'!$B$17,Paramètres!$A$1:$I$89,5,0)</f>
        <v>226.7778239999999</v>
      </c>
      <c r="GB64" s="14">
        <f t="shared" si="49"/>
        <v>55.585400699018884</v>
      </c>
      <c r="GC64" s="22">
        <f t="shared" si="25"/>
        <v>491.78261635079099</v>
      </c>
      <c r="GD64" s="62">
        <f t="shared" si="26"/>
        <v>767.81083729750026</v>
      </c>
      <c r="GE64" s="62">
        <f ca="1">AVERAGE(OFFSET($GD$3,0,0,'Données projet'!$E$17+1,1))-AVERAGE(OFFSET($H$3,0,0,'Données projet'!$E$17+1,1))</f>
        <v>383.71724511025587</v>
      </c>
      <c r="GF64" s="62">
        <f t="shared" si="50"/>
        <v>415.10774719533185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65.280423894557089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5.1282051282051331</v>
      </c>
      <c r="GU64" s="13">
        <f>IF('Données projet'!$A$270&gt;35,GU63+GT64-HC63,IF(A64&lt;'Données projet'!$A$270,$GR$205^A64,IF(A64='Données projet'!$A$270,'Données projet'!$B$270,GU63+GT64-HC63)))</f>
        <v>219.87179487179489</v>
      </c>
      <c r="GV64" s="18">
        <f>GU64*VLOOKUP('Données projet'!$B$18,Paramètres!$A$1:$I$89,3,0)*VLOOKUP('Données projet'!$B$18,Paramètres!$A$1:$I$89,5,0)</f>
        <v>147.49</v>
      </c>
      <c r="GW64" s="14">
        <f t="shared" si="51"/>
        <v>38.007620116459833</v>
      </c>
      <c r="GX64" s="22">
        <f t="shared" si="28"/>
        <v>323.07502170283419</v>
      </c>
      <c r="GY64" s="62">
        <f t="shared" si="29"/>
        <v>599.10324264954352</v>
      </c>
      <c r="GZ64" s="62">
        <f ca="1">AVERAGE(OFFSET($GY$3,0,0,'Données projet'!$E$18+1,1))-AVERAGE(OFFSET($H$3,0,0,'Données projet'!$E$18+1,1))</f>
        <v>329.93956600482801</v>
      </c>
      <c r="HA64" s="62">
        <f t="shared" si="52"/>
        <v>268.69186630599165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2.7450000000000001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10.065</v>
      </c>
      <c r="H65" s="70">
        <f t="shared" si="1"/>
        <v>216.40666666666667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65.36229798859506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2">
        <f t="shared" si="0"/>
        <v>844.6036869342438</v>
      </c>
      <c r="S65" s="62">
        <f ca="1">AVERAGE(OFFSET($R$3,0,0,'Données projet'!$E$9+1,1))-AVERAGE(OFFSET($H$3,0,0,'Données projet'!$E$9+1,1))</f>
        <v>551.67307965706379</v>
      </c>
      <c r="T65" s="62">
        <f t="shared" si="34"/>
        <v>288.70738860523943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65.36229798859506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290.59999999999997</v>
      </c>
      <c r="AJ65" s="14">
        <f>AI65*VLOOKUP('Données projet'!$B$10,Paramètres!$A$1:$I$89,3,0)*VLOOKUP('Données projet'!$B$10,Paramètres!$A$1:$I$89,5,0)</f>
        <v>244.80143999999999</v>
      </c>
      <c r="AK65" s="14">
        <f t="shared" si="35"/>
        <v>59.471389714596519</v>
      </c>
      <c r="AL65" s="22">
        <f t="shared" si="4"/>
        <v>529.94184508625551</v>
      </c>
      <c r="AM65" s="62">
        <f t="shared" si="5"/>
        <v>806.27027104443732</v>
      </c>
      <c r="AN65" s="62">
        <f ca="1">AVERAGE(OFFSET($AM$3,0,0,'Données projet'!$E$10+1,1))-AVERAGE(OFFSET($H$3,0,0,'Données projet'!$E$10+1,1))</f>
        <v>518.18933270904506</v>
      </c>
      <c r="AO65" s="62">
        <f t="shared" si="36"/>
        <v>272.44431899810411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65.36229798859506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13.777777777777779</v>
      </c>
      <c r="BD65" s="13">
        <f>IF('Données projet'!$A$88&gt;35,BD64+BC65-BL64,IF(A65&lt;'Données projet'!$A$88,$BA$205^A65,IF(A65='Données projet'!$A$88,'Données projet'!$B$88,BD64+BC65-BL64)))</f>
        <v>261.55555555555537</v>
      </c>
      <c r="BE65" s="14">
        <f>BD65*VLOOKUP('Données projet'!$B$11,Paramètres!$A$1:$I$89,3,0)*VLOOKUP('Données projet'!$B$11,Paramètres!$A$1:$I$89,5,0)</f>
        <v>224.41466666666653</v>
      </c>
      <c r="BF65" s="14">
        <f t="shared" si="37"/>
        <v>55.073279400945509</v>
      </c>
      <c r="BG65" s="22">
        <f t="shared" si="7"/>
        <v>486.77483940109096</v>
      </c>
      <c r="BH65" s="62">
        <f t="shared" si="8"/>
        <v>763.10326535927288</v>
      </c>
      <c r="BI65" s="62">
        <f ca="1">AVERAGE(OFFSET($BH$3,0,0,'Données projet'!$E$11+1,1))-AVERAGE(OFFSET($H$3,0,0,'Données projet'!$E$11+1,1))</f>
        <v>464.73160475167867</v>
      </c>
      <c r="BJ65" s="62">
        <f t="shared" si="38"/>
        <v>241.31968359962227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65.36229798859506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239.40000000000012</v>
      </c>
      <c r="BZ65" s="14">
        <f>BY65*VLOOKUP('Données projet'!$B$12,Paramètres!$A$1:$I$89,3,0)*VLOOKUP('Données projet'!$B$12,Paramètres!$A$1:$I$89,5,0)</f>
        <v>156.85488000000007</v>
      </c>
      <c r="CA65" s="14">
        <f t="shared" si="39"/>
        <v>40.132307243083858</v>
      </c>
      <c r="CB65" s="22">
        <f t="shared" si="10"/>
        <v>343.08601778170447</v>
      </c>
      <c r="CC65" s="62">
        <f t="shared" si="11"/>
        <v>619.41444373988634</v>
      </c>
      <c r="CD65" s="62">
        <f ca="1">AVERAGE(OFFSET($CC$3,0,0,'Données projet'!$E$12+1,1))-AVERAGE(OFFSET($H$3,0,0,'Données projet'!$E$12+1,1))</f>
        <v>292.13851489852607</v>
      </c>
      <c r="CE65" s="62">
        <f t="shared" si="40"/>
        <v>280.10866188737418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65.36229798859506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-1.1368683772161603E-13</v>
      </c>
      <c r="CU65" s="18">
        <f>CT65*VLOOKUP('Données projet'!$B$13,Paramètres!$A$1:$I$89,3,0)*VLOOKUP('Données projet'!$B$13,Paramètres!$A$1:$I$89,5,0)</f>
        <v>-9.2222762759774927E-14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265.25572936607409</v>
      </c>
      <c r="CZ65" s="62">
        <f t="shared" si="42"/>
        <v>307.96244316129071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65.36229798859506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</v>
      </c>
      <c r="DO65" s="13">
        <f>IF('Données projet'!$A$166&gt;35,DO64+DN65-DW64,IF(A65&lt;'Données projet'!$A$166,$DL$205^A65,IF(A65='Données projet'!$A$166,'Données projet'!$B$166,DO64+DN65-DW64)))</f>
        <v>217.69230769230759</v>
      </c>
      <c r="DP65" s="18">
        <f>DO65*VLOOKUP('Données projet'!$B$14,Paramètres!$A$1:$I$89,3,0)*VLOOKUP('Données projet'!$B$14,Paramètres!$A$1:$I$89,5,0)</f>
        <v>207.15599999999989</v>
      </c>
      <c r="DQ65" s="14">
        <f t="shared" si="43"/>
        <v>51.313607806372978</v>
      </c>
      <c r="DR65" s="22">
        <f t="shared" si="16"/>
        <v>450.16790026276612</v>
      </c>
      <c r="DS65" s="62">
        <f t="shared" si="17"/>
        <v>726.49632622094805</v>
      </c>
      <c r="DT65" s="62">
        <f ca="1">AVERAGE(OFFSET($DS$3,0,0,'Données projet'!$E$14+1,1))-AVERAGE(OFFSET($H$3,0,0,'Données projet'!$E$14+1,1))</f>
        <v>425.41154182732936</v>
      </c>
      <c r="DU65" s="62">
        <f t="shared" si="44"/>
        <v>306.44721925744591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65.36229798859506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5.2399999999999975</v>
      </c>
      <c r="EJ65" s="13">
        <f>IF('Données projet'!$A$192&gt;35,EJ64+EI65-ER64,IF(A65&lt;'Données projet'!$A$192,$EG$205^A65,IF(A65='Données projet'!$A$192,'Données projet'!$B$192,EJ64+EI65-ER64)))</f>
        <v>290.27999999999986</v>
      </c>
      <c r="EK65" s="18">
        <f>EJ65*VLOOKUP('Données projet'!$B$15,Paramètres!$A$1:$I$89,3,0)*VLOOKUP('Données projet'!$B$15,Paramètres!$A$1:$I$89,5,0)</f>
        <v>212.83329599999988</v>
      </c>
      <c r="EL65" s="14">
        <f t="shared" si="45"/>
        <v>52.554248411686309</v>
      </c>
      <c r="EM65" s="22">
        <f t="shared" si="19"/>
        <v>462.21663985035343</v>
      </c>
      <c r="EN65" s="62">
        <f t="shared" si="20"/>
        <v>738.54506580853536</v>
      </c>
      <c r="EO65" s="62">
        <f ca="1">AVERAGE(OFFSET($EN$3,0,0,'Données projet'!$E$15+1,1))-AVERAGE(OFFSET($H$3,0,0,'Données projet'!$E$15+1,1))</f>
        <v>357.57626046668958</v>
      </c>
      <c r="EP65" s="62">
        <f t="shared" si="46"/>
        <v>386.90439522046199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65.36229798859506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8.6666666666666661</v>
      </c>
      <c r="FE65" s="13">
        <f>IF('Données projet'!$A$218&gt;35,FE64+FD65-FM64,IF(A65&lt;'Données projet'!$A$218,$FB$205^A65,IF(A65='Données projet'!$A$218,'Données projet'!$B$218,FE64+FD65-FM64)))</f>
        <v>267.33333333333331</v>
      </c>
      <c r="FF65" s="18">
        <f>FE65*VLOOKUP('Données projet'!$B$16,Paramètres!$A$1:$I$89,3,0)*VLOOKUP('Données projet'!$B$16,Paramètres!$A$1:$I$89,5,0)</f>
        <v>208.51999999999998</v>
      </c>
      <c r="FG65" s="14">
        <f t="shared" si="47"/>
        <v>51.612035456318509</v>
      </c>
      <c r="FH65" s="22">
        <f t="shared" si="22"/>
        <v>453.06329508642131</v>
      </c>
      <c r="FI65" s="62">
        <f t="shared" si="23"/>
        <v>729.39172104460317</v>
      </c>
      <c r="FJ65" s="62">
        <f ca="1">AVERAGE(OFFSET($FI$3,0,0,'Données projet'!$E$16+1,1))-AVERAGE(OFFSET($H$3,0,0,'Données projet'!$E$16+1,1))</f>
        <v>303.56663121833833</v>
      </c>
      <c r="FK65" s="62">
        <f t="shared" si="48"/>
        <v>293.97736357938038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65.36229798859506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5.2399999999999975</v>
      </c>
      <c r="FZ65" s="13">
        <f>IF('Données projet'!$A$244&gt;35,FZ64+FY65-GH64,IF(A65&lt;'Données projet'!$A$244,$FW$205^A65,IF(A65='Données projet'!$A$244,'Données projet'!$B$244,FZ64+FY65-GH64)))</f>
        <v>290.27999999999986</v>
      </c>
      <c r="GA65" s="18">
        <f>FZ65*VLOOKUP('Données projet'!$B$17,Paramètres!$A$1:$I$89,3,0)*VLOOKUP('Données projet'!$B$17,Paramètres!$A$1:$I$89,5,0)</f>
        <v>230.94676799999991</v>
      </c>
      <c r="GB65" s="14">
        <f t="shared" si="49"/>
        <v>56.487345939251334</v>
      </c>
      <c r="GC65" s="22">
        <f t="shared" si="25"/>
        <v>500.61441511086258</v>
      </c>
      <c r="GD65" s="62">
        <f t="shared" si="26"/>
        <v>776.94284106904445</v>
      </c>
      <c r="GE65" s="62">
        <f ca="1">AVERAGE(OFFSET($GD$3,0,0,'Données projet'!$E$17+1,1))-AVERAGE(OFFSET($H$3,0,0,'Données projet'!$E$17+1,1))</f>
        <v>383.71724511025587</v>
      </c>
      <c r="GF65" s="62">
        <f t="shared" si="50"/>
        <v>415.10774719533185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65.36229798859506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5.1282051282051331</v>
      </c>
      <c r="GU65" s="13">
        <f>IF('Données projet'!$A$270&gt;35,GU64+GT65-HC64,IF(A65&lt;'Données projet'!$A$270,$GR$205^A65,IF(A65='Données projet'!$A$270,'Données projet'!$B$270,GU64+GT65-HC64)))</f>
        <v>225.00000000000003</v>
      </c>
      <c r="GV65" s="18">
        <f>GU65*VLOOKUP('Données projet'!$B$18,Paramètres!$A$1:$I$89,3,0)*VLOOKUP('Données projet'!$B$18,Paramètres!$A$1:$I$89,5,0)</f>
        <v>150.93000000000004</v>
      </c>
      <c r="GW65" s="14">
        <f t="shared" si="51"/>
        <v>38.789855371379076</v>
      </c>
      <c r="GX65" s="22">
        <f t="shared" si="28"/>
        <v>330.42874810515195</v>
      </c>
      <c r="GY65" s="62">
        <f t="shared" si="29"/>
        <v>606.75717406333388</v>
      </c>
      <c r="GZ65" s="62">
        <f ca="1">AVERAGE(OFFSET($GY$3,0,0,'Données projet'!$E$18+1,1))-AVERAGE(OFFSET($H$3,0,0,'Données projet'!$E$18+1,1))</f>
        <v>329.93956600482801</v>
      </c>
      <c r="HA65" s="62">
        <f t="shared" si="52"/>
        <v>268.69186630599165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2.7450000000000001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10.065</v>
      </c>
      <c r="H66" s="70">
        <f t="shared" si="1"/>
        <v>216.40666666666667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65.442751750144538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2">
        <f t="shared" si="0"/>
        <v>861.71325225432111</v>
      </c>
      <c r="S66" s="62">
        <f ca="1">AVERAGE(OFFSET($R$3,0,0,'Données projet'!$E$9+1,1))-AVERAGE(OFFSET($H$3,0,0,'Données projet'!$E$9+1,1))</f>
        <v>551.67307965706379</v>
      </c>
      <c r="T66" s="62">
        <f t="shared" si="34"/>
        <v>288.70738860523943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65.442751750144538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299.39999999999998</v>
      </c>
      <c r="AJ66" s="14">
        <f>AI66*VLOOKUP('Données projet'!$B$10,Paramètres!$A$1:$I$89,3,0)*VLOOKUP('Données projet'!$B$10,Paramètres!$A$1:$I$89,5,0)</f>
        <v>252.21455999999998</v>
      </c>
      <c r="AK66" s="14">
        <f t="shared" si="35"/>
        <v>61.059911866756252</v>
      </c>
      <c r="AL66" s="22">
        <f t="shared" si="4"/>
        <v>545.61970516793383</v>
      </c>
      <c r="AM66" s="62">
        <f t="shared" si="5"/>
        <v>822.24312825179709</v>
      </c>
      <c r="AN66" s="62">
        <f ca="1">AVERAGE(OFFSET($AM$3,0,0,'Données projet'!$E$10+1,1))-AVERAGE(OFFSET($H$3,0,0,'Données projet'!$E$10+1,1))</f>
        <v>518.18933270904506</v>
      </c>
      <c r="AO66" s="62">
        <f t="shared" si="36"/>
        <v>272.44431899810411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65.442751750144538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13.777777777777779</v>
      </c>
      <c r="BD66" s="13">
        <f>IF('Données projet'!$A$88&gt;35,BD65+BC66-BL65,IF(A66&lt;'Données projet'!$A$88,$BA$205^A66,IF(A66='Données projet'!$A$88,'Données projet'!$B$88,BD65+BC66-BL65)))</f>
        <v>275.33333333333314</v>
      </c>
      <c r="BE66" s="14">
        <f>BD66*VLOOKUP('Données projet'!$B$11,Paramètres!$A$1:$I$89,3,0)*VLOOKUP('Données projet'!$B$11,Paramètres!$A$1:$I$89,5,0)</f>
        <v>236.23599999999988</v>
      </c>
      <c r="BF66" s="14">
        <f t="shared" si="37"/>
        <v>57.628943995616872</v>
      </c>
      <c r="BG66" s="22">
        <f t="shared" si="7"/>
        <v>511.81477745903248</v>
      </c>
      <c r="BH66" s="62">
        <f t="shared" si="8"/>
        <v>788.43820054289586</v>
      </c>
      <c r="BI66" s="62">
        <f ca="1">AVERAGE(OFFSET($BH$3,0,0,'Données projet'!$E$11+1,1))-AVERAGE(OFFSET($H$3,0,0,'Données projet'!$E$11+1,1))</f>
        <v>464.73160475167867</v>
      </c>
      <c r="BJ66" s="62">
        <f t="shared" si="38"/>
        <v>241.31968359962227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65.442751750144538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244.60000000000011</v>
      </c>
      <c r="BZ66" s="14">
        <f>BY66*VLOOKUP('Données projet'!$B$12,Paramètres!$A$1:$I$89,3,0)*VLOOKUP('Données projet'!$B$12,Paramètres!$A$1:$I$89,5,0)</f>
        <v>160.26192000000006</v>
      </c>
      <c r="CA66" s="14">
        <f t="shared" si="39"/>
        <v>40.901586568781333</v>
      </c>
      <c r="CB66" s="22">
        <f t="shared" si="10"/>
        <v>350.35977394062758</v>
      </c>
      <c r="CC66" s="62">
        <f t="shared" si="11"/>
        <v>626.98319702449089</v>
      </c>
      <c r="CD66" s="62">
        <f ca="1">AVERAGE(OFFSET($CC$3,0,0,'Données projet'!$E$12+1,1))-AVERAGE(OFFSET($H$3,0,0,'Données projet'!$E$12+1,1))</f>
        <v>292.13851489852607</v>
      </c>
      <c r="CE66" s="62">
        <f t="shared" si="40"/>
        <v>280.10866188737418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65.442751750144538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-1.1368683772161603E-13</v>
      </c>
      <c r="CU66" s="18">
        <f>CT66*VLOOKUP('Données projet'!$B$13,Paramètres!$A$1:$I$89,3,0)*VLOOKUP('Données projet'!$B$13,Paramètres!$A$1:$I$89,5,0)</f>
        <v>-9.2222762759774927E-14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265.25572936607409</v>
      </c>
      <c r="CZ66" s="62">
        <f t="shared" si="42"/>
        <v>307.96244316129071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65.442751750144538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</v>
      </c>
      <c r="DO66" s="13">
        <f>IF('Données projet'!$A$166&gt;35,DO65+DN66-DW65,IF(A66&lt;'Données projet'!$A$166,$DL$205^A66,IF(A66='Données projet'!$A$166,'Données projet'!$B$166,DO65+DN66-DW65)))</f>
        <v>222.69230769230759</v>
      </c>
      <c r="DP66" s="18">
        <f>DO66*VLOOKUP('Données projet'!$B$14,Paramètres!$A$1:$I$89,3,0)*VLOOKUP('Données projet'!$B$14,Paramètres!$A$1:$I$89,5,0)</f>
        <v>211.9139999999999</v>
      </c>
      <c r="DQ66" s="14">
        <f t="shared" si="43"/>
        <v>52.353621737631663</v>
      </c>
      <c r="DR66" s="22">
        <f t="shared" si="16"/>
        <v>460.26610785970826</v>
      </c>
      <c r="DS66" s="62">
        <f t="shared" si="17"/>
        <v>736.88953094357157</v>
      </c>
      <c r="DT66" s="62">
        <f ca="1">AVERAGE(OFFSET($DS$3,0,0,'Données projet'!$E$14+1,1))-AVERAGE(OFFSET($H$3,0,0,'Données projet'!$E$14+1,1))</f>
        <v>425.41154182732936</v>
      </c>
      <c r="DU66" s="62">
        <f t="shared" si="44"/>
        <v>306.44721925744591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65.442751750144538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5.2399999999999975</v>
      </c>
      <c r="EJ66" s="13">
        <f>IF('Données projet'!$A$192&gt;35,EJ65+EI66-ER65,IF(A66&lt;'Données projet'!$A$192,$EG$205^A66,IF(A66='Données projet'!$A$192,'Données projet'!$B$192,EJ65+EI66-ER65)))</f>
        <v>295.51999999999987</v>
      </c>
      <c r="EK66" s="18">
        <f>EJ66*VLOOKUP('Données projet'!$B$15,Paramètres!$A$1:$I$89,3,0)*VLOOKUP('Données projet'!$B$15,Paramètres!$A$1:$I$89,5,0)</f>
        <v>216.67526399999991</v>
      </c>
      <c r="EL66" s="14">
        <f t="shared" si="45"/>
        <v>53.391631603175213</v>
      </c>
      <c r="EM66" s="22">
        <f t="shared" si="19"/>
        <v>470.36650984219659</v>
      </c>
      <c r="EN66" s="62">
        <f t="shared" si="20"/>
        <v>746.98993292605996</v>
      </c>
      <c r="EO66" s="62">
        <f ca="1">AVERAGE(OFFSET($EN$3,0,0,'Données projet'!$E$15+1,1))-AVERAGE(OFFSET($H$3,0,0,'Données projet'!$E$15+1,1))</f>
        <v>357.57626046668958</v>
      </c>
      <c r="EP66" s="62">
        <f t="shared" si="46"/>
        <v>386.90439522046199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65.442751750144538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8.6666666666666661</v>
      </c>
      <c r="FE66" s="13">
        <f>IF('Données projet'!$A$218&gt;35,FE65+FD66-FM65,IF(A66&lt;'Données projet'!$A$218,$FB$205^A66,IF(A66='Données projet'!$A$218,'Données projet'!$B$218,FE65+FD66-FM65)))</f>
        <v>276</v>
      </c>
      <c r="FF66" s="18">
        <f>FE66*VLOOKUP('Données projet'!$B$16,Paramètres!$A$1:$I$89,3,0)*VLOOKUP('Données projet'!$B$16,Paramètres!$A$1:$I$89,5,0)</f>
        <v>215.28</v>
      </c>
      <c r="FG66" s="14">
        <f t="shared" si="47"/>
        <v>53.087725740853138</v>
      </c>
      <c r="FH66" s="22">
        <f t="shared" si="22"/>
        <v>467.40712233198587</v>
      </c>
      <c r="FI66" s="62">
        <f t="shared" si="23"/>
        <v>744.03054541584925</v>
      </c>
      <c r="FJ66" s="62">
        <f ca="1">AVERAGE(OFFSET($FI$3,0,0,'Données projet'!$E$16+1,1))-AVERAGE(OFFSET($H$3,0,0,'Données projet'!$E$16+1,1))</f>
        <v>303.56663121833833</v>
      </c>
      <c r="FK66" s="62">
        <f t="shared" si="48"/>
        <v>293.97736357938038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65.442751750144538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5.2399999999999975</v>
      </c>
      <c r="FZ66" s="13">
        <f>IF('Données projet'!$A$244&gt;35,FZ65+FY66-GH65,IF(A66&lt;'Données projet'!$A$244,$FW$205^A66,IF(A66='Données projet'!$A$244,'Données projet'!$B$244,FZ65+FY66-GH65)))</f>
        <v>295.51999999999987</v>
      </c>
      <c r="GA66" s="18">
        <f>FZ66*VLOOKUP('Données projet'!$B$17,Paramètres!$A$1:$I$89,3,0)*VLOOKUP('Données projet'!$B$17,Paramètres!$A$1:$I$89,5,0)</f>
        <v>235.11571199999989</v>
      </c>
      <c r="GB66" s="14">
        <f t="shared" si="49"/>
        <v>57.387397894153374</v>
      </c>
      <c r="GC66" s="22">
        <f t="shared" si="25"/>
        <v>509.44291639898364</v>
      </c>
      <c r="GD66" s="62">
        <f t="shared" si="26"/>
        <v>786.06633948284696</v>
      </c>
      <c r="GE66" s="62">
        <f ca="1">AVERAGE(OFFSET($GD$3,0,0,'Données projet'!$E$17+1,1))-AVERAGE(OFFSET($H$3,0,0,'Données projet'!$E$17+1,1))</f>
        <v>383.71724511025587</v>
      </c>
      <c r="GF66" s="62">
        <f t="shared" si="50"/>
        <v>415.10774719533185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65.442751750144538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5.1282051282051331</v>
      </c>
      <c r="GU66" s="13">
        <f>IF('Données projet'!$A$270&gt;35,GU65+GT66-HC65,IF(A66&lt;'Données projet'!$A$270,$GR$205^A66,IF(A66='Données projet'!$A$270,'Données projet'!$B$270,GU65+GT66-HC65)))</f>
        <v>230.12820512820517</v>
      </c>
      <c r="GV66" s="18">
        <f>GU66*VLOOKUP('Données projet'!$B$18,Paramètres!$A$1:$I$89,3,0)*VLOOKUP('Données projet'!$B$18,Paramètres!$A$1:$I$89,5,0)</f>
        <v>154.37000000000003</v>
      </c>
      <c r="GW66" s="14">
        <f t="shared" si="51"/>
        <v>39.570017923578433</v>
      </c>
      <c r="GX66" s="22">
        <f t="shared" si="28"/>
        <v>337.77886455023247</v>
      </c>
      <c r="GY66" s="62">
        <f t="shared" si="29"/>
        <v>614.40228763409573</v>
      </c>
      <c r="GZ66" s="62">
        <f ca="1">AVERAGE(OFFSET($GY$3,0,0,'Données projet'!$E$18+1,1))-AVERAGE(OFFSET($H$3,0,0,'Données projet'!$E$18+1,1))</f>
        <v>329.93956600482801</v>
      </c>
      <c r="HA66" s="62">
        <f t="shared" si="52"/>
        <v>268.69186630599165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2.7450000000000001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10.065</v>
      </c>
      <c r="H67" s="70">
        <f t="shared" si="1"/>
        <v>216.40666666666667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65.521809818798786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2">
        <f t="shared" ref="R67:R130" si="55">Q67+(I67+J67)*44/12</f>
        <v>878.80763332754577</v>
      </c>
      <c r="S67" s="62">
        <f ca="1">AVERAGE(OFFSET($R$3,0,0,'Données projet'!$E$9+1,1))-AVERAGE(OFFSET($H$3,0,0,'Données projet'!$E$9+1,1))</f>
        <v>551.67307965706379</v>
      </c>
      <c r="T67" s="62">
        <f t="shared" si="34"/>
        <v>288.70738860523943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65.521809818798786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308.2</v>
      </c>
      <c r="AJ67" s="14">
        <f>AI67*VLOOKUP('Données projet'!$B$10,Paramètres!$A$1:$I$89,3,0)*VLOOKUP('Données projet'!$B$10,Paramètres!$A$1:$I$89,5,0)</f>
        <v>259.62768</v>
      </c>
      <c r="AK67" s="14">
        <f t="shared" si="35"/>
        <v>62.643007760076095</v>
      </c>
      <c r="AL67" s="22">
        <f t="shared" si="4"/>
        <v>561.28811451546585</v>
      </c>
      <c r="AM67" s="62">
        <f t="shared" si="5"/>
        <v>838.20141718439481</v>
      </c>
      <c r="AN67" s="62">
        <f ca="1">AVERAGE(OFFSET($AM$3,0,0,'Données projet'!$E$10+1,1))-AVERAGE(OFFSET($H$3,0,0,'Données projet'!$E$10+1,1))</f>
        <v>518.18933270904506</v>
      </c>
      <c r="AO67" s="62">
        <f t="shared" si="36"/>
        <v>272.44431899810411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65.521809818798786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13.777777777777779</v>
      </c>
      <c r="BD67" s="13">
        <f>IF('Données projet'!$A$88&gt;35,BD66+BC67-BL66,IF(A67&lt;'Données projet'!$A$88,$BA$205^A67,IF(A67='Données projet'!$A$88,'Données projet'!$B$88,BD66+BC67-BL66)))</f>
        <v>289.11111111111092</v>
      </c>
      <c r="BE67" s="14">
        <f>BD67*VLOOKUP('Données projet'!$B$11,Paramètres!$A$1:$I$89,3,0)*VLOOKUP('Données projet'!$B$11,Paramètres!$A$1:$I$89,5,0)</f>
        <v>248.05733333333319</v>
      </c>
      <c r="BF67" s="14">
        <f t="shared" si="37"/>
        <v>60.169759343876592</v>
      </c>
      <c r="BG67" s="22">
        <f t="shared" si="7"/>
        <v>536.82885307947356</v>
      </c>
      <c r="BH67" s="62">
        <f t="shared" si="8"/>
        <v>813.74215574840241</v>
      </c>
      <c r="BI67" s="62">
        <f ca="1">AVERAGE(OFFSET($BH$3,0,0,'Données projet'!$E$11+1,1))-AVERAGE(OFFSET($H$3,0,0,'Données projet'!$E$11+1,1))</f>
        <v>464.73160475167867</v>
      </c>
      <c r="BJ67" s="62">
        <f t="shared" si="38"/>
        <v>241.31968359962227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65.521809818798786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249.8000000000001</v>
      </c>
      <c r="BZ67" s="14">
        <f>BY67*VLOOKUP('Données projet'!$B$12,Paramètres!$A$1:$I$89,3,0)*VLOOKUP('Données projet'!$B$12,Paramètres!$A$1:$I$89,5,0)</f>
        <v>163.66896000000006</v>
      </c>
      <c r="CA67" s="14">
        <f t="shared" si="39"/>
        <v>41.668964460385887</v>
      </c>
      <c r="CB67" s="22">
        <f t="shared" si="10"/>
        <v>357.63021843517214</v>
      </c>
      <c r="CC67" s="62">
        <f t="shared" si="11"/>
        <v>634.54352110410105</v>
      </c>
      <c r="CD67" s="62">
        <f ca="1">AVERAGE(OFFSET($CC$3,0,0,'Données projet'!$E$12+1,1))-AVERAGE(OFFSET($H$3,0,0,'Données projet'!$E$12+1,1))</f>
        <v>292.13851489852607</v>
      </c>
      <c r="CE67" s="62">
        <f t="shared" si="40"/>
        <v>280.10866188737418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65.521809818798786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-1.1368683772161603E-13</v>
      </c>
      <c r="CU67" s="18">
        <f>CT67*VLOOKUP('Données projet'!$B$13,Paramètres!$A$1:$I$89,3,0)*VLOOKUP('Données projet'!$B$13,Paramètres!$A$1:$I$89,5,0)</f>
        <v>-9.2222762759774927E-14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265.25572936607409</v>
      </c>
      <c r="CZ67" s="62">
        <f t="shared" si="42"/>
        <v>307.96244316129071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65.521809818798786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</v>
      </c>
      <c r="DO67" s="13">
        <f>IF('Données projet'!$A$166&gt;35,DO66+DN67-DW66,IF(A67&lt;'Données projet'!$A$166,$DL$205^A67,IF(A67='Données projet'!$A$166,'Données projet'!$B$166,DO66+DN67-DW66)))</f>
        <v>227.69230769230759</v>
      </c>
      <c r="DP67" s="18">
        <f>DO67*VLOOKUP('Données projet'!$B$14,Paramètres!$A$1:$I$89,3,0)*VLOOKUP('Données projet'!$B$14,Paramètres!$A$1:$I$89,5,0)</f>
        <v>216.67199999999991</v>
      </c>
      <c r="DQ67" s="14">
        <f t="shared" si="43"/>
        <v>53.390920929716366</v>
      </c>
      <c r="DR67" s="22">
        <f t="shared" si="16"/>
        <v>470.35958728592249</v>
      </c>
      <c r="DS67" s="62">
        <f t="shared" si="17"/>
        <v>747.27288995485139</v>
      </c>
      <c r="DT67" s="62">
        <f ca="1">AVERAGE(OFFSET($DS$3,0,0,'Données projet'!$E$14+1,1))-AVERAGE(OFFSET($H$3,0,0,'Données projet'!$E$14+1,1))</f>
        <v>425.41154182732936</v>
      </c>
      <c r="DU67" s="62">
        <f t="shared" si="44"/>
        <v>306.44721925744591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65.521809818798786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5.2399999999999975</v>
      </c>
      <c r="EJ67" s="13">
        <f>IF('Données projet'!$A$192&gt;35,EJ66+EI67-ER66,IF(A67&lt;'Données projet'!$A$192,$EG$205^A67,IF(A67='Données projet'!$A$192,'Données projet'!$B$192,EJ66+EI67-ER66)))</f>
        <v>300.75999999999988</v>
      </c>
      <c r="EK67" s="18">
        <f>EJ67*VLOOKUP('Données projet'!$B$15,Paramètres!$A$1:$I$89,3,0)*VLOOKUP('Données projet'!$B$15,Paramètres!$A$1:$I$89,5,0)</f>
        <v>220.51723199999989</v>
      </c>
      <c r="EL67" s="14">
        <f t="shared" si="45"/>
        <v>54.22728817140964</v>
      </c>
      <c r="EM67" s="22">
        <f t="shared" si="19"/>
        <v>478.51337263187162</v>
      </c>
      <c r="EN67" s="62">
        <f t="shared" si="20"/>
        <v>755.42667530080053</v>
      </c>
      <c r="EO67" s="62">
        <f ca="1">AVERAGE(OFFSET($EN$3,0,0,'Données projet'!$E$15+1,1))-AVERAGE(OFFSET($H$3,0,0,'Données projet'!$E$15+1,1))</f>
        <v>357.57626046668958</v>
      </c>
      <c r="EP67" s="62">
        <f t="shared" si="46"/>
        <v>386.90439522046199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65.521809818798786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8.6666666666666661</v>
      </c>
      <c r="FE67" s="13">
        <f>IF('Données projet'!$A$218&gt;35,FE66+FD67-FM66,IF(A67&lt;'Données projet'!$A$218,$FB$205^A67,IF(A67='Données projet'!$A$218,'Données projet'!$B$218,FE66+FD67-FM66)))</f>
        <v>284.66666666666669</v>
      </c>
      <c r="FF67" s="18">
        <f>FE67*VLOOKUP('Données projet'!$B$16,Paramètres!$A$1:$I$89,3,0)*VLOOKUP('Données projet'!$B$16,Paramètres!$A$1:$I$89,5,0)</f>
        <v>222.04000000000002</v>
      </c>
      <c r="FG67" s="14">
        <f t="shared" si="47"/>
        <v>54.558031180803596</v>
      </c>
      <c r="FH67" s="22">
        <f t="shared" si="22"/>
        <v>481.74157097323291</v>
      </c>
      <c r="FI67" s="62">
        <f t="shared" si="23"/>
        <v>758.65487364216187</v>
      </c>
      <c r="FJ67" s="62">
        <f ca="1">AVERAGE(OFFSET($FI$3,0,0,'Données projet'!$E$16+1,1))-AVERAGE(OFFSET($H$3,0,0,'Données projet'!$E$16+1,1))</f>
        <v>303.56663121833833</v>
      </c>
      <c r="FK67" s="62">
        <f t="shared" si="48"/>
        <v>293.97736357938038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65.521809818798786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5.2399999999999975</v>
      </c>
      <c r="FZ67" s="13">
        <f>IF('Données projet'!$A$244&gt;35,FZ66+FY67-GH66,IF(A67&lt;'Données projet'!$A$244,$FW$205^A67,IF(A67='Données projet'!$A$244,'Données projet'!$B$244,FZ66+FY67-GH66)))</f>
        <v>300.75999999999988</v>
      </c>
      <c r="GA67" s="18">
        <f>FZ67*VLOOKUP('Données projet'!$B$17,Paramètres!$A$1:$I$89,3,0)*VLOOKUP('Données projet'!$B$17,Paramètres!$A$1:$I$89,5,0)</f>
        <v>239.2846559999999</v>
      </c>
      <c r="GB67" s="14">
        <f t="shared" si="49"/>
        <v>58.285594007367486</v>
      </c>
      <c r="GC67" s="22">
        <f t="shared" si="25"/>
        <v>518.2681854294982</v>
      </c>
      <c r="GD67" s="62">
        <f t="shared" si="26"/>
        <v>795.18148809842705</v>
      </c>
      <c r="GE67" s="62">
        <f ca="1">AVERAGE(OFFSET($GD$3,0,0,'Données projet'!$E$17+1,1))-AVERAGE(OFFSET($H$3,0,0,'Données projet'!$E$17+1,1))</f>
        <v>383.71724511025587</v>
      </c>
      <c r="GF67" s="62">
        <f t="shared" si="50"/>
        <v>415.10774719533185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65.521809818798786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5.1282051282051331</v>
      </c>
      <c r="GU67" s="13">
        <f>IF('Données projet'!$A$270&gt;35,GU66+GT67-HC66,IF(A67&lt;'Données projet'!$A$270,$GR$205^A67,IF(A67='Données projet'!$A$270,'Données projet'!$B$270,GU66+GT67-HC66)))</f>
        <v>235.25641025641031</v>
      </c>
      <c r="GV67" s="18">
        <f>GU67*VLOOKUP('Données projet'!$B$18,Paramètres!$A$1:$I$89,3,0)*VLOOKUP('Données projet'!$B$18,Paramètres!$A$1:$I$89,5,0)</f>
        <v>157.81000000000003</v>
      </c>
      <c r="GW67" s="14">
        <f t="shared" si="51"/>
        <v>40.348159279539125</v>
      </c>
      <c r="GX67" s="22">
        <f t="shared" si="28"/>
        <v>345.12546074519736</v>
      </c>
      <c r="GY67" s="62">
        <f t="shared" si="29"/>
        <v>622.03876341412627</v>
      </c>
      <c r="GZ67" s="62">
        <f ca="1">AVERAGE(OFFSET($GY$3,0,0,'Données projet'!$E$18+1,1))-AVERAGE(OFFSET($H$3,0,0,'Données projet'!$E$18+1,1))</f>
        <v>329.93956600482801</v>
      </c>
      <c r="HA67" s="62">
        <f t="shared" si="52"/>
        <v>268.69186630599165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2.7450000000000001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10.065</v>
      </c>
      <c r="H68" s="70">
        <f t="shared" ref="H68:H131" si="56">(B68+E68+F68)*44/12+(C68+D68)*0.475*44/12</f>
        <v>216.40666666666667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65.59949640670925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2">
        <f t="shared" si="55"/>
        <v>895.8872393781794</v>
      </c>
      <c r="S68" s="62">
        <f ca="1">AVERAGE(OFFSET($R$3,0,0,'Données projet'!$E$9+1,1))-AVERAGE(OFFSET($H$3,0,0,'Données projet'!$E$9+1,1))</f>
        <v>551.67307965706379</v>
      </c>
      <c r="T68" s="62">
        <f t="shared" si="34"/>
        <v>288.70738860523943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65.59949640670925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317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317</v>
      </c>
      <c r="AJ68" s="14">
        <f>AI68*VLOOKUP('Données projet'!$B$10,Paramètres!$A$1:$I$89,3,0)*VLOOKUP('Données projet'!$B$10,Paramètres!$A$1:$I$89,5,0)</f>
        <v>267.04080000000005</v>
      </c>
      <c r="AK68" s="14">
        <f t="shared" si="35"/>
        <v>64.220850124833518</v>
      </c>
      <c r="AL68" s="22">
        <f t="shared" ref="AL68:AL131" si="58">(AJ68+AK68)*0.475*44/12</f>
        <v>576.94737396741846</v>
      </c>
      <c r="AM68" s="62">
        <f t="shared" ref="AM68:AM131" si="59">AL68+(AD68+AE68)*44/12</f>
        <v>854.14552745868571</v>
      </c>
      <c r="AN68" s="62">
        <f ca="1">AVERAGE(OFFSET($AM$3,0,0,'Données projet'!$E$10+1,1))-AVERAGE(OFFSET($H$3,0,0,'Données projet'!$E$10+1,1))</f>
        <v>518.18933270904506</v>
      </c>
      <c r="AO68" s="62">
        <f t="shared" si="36"/>
        <v>272.44431899810411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56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65.59949640670925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13.777777777777779</v>
      </c>
      <c r="BD68" s="13">
        <f>IF('Données projet'!$A$88&gt;35,BD67+BC68-BL67,IF(A68&lt;'Données projet'!$A$88,$BA$205^A68,IF(A68='Données projet'!$A$88,'Données projet'!$B$88,BD67+BC68-BL67)))</f>
        <v>302.88888888888869</v>
      </c>
      <c r="BE68" s="14">
        <f>BD68*VLOOKUP('Données projet'!$B$11,Paramètres!$A$1:$I$89,3,0)*VLOOKUP('Données projet'!$B$11,Paramètres!$A$1:$I$89,5,0)</f>
        <v>259.8786666666665</v>
      </c>
      <c r="BF68" s="14">
        <f t="shared" si="37"/>
        <v>62.69651389011603</v>
      </c>
      <c r="BG68" s="22">
        <f t="shared" ref="BG68:BG131" si="61">(BE68+BF68)*0.475*44/12</f>
        <v>561.81843946972958</v>
      </c>
      <c r="BH68" s="62">
        <f t="shared" ref="BH68:BH131" si="62">BG68+(AY68+AZ68)*44/12</f>
        <v>839.01659296099683</v>
      </c>
      <c r="BI68" s="62">
        <f ca="1">AVERAGE(OFFSET($BH$3,0,0,'Données projet'!$E$11+1,1))-AVERAGE(OFFSET($H$3,0,0,'Données projet'!$E$11+1,1))</f>
        <v>464.73160475167867</v>
      </c>
      <c r="BJ68" s="62">
        <f t="shared" si="38"/>
        <v>241.31968359962227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65.59949640670925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255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255.00000000000009</v>
      </c>
      <c r="BZ68" s="14">
        <f>BY68*VLOOKUP('Données projet'!$B$12,Paramètres!$A$1:$I$89,3,0)*VLOOKUP('Données projet'!$B$12,Paramètres!$A$1:$I$89,5,0)</f>
        <v>167.07600000000005</v>
      </c>
      <c r="CA68" s="14">
        <f t="shared" si="39"/>
        <v>42.434485059621672</v>
      </c>
      <c r="CB68" s="22">
        <f t="shared" ref="CB68:CB131" si="64">(BZ68+CA68)*0.475*44/12</f>
        <v>364.89742814550777</v>
      </c>
      <c r="CC68" s="62">
        <f t="shared" ref="CC68:CC131" si="65">CB68+(BT68+BU68)*44/12</f>
        <v>642.09558163677502</v>
      </c>
      <c r="CD68" s="62">
        <f ca="1">AVERAGE(OFFSET($CC$3,0,0,'Données projet'!$E$12+1,1))-AVERAGE(OFFSET($H$3,0,0,'Données projet'!$E$12+1,1))</f>
        <v>292.13851489852607</v>
      </c>
      <c r="CE68" s="62">
        <f t="shared" si="40"/>
        <v>280.10866188737418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42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65.59949640670925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-1.1368683772161603E-13</v>
      </c>
      <c r="CU68" s="18">
        <f>CT68*VLOOKUP('Données projet'!$B$13,Paramètres!$A$1:$I$89,3,0)*VLOOKUP('Données projet'!$B$13,Paramètres!$A$1:$I$89,5,0)</f>
        <v>-9.2222762759774927E-14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265.25572936607409</v>
      </c>
      <c r="CZ68" s="62">
        <f t="shared" si="42"/>
        <v>307.96244316129071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65.59949640670925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232.69230769230768</v>
      </c>
      <c r="DM68" s="13">
        <f>VLOOKUP(A68,'Données projet'!$A$165:$I$185,9,0)</f>
        <v>5</v>
      </c>
      <c r="DN68" s="13">
        <f t="array" ref="DN68">INDEX(DM:DM,MIN(IF(ISNUMBER(DM68:DM264),ROW(DM68:DM264),"")))</f>
        <v>5</v>
      </c>
      <c r="DO68" s="13">
        <f>IF('Données projet'!$A$166&gt;35,DO67+DN68-DW67,IF(A68&lt;'Données projet'!$A$166,$DL$205^A68,IF(A68='Données projet'!$A$166,'Données projet'!$B$166,DO67+DN68-DW67)))</f>
        <v>232.69230769230759</v>
      </c>
      <c r="DP68" s="18">
        <f>DO68*VLOOKUP('Données projet'!$B$14,Paramètres!$A$1:$I$89,3,0)*VLOOKUP('Données projet'!$B$14,Paramètres!$A$1:$I$89,5,0)</f>
        <v>221.42999999999989</v>
      </c>
      <c r="DQ68" s="14">
        <f t="shared" si="43"/>
        <v>54.425571861733111</v>
      </c>
      <c r="DR68" s="22">
        <f t="shared" ref="DR68:DR131" si="70">(DP68+DQ68)*0.475*44/12</f>
        <v>480.44845432585157</v>
      </c>
      <c r="DS68" s="62">
        <f t="shared" ref="DS68:DS131" si="71">DR68+(DJ68+DK68)*44/12</f>
        <v>757.64660781711882</v>
      </c>
      <c r="DT68" s="62">
        <f ca="1">AVERAGE(OFFSET($DS$3,0,0,'Données projet'!$E$14+1,1))-AVERAGE(OFFSET($H$3,0,0,'Données projet'!$E$14+1,1))</f>
        <v>425.41154182732936</v>
      </c>
      <c r="DU68" s="62">
        <f t="shared" si="44"/>
        <v>306.44721925744591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32.692307692307693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65.59949640670925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306</v>
      </c>
      <c r="EH68" s="13">
        <f>VLOOKUP(A68,'Données projet'!$A$191:$I$211,9,0)</f>
        <v>5.2399999999999975</v>
      </c>
      <c r="EI68" s="13">
        <f t="array" ref="EI68">INDEX(EH:EH,MIN(IF(ISNUMBER(EH68:EH264),ROW(EH68:EH264),"")))</f>
        <v>5.2399999999999975</v>
      </c>
      <c r="EJ68" s="13">
        <f>IF('Données projet'!$A$192&gt;35,EJ67+EI68-ER67,IF(A68&lt;'Données projet'!$A$192,$EG$205^A68,IF(A68='Données projet'!$A$192,'Données projet'!$B$192,EJ67+EI68-ER67)))</f>
        <v>305.99999999999989</v>
      </c>
      <c r="EK68" s="18">
        <f>EJ68*VLOOKUP('Données projet'!$B$15,Paramètres!$A$1:$I$89,3,0)*VLOOKUP('Données projet'!$B$15,Paramètres!$A$1:$I$89,5,0)</f>
        <v>224.3591999999999</v>
      </c>
      <c r="EL68" s="14">
        <f t="shared" si="45"/>
        <v>55.061251669487255</v>
      </c>
      <c r="EM68" s="22">
        <f t="shared" ref="EM68:EM131" si="73">(EK68+EL68)*0.475*44/12</f>
        <v>486.65728665769001</v>
      </c>
      <c r="EN68" s="62">
        <f t="shared" ref="EN68:EN131" si="74">EM68+(EE68+EF68)*44/12</f>
        <v>763.85544014895731</v>
      </c>
      <c r="EO68" s="62">
        <f ca="1">AVERAGE(OFFSET($EN$3,0,0,'Données projet'!$E$15+1,1))-AVERAGE(OFFSET($H$3,0,0,'Données projet'!$E$15+1,1))</f>
        <v>357.57626046668958</v>
      </c>
      <c r="EP68" s="62">
        <f t="shared" si="46"/>
        <v>386.90439522046199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65.59949640670925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8.6666666666666661</v>
      </c>
      <c r="FE68" s="13">
        <f>IF('Données projet'!$A$218&gt;35,FE67+FD68-FM67,IF(A68&lt;'Données projet'!$A$218,$FB$205^A68,IF(A68='Données projet'!$A$218,'Données projet'!$B$218,FE67+FD68-FM67)))</f>
        <v>293.33333333333337</v>
      </c>
      <c r="FF68" s="18">
        <f>FE68*VLOOKUP('Données projet'!$B$16,Paramètres!$A$1:$I$89,3,0)*VLOOKUP('Données projet'!$B$16,Paramètres!$A$1:$I$89,5,0)</f>
        <v>228.80000000000004</v>
      </c>
      <c r="FG68" s="14">
        <f t="shared" si="47"/>
        <v>56.023134533701196</v>
      </c>
      <c r="FH68" s="22">
        <f t="shared" ref="FH68:FH131" si="76">(FF68+FG68)*0.475*44/12</f>
        <v>496.06695931286299</v>
      </c>
      <c r="FI68" s="62">
        <f t="shared" ref="FI68:FI131" si="77">FH68+(EZ68+FA68)*44/12</f>
        <v>773.26511280413024</v>
      </c>
      <c r="FJ68" s="62">
        <f ca="1">AVERAGE(OFFSET($FI$3,0,0,'Données projet'!$E$16+1,1))-AVERAGE(OFFSET($H$3,0,0,'Données projet'!$E$16+1,1))</f>
        <v>303.56663121833833</v>
      </c>
      <c r="FK68" s="62">
        <f t="shared" si="48"/>
        <v>293.97736357938038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65.59949640670925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306</v>
      </c>
      <c r="FX68" s="13">
        <f>VLOOKUP(A68,'Données projet'!$A$243:$I$263,9,0)</f>
        <v>5.2399999999999975</v>
      </c>
      <c r="FY68" s="13">
        <f t="array" ref="FY68">INDEX(FX:FX,MIN(IF(ISNUMBER(FX68:FX264),ROW(FX68:FX264),"")))</f>
        <v>5.2399999999999975</v>
      </c>
      <c r="FZ68" s="13">
        <f>IF('Données projet'!$A$244&gt;35,FZ67+FY68-GH67,IF(A68&lt;'Données projet'!$A$244,$FW$205^A68,IF(A68='Données projet'!$A$244,'Données projet'!$B$244,FZ67+FY68-GH67)))</f>
        <v>305.99999999999989</v>
      </c>
      <c r="GA68" s="18">
        <f>FZ68*VLOOKUP('Données projet'!$B$17,Paramètres!$A$1:$I$89,3,0)*VLOOKUP('Données projet'!$B$17,Paramètres!$A$1:$I$89,5,0)</f>
        <v>243.45359999999991</v>
      </c>
      <c r="GB68" s="14">
        <f t="shared" si="49"/>
        <v>59.181970343065267</v>
      </c>
      <c r="GC68" s="22">
        <f t="shared" ref="GC68:GC131" si="79">(GA68+GB68)*0.475*44/12</f>
        <v>527.09028501417185</v>
      </c>
      <c r="GD68" s="62">
        <f t="shared" ref="GD68:GD131" si="80">GC68+(FU68+FV68)*44/12</f>
        <v>804.2884385054391</v>
      </c>
      <c r="GE68" s="62">
        <f ca="1">AVERAGE(OFFSET($GD$3,0,0,'Données projet'!$E$17+1,1))-AVERAGE(OFFSET($H$3,0,0,'Données projet'!$E$17+1,1))</f>
        <v>383.71724511025587</v>
      </c>
      <c r="GF68" s="62">
        <f t="shared" si="50"/>
        <v>415.10774719533185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65.59949640670925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240.38461538461539</v>
      </c>
      <c r="GS68" s="13">
        <f>VLOOKUP(A68,'Données projet'!$A$269:$I$289,9,0)</f>
        <v>5.1282051282051331</v>
      </c>
      <c r="GT68" s="13">
        <f t="array" ref="GT68">INDEX(GS:GS,MIN(IF(ISNUMBER(GS68:GS264),ROW(GS68:GS264),"")))</f>
        <v>5.1282051282051331</v>
      </c>
      <c r="GU68" s="13">
        <f>IF('Données projet'!$A$270&gt;35,GU67+GT68-HC67,IF(A68&lt;'Données projet'!$A$270,$GR$205^A68,IF(A68='Données projet'!$A$270,'Données projet'!$B$270,GU67+GT68-HC67)))</f>
        <v>240.38461538461544</v>
      </c>
      <c r="GV68" s="18">
        <f>GU68*VLOOKUP('Données projet'!$B$18,Paramètres!$A$1:$I$89,3,0)*VLOOKUP('Données projet'!$B$18,Paramètres!$A$1:$I$89,5,0)</f>
        <v>161.25000000000006</v>
      </c>
      <c r="GW68" s="14">
        <f t="shared" si="51"/>
        <v>41.124328571986439</v>
      </c>
      <c r="GX68" s="22">
        <f t="shared" ref="GX68:GX131" si="82">(GV68+GW68)*0.475*44/12</f>
        <v>352.46862226287652</v>
      </c>
      <c r="GY68" s="62">
        <f t="shared" ref="GY68:GY131" si="83">GX68+(GP68+GQ68)*44/12</f>
        <v>629.66677575414383</v>
      </c>
      <c r="GZ68" s="62">
        <f ca="1">AVERAGE(OFFSET($GY$3,0,0,'Données projet'!$E$18+1,1))-AVERAGE(OFFSET($H$3,0,0,'Données projet'!$E$18+1,1))</f>
        <v>329.93956600482801</v>
      </c>
      <c r="HA68" s="62">
        <f t="shared" si="52"/>
        <v>268.69186630599165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2.7450000000000001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10.065</v>
      </c>
      <c r="H69" s="70">
        <f t="shared" si="56"/>
        <v>216.40666666666667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65.67583530600065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804.81919248107931</v>
      </c>
      <c r="S69" s="62">
        <f ca="1">AVERAGE(OFFSET($R$3,0,0,'Données projet'!$E$9+1,1))-AVERAGE(OFFSET($H$3,0,0,'Données projet'!$E$9+1,1))</f>
        <v>551.67307965706379</v>
      </c>
      <c r="T69" s="62">
        <f t="shared" ref="T69:T132" si="88">$T$3</f>
        <v>288.70738860523943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65.67583530600065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226.77408</v>
      </c>
      <c r="AK69" s="14">
        <f t="shared" ref="AK69:AK132" si="89">EXP(-1.0587+0.8836*LN(AJ69)+0.284)</f>
        <v>55.584589827360034</v>
      </c>
      <c r="AL69" s="22">
        <f t="shared" si="58"/>
        <v>491.77468328265195</v>
      </c>
      <c r="AM69" s="62">
        <f t="shared" si="59"/>
        <v>769.25274607132098</v>
      </c>
      <c r="AN69" s="62">
        <f ca="1">AVERAGE(OFFSET($AM$3,0,0,'Données projet'!$E$10+1,1))-AVERAGE(OFFSET($H$3,0,0,'Données projet'!$E$10+1,1))</f>
        <v>518.18933270904506</v>
      </c>
      <c r="AO69" s="62">
        <f t="shared" ref="AO69:AO132" si="90">$AO$3</f>
        <v>272.44431899810411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65.67583530600065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13.777777777777779</v>
      </c>
      <c r="BD69" s="13">
        <f>IF('Données projet'!$A$88&gt;35,BD68+BC69-BL68,IF(A69&lt;'Données projet'!$A$88,$BA$205^A69,IF(A69='Données projet'!$A$88,'Données projet'!$B$88,BD68+BC69-BL68)))</f>
        <v>316.66666666666646</v>
      </c>
      <c r="BE69" s="14">
        <f>BD69*VLOOKUP('Données projet'!$B$11,Paramètres!$A$1:$I$89,3,0)*VLOOKUP('Données projet'!$B$11,Paramètres!$A$1:$I$89,5,0)</f>
        <v>271.69999999999987</v>
      </c>
      <c r="BF69" s="14">
        <f t="shared" ref="BF69:BF132" si="91">EXP(-1.0587+0.8836*LN(BE69)+0.284)</f>
        <v>65.209920294809322</v>
      </c>
      <c r="BG69" s="22">
        <f t="shared" si="61"/>
        <v>586.78477784679262</v>
      </c>
      <c r="BH69" s="62">
        <f t="shared" si="62"/>
        <v>864.26284063546166</v>
      </c>
      <c r="BI69" s="62">
        <f ca="1">AVERAGE(OFFSET($BH$3,0,0,'Données projet'!$E$11+1,1))-AVERAGE(OFFSET($H$3,0,0,'Données projet'!$E$11+1,1))</f>
        <v>464.73160475167867</v>
      </c>
      <c r="BJ69" s="62">
        <f t="shared" ref="BJ69:BJ132" si="92">$BJ$3</f>
        <v>241.31968359962227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65.67583530600065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4.8</v>
      </c>
      <c r="BY69" s="13">
        <f>IF('Données projet'!$A$114&gt;35,BY68+BX69-CG68,IF(A69&lt;'Données projet'!$A$114,$BV$205^A69,IF(A69='Données projet'!$A$114,'Données projet'!$B$114,BY68+BX69-CG68)))</f>
        <v>217.80000000000007</v>
      </c>
      <c r="BZ69" s="14">
        <f>BY69*VLOOKUP('Données projet'!$B$12,Paramètres!$A$1:$I$89,3,0)*VLOOKUP('Données projet'!$B$12,Paramètres!$A$1:$I$89,5,0)</f>
        <v>142.70256000000003</v>
      </c>
      <c r="CA69" s="14">
        <f t="shared" ref="CA69:CA132" si="93">EXP(-1.0587+0.8836*LN(BZ69)+0.284)</f>
        <v>36.91543341153259</v>
      </c>
      <c r="CB69" s="22">
        <f t="shared" si="64"/>
        <v>312.83467185841931</v>
      </c>
      <c r="CC69" s="62">
        <f t="shared" si="65"/>
        <v>590.31273464708829</v>
      </c>
      <c r="CD69" s="62">
        <f ca="1">AVERAGE(OFFSET($CC$3,0,0,'Données projet'!$E$12+1,1))-AVERAGE(OFFSET($H$3,0,0,'Données projet'!$E$12+1,1))</f>
        <v>292.13851489852607</v>
      </c>
      <c r="CE69" s="62">
        <f t="shared" ref="CE69:CE132" si="94">$CE$3</f>
        <v>280.10866188737418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65.67583530600065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-1.1368683772161603E-13</v>
      </c>
      <c r="CU69" s="18">
        <f>CT69*VLOOKUP('Données projet'!$B$13,Paramètres!$A$1:$I$89,3,0)*VLOOKUP('Données projet'!$B$13,Paramètres!$A$1:$I$89,5,0)</f>
        <v>-9.2222762759774927E-14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265.25572936607409</v>
      </c>
      <c r="CZ69" s="62">
        <f t="shared" ref="CZ69:CZ132" si="96">$CZ$3</f>
        <v>307.96244316129071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65.67583530600065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4.7435897435897401</v>
      </c>
      <c r="DO69" s="13">
        <f>IF('Données projet'!$A$166&gt;35,DO68+DN69-DW68,IF(A69&lt;'Données projet'!$A$166,$DL$205^A69,IF(A69='Données projet'!$A$166,'Données projet'!$B$166,DO68+DN69-DW68)))</f>
        <v>204.74358974358967</v>
      </c>
      <c r="DP69" s="18">
        <f>DO69*VLOOKUP('Données projet'!$B$14,Paramètres!$A$1:$I$89,3,0)*VLOOKUP('Données projet'!$B$14,Paramètres!$A$1:$I$89,5,0)</f>
        <v>194.83399999999995</v>
      </c>
      <c r="DQ69" s="14">
        <f t="shared" ref="DQ69:DQ132" si="97">EXP(-1.0587+0.8836*LN(DP69)+0.284)</f>
        <v>48.607113902081203</v>
      </c>
      <c r="DR69" s="22">
        <f t="shared" si="70"/>
        <v>423.993273379458</v>
      </c>
      <c r="DS69" s="62">
        <f t="shared" si="71"/>
        <v>701.47133616812698</v>
      </c>
      <c r="DT69" s="62">
        <f ca="1">AVERAGE(OFFSET($DS$3,0,0,'Données projet'!$E$14+1,1))-AVERAGE(OFFSET($H$3,0,0,'Données projet'!$E$14+1,1))</f>
        <v>425.41154182732936</v>
      </c>
      <c r="DU69" s="62">
        <f t="shared" ref="DU69:DU132" si="98">$DU$3</f>
        <v>306.44721925744591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65.67583530600065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4.5</v>
      </c>
      <c r="EJ69" s="13">
        <f>IF('Données projet'!$A$192&gt;35,EJ68+EI69-ER68,IF(A69&lt;'Données projet'!$A$192,$EG$205^A69,IF(A69='Données projet'!$A$192,'Données projet'!$B$192,EJ68+EI69-ER68)))</f>
        <v>310.49999999999989</v>
      </c>
      <c r="EK69" s="18">
        <f>EJ69*VLOOKUP('Données projet'!$B$15,Paramètres!$A$1:$I$89,3,0)*VLOOKUP('Données projet'!$B$15,Paramètres!$A$1:$I$89,5,0)</f>
        <v>227.65859999999992</v>
      </c>
      <c r="EL69" s="14">
        <f t="shared" ref="EL69:EL132" si="99">EXP(-1.0587+0.8836*LN(EK69)+0.284)</f>
        <v>55.776115016621809</v>
      </c>
      <c r="EM69" s="22">
        <f t="shared" si="73"/>
        <v>493.64879532061622</v>
      </c>
      <c r="EN69" s="62">
        <f t="shared" si="74"/>
        <v>771.12685810928519</v>
      </c>
      <c r="EO69" s="62">
        <f ca="1">AVERAGE(OFFSET($EN$3,0,0,'Données projet'!$E$15+1,1))-AVERAGE(OFFSET($H$3,0,0,'Données projet'!$E$15+1,1))</f>
        <v>357.57626046668958</v>
      </c>
      <c r="EP69" s="62">
        <f t="shared" ref="EP69:EP132" si="100">$EP$3</f>
        <v>386.90439522046199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65.67583530600065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8.6666666666666661</v>
      </c>
      <c r="FE69" s="13">
        <f>IF('Données projet'!$A$218&gt;35,FE68+FD69-FM68,IF(A69&lt;'Données projet'!$A$218,$FB$205^A69,IF(A69='Données projet'!$A$218,'Données projet'!$B$218,FE68+FD69-FM68)))</f>
        <v>302.00000000000006</v>
      </c>
      <c r="FF69" s="18">
        <f>FE69*VLOOKUP('Données projet'!$B$16,Paramètres!$A$1:$I$89,3,0)*VLOOKUP('Données projet'!$B$16,Paramètres!$A$1:$I$89,5,0)</f>
        <v>235.56000000000006</v>
      </c>
      <c r="FG69" s="14">
        <f t="shared" ref="FG69:FG132" si="101">EXP(-1.0587+0.8836*LN(FF69)+0.284)</f>
        <v>57.483207143847771</v>
      </c>
      <c r="FH69" s="22">
        <f t="shared" si="76"/>
        <v>510.38358577553487</v>
      </c>
      <c r="FI69" s="62">
        <f t="shared" si="77"/>
        <v>787.86164856420396</v>
      </c>
      <c r="FJ69" s="62">
        <f ca="1">AVERAGE(OFFSET($FI$3,0,0,'Données projet'!$E$16+1,1))-AVERAGE(OFFSET($H$3,0,0,'Données projet'!$E$16+1,1))</f>
        <v>303.56663121833833</v>
      </c>
      <c r="FK69" s="62">
        <f t="shared" ref="FK69:FK132" si="102">$FK$3</f>
        <v>293.97736357938038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65.67583530600065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4.5</v>
      </c>
      <c r="FZ69" s="13">
        <f>IF('Données projet'!$A$244&gt;35,FZ68+FY69-GH68,IF(A69&lt;'Données projet'!$A$244,$FW$205^A69,IF(A69='Données projet'!$A$244,'Données projet'!$B$244,FZ68+FY69-GH68)))</f>
        <v>310.49999999999989</v>
      </c>
      <c r="GA69" s="18">
        <f>FZ69*VLOOKUP('Données projet'!$B$17,Paramètres!$A$1:$I$89,3,0)*VLOOKUP('Données projet'!$B$17,Paramètres!$A$1:$I$89,5,0)</f>
        <v>247.0337999999999</v>
      </c>
      <c r="GB69" s="14">
        <f t="shared" ref="GB69:GB132" si="103">EXP(-1.0587+0.8836*LN(GA69)+0.284)</f>
        <v>59.950333213989722</v>
      </c>
      <c r="GC69" s="22">
        <f t="shared" si="79"/>
        <v>534.66403201436515</v>
      </c>
      <c r="GD69" s="62">
        <f t="shared" si="80"/>
        <v>812.14209480303418</v>
      </c>
      <c r="GE69" s="62">
        <f ca="1">AVERAGE(OFFSET($GD$3,0,0,'Données projet'!$E$17+1,1))-AVERAGE(OFFSET($H$3,0,0,'Données projet'!$E$17+1,1))</f>
        <v>383.71724511025587</v>
      </c>
      <c r="GF69" s="62">
        <f t="shared" ref="GF69:GF132" si="104">$GF$3</f>
        <v>415.10774719533185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65.67583530600065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4.9999999999999947</v>
      </c>
      <c r="GU69" s="13">
        <f>IF('Données projet'!$A$270&gt;35,GU68+GT69-HC68,IF(A69&lt;'Données projet'!$A$270,$GR$205^A69,IF(A69='Données projet'!$A$270,'Données projet'!$B$270,GU68+GT69-HC68)))</f>
        <v>245.38461538461544</v>
      </c>
      <c r="GV69" s="18">
        <f>GU69*VLOOKUP('Données projet'!$B$18,Paramètres!$A$1:$I$89,3,0)*VLOOKUP('Données projet'!$B$18,Paramètres!$A$1:$I$89,5,0)</f>
        <v>164.60400000000004</v>
      </c>
      <c r="GW69" s="14">
        <f t="shared" ref="GW69:GW132" si="105">EXP(-1.0587+0.8836*LN(GV69)+0.284)</f>
        <v>41.879239712742802</v>
      </c>
      <c r="GX69" s="22">
        <f t="shared" si="82"/>
        <v>359.62497583302707</v>
      </c>
      <c r="GY69" s="62">
        <f t="shared" si="83"/>
        <v>637.1030386216961</v>
      </c>
      <c r="GZ69" s="62">
        <f ca="1">AVERAGE(OFFSET($GY$3,0,0,'Données projet'!$E$18+1,1))-AVERAGE(OFFSET($H$3,0,0,'Données projet'!$E$18+1,1))</f>
        <v>329.93956600482801</v>
      </c>
      <c r="HA69" s="62">
        <f t="shared" ref="HA69:HA132" si="106">$HA$3</f>
        <v>268.69186630599165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2.7450000000000001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10.065</v>
      </c>
      <c r="H70" s="70">
        <f t="shared" si="56"/>
        <v>216.40666666666667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65.750849896057559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820.78689777855095</v>
      </c>
      <c r="S70" s="62">
        <f ca="1">AVERAGE(OFFSET($R$3,0,0,'Données projet'!$E$9+1,1))-AVERAGE(OFFSET($H$3,0,0,'Données projet'!$E$9+1,1))</f>
        <v>551.67307965706379</v>
      </c>
      <c r="T70" s="62">
        <f t="shared" si="88"/>
        <v>288.70738860523943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65.750849896057559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233.68176</v>
      </c>
      <c r="AK70" s="14">
        <f t="shared" si="89"/>
        <v>57.078026837098335</v>
      </c>
      <c r="AL70" s="22">
        <f t="shared" si="58"/>
        <v>506.40662874127952</v>
      </c>
      <c r="AM70" s="62">
        <f t="shared" si="59"/>
        <v>784.15974502682388</v>
      </c>
      <c r="AN70" s="62">
        <f ca="1">AVERAGE(OFFSET($AM$3,0,0,'Données projet'!$E$10+1,1))-AVERAGE(OFFSET($H$3,0,0,'Données projet'!$E$10+1,1))</f>
        <v>518.18933270904506</v>
      </c>
      <c r="AO70" s="62">
        <f t="shared" si="90"/>
        <v>272.44431899810411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65.750849896057559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13.777777777777779</v>
      </c>
      <c r="BD70" s="13">
        <f>IF('Données projet'!$A$88&gt;35,BD69+BC70-BL69,IF(A70&lt;'Données projet'!$A$88,$BA$205^A70,IF(A70='Données projet'!$A$88,'Données projet'!$B$88,BD69+BC70-BL69)))</f>
        <v>330.44444444444423</v>
      </c>
      <c r="BE70" s="14">
        <f>BD70*VLOOKUP('Données projet'!$B$11,Paramètres!$A$1:$I$89,3,0)*VLOOKUP('Données projet'!$B$11,Paramètres!$A$1:$I$89,5,0)</f>
        <v>283.52133333333319</v>
      </c>
      <c r="BF70" s="14">
        <f t="shared" si="91"/>
        <v>67.71062569759917</v>
      </c>
      <c r="BG70" s="22">
        <f t="shared" si="61"/>
        <v>611.72899531220708</v>
      </c>
      <c r="BH70" s="62">
        <f t="shared" si="62"/>
        <v>889.48211159775144</v>
      </c>
      <c r="BI70" s="62">
        <f ca="1">AVERAGE(OFFSET($BH$3,0,0,'Données projet'!$E$11+1,1))-AVERAGE(OFFSET($H$3,0,0,'Données projet'!$E$11+1,1))</f>
        <v>464.73160475167867</v>
      </c>
      <c r="BJ70" s="62">
        <f t="shared" si="92"/>
        <v>241.31968359962227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65.750849896057559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4.8</v>
      </c>
      <c r="BY70" s="13">
        <f>IF('Données projet'!$A$114&gt;35,BY69+BX70-CG69,IF(A70&lt;'Données projet'!$A$114,$BV$205^A70,IF(A70='Données projet'!$A$114,'Données projet'!$B$114,BY69+BX70-CG69)))</f>
        <v>222.60000000000008</v>
      </c>
      <c r="BZ70" s="14">
        <f>BY70*VLOOKUP('Données projet'!$B$12,Paramètres!$A$1:$I$89,3,0)*VLOOKUP('Données projet'!$B$12,Paramètres!$A$1:$I$89,5,0)</f>
        <v>145.84752000000006</v>
      </c>
      <c r="CA70" s="14">
        <f t="shared" si="93"/>
        <v>37.633383344887093</v>
      </c>
      <c r="CB70" s="22">
        <f t="shared" si="64"/>
        <v>319.56257332567844</v>
      </c>
      <c r="CC70" s="62">
        <f t="shared" si="65"/>
        <v>597.31568961122275</v>
      </c>
      <c r="CD70" s="62">
        <f ca="1">AVERAGE(OFFSET($CC$3,0,0,'Données projet'!$E$12+1,1))-AVERAGE(OFFSET($H$3,0,0,'Données projet'!$E$12+1,1))</f>
        <v>292.13851489852607</v>
      </c>
      <c r="CE70" s="62">
        <f t="shared" si="94"/>
        <v>280.10866188737418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65.750849896057559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-1.1368683772161603E-13</v>
      </c>
      <c r="CU70" s="18">
        <f>CT70*VLOOKUP('Données projet'!$B$13,Paramètres!$A$1:$I$89,3,0)*VLOOKUP('Données projet'!$B$13,Paramètres!$A$1:$I$89,5,0)</f>
        <v>-9.2222762759774927E-14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265.25572936607409</v>
      </c>
      <c r="CZ70" s="62">
        <f t="shared" si="96"/>
        <v>307.96244316129071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65.750849896057559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4.7435897435897401</v>
      </c>
      <c r="DO70" s="13">
        <f>IF('Données projet'!$A$166&gt;35,DO69+DN70-DW69,IF(A70&lt;'Données projet'!$A$166,$DL$205^A70,IF(A70='Données projet'!$A$166,'Données projet'!$B$166,DO69+DN70-DW69)))</f>
        <v>209.48717948717942</v>
      </c>
      <c r="DP70" s="18">
        <f>DO70*VLOOKUP('Données projet'!$B$14,Paramètres!$A$1:$I$89,3,0)*VLOOKUP('Données projet'!$B$14,Paramètres!$A$1:$I$89,5,0)</f>
        <v>199.34799999999993</v>
      </c>
      <c r="DQ70" s="14">
        <f t="shared" si="97"/>
        <v>49.600850639748678</v>
      </c>
      <c r="DR70" s="22">
        <f t="shared" si="70"/>
        <v>433.58591486422876</v>
      </c>
      <c r="DS70" s="62">
        <f t="shared" si="71"/>
        <v>711.33903114977306</v>
      </c>
      <c r="DT70" s="62">
        <f ca="1">AVERAGE(OFFSET($DS$3,0,0,'Données projet'!$E$14+1,1))-AVERAGE(OFFSET($H$3,0,0,'Données projet'!$E$14+1,1))</f>
        <v>425.41154182732936</v>
      </c>
      <c r="DU70" s="62">
        <f t="shared" si="98"/>
        <v>306.44721925744591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65.750849896057559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4.5</v>
      </c>
      <c r="EJ70" s="13">
        <f>IF('Données projet'!$A$192&gt;35,EJ69+EI70-ER69,IF(A70&lt;'Données projet'!$A$192,$EG$205^A70,IF(A70='Données projet'!$A$192,'Données projet'!$B$192,EJ69+EI70-ER69)))</f>
        <v>314.99999999999989</v>
      </c>
      <c r="EK70" s="18">
        <f>EJ70*VLOOKUP('Données projet'!$B$15,Paramètres!$A$1:$I$89,3,0)*VLOOKUP('Données projet'!$B$15,Paramètres!$A$1:$I$89,5,0)</f>
        <v>230.95799999999988</v>
      </c>
      <c r="EL70" s="14">
        <f t="shared" si="99"/>
        <v>56.489773392384429</v>
      </c>
      <c r="EM70" s="22">
        <f t="shared" si="73"/>
        <v>500.63820532506929</v>
      </c>
      <c r="EN70" s="62">
        <f t="shared" si="74"/>
        <v>778.39132161061366</v>
      </c>
      <c r="EO70" s="62">
        <f ca="1">AVERAGE(OFFSET($EN$3,0,0,'Données projet'!$E$15+1,1))-AVERAGE(OFFSET($H$3,0,0,'Données projet'!$E$15+1,1))</f>
        <v>357.57626046668958</v>
      </c>
      <c r="EP70" s="62">
        <f t="shared" si="100"/>
        <v>386.90439522046199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65.750849896057559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8.6666666666666661</v>
      </c>
      <c r="FE70" s="13">
        <f>IF('Données projet'!$A$218&gt;35,FE69+FD70-FM69,IF(A70&lt;'Données projet'!$A$218,$FB$205^A70,IF(A70='Données projet'!$A$218,'Données projet'!$B$218,FE69+FD70-FM69)))</f>
        <v>310.66666666666674</v>
      </c>
      <c r="FF70" s="18">
        <f>FE70*VLOOKUP('Données projet'!$B$16,Paramètres!$A$1:$I$89,3,0)*VLOOKUP('Données projet'!$B$16,Paramètres!$A$1:$I$89,5,0)</f>
        <v>242.32000000000008</v>
      </c>
      <c r="FG70" s="14">
        <f t="shared" si="101"/>
        <v>58.938409961900909</v>
      </c>
      <c r="FH70" s="22">
        <f t="shared" si="76"/>
        <v>524.69173068364421</v>
      </c>
      <c r="FI70" s="62">
        <f t="shared" si="77"/>
        <v>802.44484696918857</v>
      </c>
      <c r="FJ70" s="62">
        <f ca="1">AVERAGE(OFFSET($FI$3,0,0,'Données projet'!$E$16+1,1))-AVERAGE(OFFSET($H$3,0,0,'Données projet'!$E$16+1,1))</f>
        <v>303.56663121833833</v>
      </c>
      <c r="FK70" s="62">
        <f t="shared" si="102"/>
        <v>293.97736357938038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65.750849896057559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4.5</v>
      </c>
      <c r="FZ70" s="13">
        <f>IF('Données projet'!$A$244&gt;35,FZ69+FY70-GH69,IF(A70&lt;'Données projet'!$A$244,$FW$205^A70,IF(A70='Données projet'!$A$244,'Données projet'!$B$244,FZ69+FY70-GH69)))</f>
        <v>314.99999999999989</v>
      </c>
      <c r="GA70" s="18">
        <f>FZ70*VLOOKUP('Données projet'!$B$17,Paramètres!$A$1:$I$89,3,0)*VLOOKUP('Données projet'!$B$17,Paramètres!$A$1:$I$89,5,0)</f>
        <v>250.61399999999992</v>
      </c>
      <c r="GB70" s="14">
        <f t="shared" si="103"/>
        <v>60.717400934916043</v>
      </c>
      <c r="GC70" s="22">
        <f t="shared" si="79"/>
        <v>542.23552329497863</v>
      </c>
      <c r="GD70" s="62">
        <f t="shared" si="80"/>
        <v>819.988639580523</v>
      </c>
      <c r="GE70" s="62">
        <f ca="1">AVERAGE(OFFSET($GD$3,0,0,'Données projet'!$E$17+1,1))-AVERAGE(OFFSET($H$3,0,0,'Données projet'!$E$17+1,1))</f>
        <v>383.71724511025587</v>
      </c>
      <c r="GF70" s="62">
        <f t="shared" si="104"/>
        <v>415.10774719533185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65.750849896057559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4.9999999999999947</v>
      </c>
      <c r="GU70" s="13">
        <f>IF('Données projet'!$A$270&gt;35,GU69+GT70-HC69,IF(A70&lt;'Données projet'!$A$270,$GR$205^A70,IF(A70='Données projet'!$A$270,'Données projet'!$B$270,GU69+GT70-HC69)))</f>
        <v>250.38461538461544</v>
      </c>
      <c r="GV70" s="18">
        <f>GU70*VLOOKUP('Données projet'!$B$18,Paramètres!$A$1:$I$89,3,0)*VLOOKUP('Données projet'!$B$18,Paramètres!$A$1:$I$89,5,0)</f>
        <v>167.95800000000006</v>
      </c>
      <c r="GW70" s="14">
        <f t="shared" si="105"/>
        <v>42.632362356023975</v>
      </c>
      <c r="GX70" s="22">
        <f t="shared" si="82"/>
        <v>366.77821443674179</v>
      </c>
      <c r="GY70" s="62">
        <f t="shared" si="83"/>
        <v>644.53133072228616</v>
      </c>
      <c r="GZ70" s="62">
        <f ca="1">AVERAGE(OFFSET($GY$3,0,0,'Données projet'!$E$18+1,1))-AVERAGE(OFFSET($H$3,0,0,'Données projet'!$E$18+1,1))</f>
        <v>329.93956600482801</v>
      </c>
      <c r="HA70" s="62">
        <f t="shared" si="106"/>
        <v>268.69186630599165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2.7450000000000001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10.065</v>
      </c>
      <c r="H71" s="70">
        <f t="shared" si="56"/>
        <v>216.40666666666667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65.824563150684497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836.74031332956133</v>
      </c>
      <c r="S71" s="62">
        <f ca="1">AVERAGE(OFFSET($R$3,0,0,'Données projet'!$E$9+1,1))-AVERAGE(OFFSET($H$3,0,0,'Données projet'!$E$9+1,1))</f>
        <v>551.67307965706379</v>
      </c>
      <c r="T71" s="62">
        <f t="shared" si="88"/>
        <v>288.70738860523943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65.824563150684497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240.58944</v>
      </c>
      <c r="AK71" s="14">
        <f t="shared" si="89"/>
        <v>58.56633325847811</v>
      </c>
      <c r="AL71" s="22">
        <f t="shared" si="58"/>
        <v>521.02963842518272</v>
      </c>
      <c r="AM71" s="62">
        <f t="shared" si="59"/>
        <v>799.05303664435928</v>
      </c>
      <c r="AN71" s="62">
        <f ca="1">AVERAGE(OFFSET($AM$3,0,0,'Données projet'!$E$10+1,1))-AVERAGE(OFFSET($H$3,0,0,'Données projet'!$E$10+1,1))</f>
        <v>518.18933270904506</v>
      </c>
      <c r="AO71" s="62">
        <f t="shared" si="90"/>
        <v>272.44431899810411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65.824563150684497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13.777777777777779</v>
      </c>
      <c r="BD71" s="13">
        <f>IF('Données projet'!$A$88&gt;35,BD70+BC71-BL70,IF(A71&lt;'Données projet'!$A$88,$BA$205^A71,IF(A71='Données projet'!$A$88,'Données projet'!$B$88,BD70+BC71-BL70)))</f>
        <v>344.222222222222</v>
      </c>
      <c r="BE71" s="14">
        <f>BD71*VLOOKUP('Données projet'!$B$11,Paramètres!$A$1:$I$89,3,0)*VLOOKUP('Données projet'!$B$11,Paramètres!$A$1:$I$89,5,0)</f>
        <v>295.3426666666665</v>
      </c>
      <c r="BF71" s="14">
        <f t="shared" si="91"/>
        <v>70.199220220485287</v>
      </c>
      <c r="BG71" s="22">
        <f t="shared" si="61"/>
        <v>636.65211966178947</v>
      </c>
      <c r="BH71" s="62">
        <f t="shared" si="62"/>
        <v>914.67551788096603</v>
      </c>
      <c r="BI71" s="62">
        <f ca="1">AVERAGE(OFFSET($BH$3,0,0,'Données projet'!$E$11+1,1))-AVERAGE(OFFSET($H$3,0,0,'Données projet'!$E$11+1,1))</f>
        <v>464.73160475167867</v>
      </c>
      <c r="BJ71" s="62">
        <f t="shared" si="92"/>
        <v>241.31968359962227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65.824563150684497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4.8</v>
      </c>
      <c r="BY71" s="13">
        <f>IF('Données projet'!$A$114&gt;35,BY70+BX71-CG70,IF(A71&lt;'Données projet'!$A$114,$BV$205^A71,IF(A71='Données projet'!$A$114,'Données projet'!$B$114,BY70+BX71-CG70)))</f>
        <v>227.40000000000009</v>
      </c>
      <c r="BZ71" s="14">
        <f>BY71*VLOOKUP('Données projet'!$B$12,Paramètres!$A$1:$I$89,3,0)*VLOOKUP('Données projet'!$B$12,Paramètres!$A$1:$I$89,5,0)</f>
        <v>148.99248000000006</v>
      </c>
      <c r="CA71" s="14">
        <f t="shared" si="93"/>
        <v>38.349533355462334</v>
      </c>
      <c r="CB71" s="22">
        <f t="shared" si="64"/>
        <v>326.28733992743037</v>
      </c>
      <c r="CC71" s="62">
        <f t="shared" si="65"/>
        <v>604.31073814660681</v>
      </c>
      <c r="CD71" s="62">
        <f ca="1">AVERAGE(OFFSET($CC$3,0,0,'Données projet'!$E$12+1,1))-AVERAGE(OFFSET($H$3,0,0,'Données projet'!$E$12+1,1))</f>
        <v>292.13851489852607</v>
      </c>
      <c r="CE71" s="62">
        <f t="shared" si="94"/>
        <v>280.10866188737418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65.824563150684497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-1.1368683772161603E-13</v>
      </c>
      <c r="CU71" s="18">
        <f>CT71*VLOOKUP('Données projet'!$B$13,Paramètres!$A$1:$I$89,3,0)*VLOOKUP('Données projet'!$B$13,Paramètres!$A$1:$I$89,5,0)</f>
        <v>-9.2222762759774927E-14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265.25572936607409</v>
      </c>
      <c r="CZ71" s="62">
        <f t="shared" si="96"/>
        <v>307.96244316129071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65.824563150684497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4.7435897435897401</v>
      </c>
      <c r="DO71" s="13">
        <f>IF('Données projet'!$A$166&gt;35,DO70+DN71-DW70,IF(A71&lt;'Données projet'!$A$166,$DL$205^A71,IF(A71='Données projet'!$A$166,'Données projet'!$B$166,DO70+DN71-DW70)))</f>
        <v>214.23076923076917</v>
      </c>
      <c r="DP71" s="18">
        <f>DO71*VLOOKUP('Données projet'!$B$14,Paramètres!$A$1:$I$89,3,0)*VLOOKUP('Données projet'!$B$14,Paramètres!$A$1:$I$89,5,0)</f>
        <v>203.86199999999994</v>
      </c>
      <c r="DQ71" s="14">
        <f t="shared" si="97"/>
        <v>50.591971357727658</v>
      </c>
      <c r="DR71" s="22">
        <f t="shared" si="70"/>
        <v>443.17400011470886</v>
      </c>
      <c r="DS71" s="62">
        <f t="shared" si="71"/>
        <v>721.1973983338853</v>
      </c>
      <c r="DT71" s="62">
        <f ca="1">AVERAGE(OFFSET($DS$3,0,0,'Données projet'!$E$14+1,1))-AVERAGE(OFFSET($H$3,0,0,'Données projet'!$E$14+1,1))</f>
        <v>425.41154182732936</v>
      </c>
      <c r="DU71" s="62">
        <f t="shared" si="98"/>
        <v>306.44721925744591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65.824563150684497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4.5</v>
      </c>
      <c r="EJ71" s="13">
        <f>IF('Données projet'!$A$192&gt;35,EJ70+EI71-ER70,IF(A71&lt;'Données projet'!$A$192,$EG$205^A71,IF(A71='Données projet'!$A$192,'Données projet'!$B$192,EJ70+EI71-ER70)))</f>
        <v>319.49999999999989</v>
      </c>
      <c r="EK71" s="18">
        <f>EJ71*VLOOKUP('Données projet'!$B$15,Paramètres!$A$1:$I$89,3,0)*VLOOKUP('Données projet'!$B$15,Paramètres!$A$1:$I$89,5,0)</f>
        <v>234.2573999999999</v>
      </c>
      <c r="EL71" s="14">
        <f t="shared" si="99"/>
        <v>57.202245999692629</v>
      </c>
      <c r="EM71" s="22">
        <f t="shared" si="73"/>
        <v>507.62555011613114</v>
      </c>
      <c r="EN71" s="62">
        <f t="shared" si="74"/>
        <v>785.64894833530764</v>
      </c>
      <c r="EO71" s="62">
        <f ca="1">AVERAGE(OFFSET($EN$3,0,0,'Données projet'!$E$15+1,1))-AVERAGE(OFFSET($H$3,0,0,'Données projet'!$E$15+1,1))</f>
        <v>357.57626046668958</v>
      </c>
      <c r="EP71" s="62">
        <f t="shared" si="100"/>
        <v>386.90439522046199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65.824563150684497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8.6666666666666661</v>
      </c>
      <c r="FE71" s="13">
        <f>IF('Données projet'!$A$218&gt;35,FE70+FD71-FM70,IF(A71&lt;'Données projet'!$A$218,$FB$205^A71,IF(A71='Données projet'!$A$218,'Données projet'!$B$218,FE70+FD71-FM70)))</f>
        <v>319.33333333333343</v>
      </c>
      <c r="FF71" s="18">
        <f>FE71*VLOOKUP('Données projet'!$B$16,Paramètres!$A$1:$I$89,3,0)*VLOOKUP('Données projet'!$B$16,Paramètres!$A$1:$I$89,5,0)</f>
        <v>249.08000000000007</v>
      </c>
      <c r="FG71" s="14">
        <f t="shared" si="101"/>
        <v>60.388894447487807</v>
      </c>
      <c r="FH71" s="22">
        <f t="shared" si="76"/>
        <v>538.99165782937473</v>
      </c>
      <c r="FI71" s="62">
        <f t="shared" si="77"/>
        <v>817.01505604855129</v>
      </c>
      <c r="FJ71" s="62">
        <f ca="1">AVERAGE(OFFSET($FI$3,0,0,'Données projet'!$E$16+1,1))-AVERAGE(OFFSET($H$3,0,0,'Données projet'!$E$16+1,1))</f>
        <v>303.56663121833833</v>
      </c>
      <c r="FK71" s="62">
        <f t="shared" si="102"/>
        <v>293.97736357938038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65.824563150684497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4.5</v>
      </c>
      <c r="FZ71" s="13">
        <f>IF('Données projet'!$A$244&gt;35,FZ70+FY71-GH70,IF(A71&lt;'Données projet'!$A$244,$FW$205^A71,IF(A71='Données projet'!$A$244,'Données projet'!$B$244,FZ70+FY71-GH70)))</f>
        <v>319.49999999999989</v>
      </c>
      <c r="GA71" s="18">
        <f>FZ71*VLOOKUP('Données projet'!$B$17,Paramètres!$A$1:$I$89,3,0)*VLOOKUP('Données projet'!$B$17,Paramètres!$A$1:$I$89,5,0)</f>
        <v>254.19419999999991</v>
      </c>
      <c r="GB71" s="14">
        <f t="shared" si="103"/>
        <v>61.483194145885243</v>
      </c>
      <c r="GC71" s="22">
        <f t="shared" si="79"/>
        <v>549.80479480408326</v>
      </c>
      <c r="GD71" s="62">
        <f t="shared" si="80"/>
        <v>827.8281930232597</v>
      </c>
      <c r="GE71" s="62">
        <f ca="1">AVERAGE(OFFSET($GD$3,0,0,'Données projet'!$E$17+1,1))-AVERAGE(OFFSET($H$3,0,0,'Données projet'!$E$17+1,1))</f>
        <v>383.71724511025587</v>
      </c>
      <c r="GF71" s="62">
        <f t="shared" si="104"/>
        <v>415.10774719533185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65.824563150684497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4.9999999999999947</v>
      </c>
      <c r="GU71" s="13">
        <f>IF('Données projet'!$A$270&gt;35,GU70+GT71-HC70,IF(A71&lt;'Données projet'!$A$270,$GR$205^A71,IF(A71='Données projet'!$A$270,'Données projet'!$B$270,GU70+GT71-HC70)))</f>
        <v>255.38461538461544</v>
      </c>
      <c r="GV71" s="18">
        <f>GU71*VLOOKUP('Données projet'!$B$18,Paramètres!$A$1:$I$89,3,0)*VLOOKUP('Données projet'!$B$18,Paramètres!$A$1:$I$89,5,0)</f>
        <v>171.31200000000004</v>
      </c>
      <c r="GW71" s="14">
        <f t="shared" si="105"/>
        <v>43.383736333098376</v>
      </c>
      <c r="GX71" s="22">
        <f t="shared" si="82"/>
        <v>373.92840744681308</v>
      </c>
      <c r="GY71" s="62">
        <f t="shared" si="83"/>
        <v>651.95180566598958</v>
      </c>
      <c r="GZ71" s="62">
        <f ca="1">AVERAGE(OFFSET($GY$3,0,0,'Données projet'!$E$18+1,1))-AVERAGE(OFFSET($H$3,0,0,'Données projet'!$E$18+1,1))</f>
        <v>329.93956600482801</v>
      </c>
      <c r="HA71" s="62">
        <f t="shared" si="106"/>
        <v>268.69186630599165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2.7450000000000001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10.065</v>
      </c>
      <c r="H72" s="70">
        <f t="shared" si="56"/>
        <v>216.40666666666667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65.896997645141795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852.67982657675338</v>
      </c>
      <c r="S72" s="62">
        <f ca="1">AVERAGE(OFFSET($R$3,0,0,'Données projet'!$E$9+1,1))-AVERAGE(OFFSET($H$3,0,0,'Données projet'!$E$9+1,1))</f>
        <v>551.67307965706379</v>
      </c>
      <c r="T72" s="62">
        <f t="shared" si="88"/>
        <v>288.70738860523943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65.896997645141795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247.49712</v>
      </c>
      <c r="AK72" s="14">
        <f t="shared" si="89"/>
        <v>60.049673316050104</v>
      </c>
      <c r="AL72" s="22">
        <f t="shared" si="58"/>
        <v>535.64399835878714</v>
      </c>
      <c r="AM72" s="62">
        <f t="shared" si="59"/>
        <v>813.93298972430705</v>
      </c>
      <c r="AN72" s="62">
        <f ca="1">AVERAGE(OFFSET($AM$3,0,0,'Données projet'!$E$10+1,1))-AVERAGE(OFFSET($H$3,0,0,'Données projet'!$E$10+1,1))</f>
        <v>518.18933270904506</v>
      </c>
      <c r="AO72" s="62">
        <f t="shared" si="90"/>
        <v>272.44431899810411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65.896997645141795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358</v>
      </c>
      <c r="BB72" s="13">
        <f>VLOOKUP(A72,'Données projet'!$A$87:$I$107,9,0)</f>
        <v>13.777777777777779</v>
      </c>
      <c r="BC72" s="13">
        <f t="array" ref="BC72">INDEX(BB:BB,MIN(IF(ISNUMBER(BB72:BB268),ROW(BB72:BB268),"")))</f>
        <v>13.777777777777779</v>
      </c>
      <c r="BD72" s="13">
        <f>IF('Données projet'!$A$88&gt;35,BD71+BC72-BL71,IF(A72&lt;'Données projet'!$A$88,$BA$205^A72,IF(A72='Données projet'!$A$88,'Données projet'!$B$88,BD71+BC72-BL71)))</f>
        <v>357.99999999999977</v>
      </c>
      <c r="BE72" s="14">
        <f>BD72*VLOOKUP('Données projet'!$B$11,Paramètres!$A$1:$I$89,3,0)*VLOOKUP('Données projet'!$B$11,Paramètres!$A$1:$I$89,5,0)</f>
        <v>307.16399999999982</v>
      </c>
      <c r="BF72" s="14">
        <f t="shared" si="91"/>
        <v>72.676244071302918</v>
      </c>
      <c r="BG72" s="22">
        <f t="shared" si="61"/>
        <v>661.55509175751888</v>
      </c>
      <c r="BH72" s="62">
        <f t="shared" si="62"/>
        <v>939.84408312303879</v>
      </c>
      <c r="BI72" s="62">
        <f ca="1">AVERAGE(OFFSET($BH$3,0,0,'Données projet'!$E$11+1,1))-AVERAGE(OFFSET($H$3,0,0,'Données projet'!$E$11+1,1))</f>
        <v>464.73160475167867</v>
      </c>
      <c r="BJ72" s="62">
        <f t="shared" si="92"/>
        <v>241.31968359962227</v>
      </c>
      <c r="BK72" s="16">
        <f>IF(ISNA(VLOOKUP(A72,'Données projet'!$A$87:$I$107,3,0)),0,VLOOKUP(A72,'Données projet'!$A$87:$I$107,3,0))</f>
        <v>8</v>
      </c>
      <c r="BL72" s="16">
        <f>IF(ISNA(VLOOKUP(A72,'Données projet'!$A$87:$I$107,4,0)),0,VLOOKUP(A72,'Données projet'!$A$87:$I$107,4,0))</f>
        <v>84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65.896997645141795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4.8</v>
      </c>
      <c r="BY72" s="13">
        <f>IF('Données projet'!$A$114&gt;35,BY71+BX72-CG71,IF(A72&lt;'Données projet'!$A$114,$BV$205^A72,IF(A72='Données projet'!$A$114,'Données projet'!$B$114,BY71+BX72-CG71)))</f>
        <v>232.2000000000001</v>
      </c>
      <c r="BZ72" s="14">
        <f>BY72*VLOOKUP('Données projet'!$B$12,Paramètres!$A$1:$I$89,3,0)*VLOOKUP('Données projet'!$B$12,Paramètres!$A$1:$I$89,5,0)</f>
        <v>152.13744000000008</v>
      </c>
      <c r="CA72" s="14">
        <f t="shared" si="93"/>
        <v>39.063925813036128</v>
      </c>
      <c r="CB72" s="22">
        <f t="shared" si="64"/>
        <v>333.0090454577047</v>
      </c>
      <c r="CC72" s="62">
        <f t="shared" si="65"/>
        <v>611.29803682322461</v>
      </c>
      <c r="CD72" s="62">
        <f ca="1">AVERAGE(OFFSET($CC$3,0,0,'Données projet'!$E$12+1,1))-AVERAGE(OFFSET($H$3,0,0,'Données projet'!$E$12+1,1))</f>
        <v>292.13851489852607</v>
      </c>
      <c r="CE72" s="62">
        <f t="shared" si="94"/>
        <v>280.10866188737418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65.896997645141795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-1.1368683772161603E-13</v>
      </c>
      <c r="CU72" s="18">
        <f>CT72*VLOOKUP('Données projet'!$B$13,Paramètres!$A$1:$I$89,3,0)*VLOOKUP('Données projet'!$B$13,Paramètres!$A$1:$I$89,5,0)</f>
        <v>-9.2222762759774927E-14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265.25572936607409</v>
      </c>
      <c r="CZ72" s="62">
        <f t="shared" si="96"/>
        <v>307.96244316129071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65.896997645141795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4.7435897435897401</v>
      </c>
      <c r="DO72" s="13">
        <f>IF('Données projet'!$A$166&gt;35,DO71+DN72-DW71,IF(A72&lt;'Données projet'!$A$166,$DL$205^A72,IF(A72='Données projet'!$A$166,'Données projet'!$B$166,DO71+DN72-DW71)))</f>
        <v>218.97435897435892</v>
      </c>
      <c r="DP72" s="18">
        <f>DO72*VLOOKUP('Données projet'!$B$14,Paramètres!$A$1:$I$89,3,0)*VLOOKUP('Données projet'!$B$14,Paramètres!$A$1:$I$89,5,0)</f>
        <v>208.37599999999995</v>
      </c>
      <c r="DQ72" s="14">
        <f t="shared" si="97"/>
        <v>51.580540650922785</v>
      </c>
      <c r="DR72" s="22">
        <f t="shared" si="70"/>
        <v>452.75764163369041</v>
      </c>
      <c r="DS72" s="62">
        <f t="shared" si="71"/>
        <v>731.04663299921026</v>
      </c>
      <c r="DT72" s="62">
        <f ca="1">AVERAGE(OFFSET($DS$3,0,0,'Données projet'!$E$14+1,1))-AVERAGE(OFFSET($H$3,0,0,'Données projet'!$E$14+1,1))</f>
        <v>425.41154182732936</v>
      </c>
      <c r="DU72" s="62">
        <f t="shared" si="98"/>
        <v>306.44721925744591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65.896997645141795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4.5</v>
      </c>
      <c r="EJ72" s="13">
        <f>IF('Données projet'!$A$192&gt;35,EJ71+EI72-ER71,IF(A72&lt;'Données projet'!$A$192,$EG$205^A72,IF(A72='Données projet'!$A$192,'Données projet'!$B$192,EJ71+EI72-ER71)))</f>
        <v>323.99999999999989</v>
      </c>
      <c r="EK72" s="18">
        <f>EJ72*VLOOKUP('Données projet'!$B$15,Paramètres!$A$1:$I$89,3,0)*VLOOKUP('Données projet'!$B$15,Paramètres!$A$1:$I$89,5,0)</f>
        <v>237.55679999999992</v>
      </c>
      <c r="EL72" s="14">
        <f t="shared" si="99"/>
        <v>57.913551469467308</v>
      </c>
      <c r="EM72" s="22">
        <f t="shared" si="73"/>
        <v>514.61086214265538</v>
      </c>
      <c r="EN72" s="62">
        <f t="shared" si="74"/>
        <v>792.89985350817528</v>
      </c>
      <c r="EO72" s="62">
        <f ca="1">AVERAGE(OFFSET($EN$3,0,0,'Données projet'!$E$15+1,1))-AVERAGE(OFFSET($H$3,0,0,'Données projet'!$E$15+1,1))</f>
        <v>357.57626046668958</v>
      </c>
      <c r="EP72" s="62">
        <f t="shared" si="100"/>
        <v>386.90439522046199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65.896997645141795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>
        <f>VLOOKUP(A72,'Données projet'!$A$217:$I$237,2,0)</f>
        <v>328</v>
      </c>
      <c r="FC72" s="13">
        <f>VLOOKUP(A72,'Données projet'!$A$217:$I$237,9,0)</f>
        <v>8.6666666666666661</v>
      </c>
      <c r="FD72" s="13">
        <f t="array" ref="FD72">INDEX(FC:FC,MIN(IF(ISNUMBER(FC72:FC268),ROW(FC72:FC268),"")))</f>
        <v>8.6666666666666661</v>
      </c>
      <c r="FE72" s="13">
        <f>IF('Données projet'!$A$218&gt;35,FE71+FD72-FM71,IF(A72&lt;'Données projet'!$A$218,$FB$205^A72,IF(A72='Données projet'!$A$218,'Données projet'!$B$218,FE71+FD72-FM71)))</f>
        <v>328.00000000000011</v>
      </c>
      <c r="FF72" s="18">
        <f>FE72*VLOOKUP('Données projet'!$B$16,Paramètres!$A$1:$I$89,3,0)*VLOOKUP('Données projet'!$B$16,Paramètres!$A$1:$I$89,5,0)</f>
        <v>255.84000000000009</v>
      </c>
      <c r="FG72" s="14">
        <f t="shared" si="101"/>
        <v>61.834803371075836</v>
      </c>
      <c r="FH72" s="22">
        <f t="shared" si="76"/>
        <v>553.28361587129064</v>
      </c>
      <c r="FI72" s="62">
        <f t="shared" si="77"/>
        <v>831.57260723681054</v>
      </c>
      <c r="FJ72" s="62">
        <f ca="1">AVERAGE(OFFSET($FI$3,0,0,'Données projet'!$E$16+1,1))-AVERAGE(OFFSET($H$3,0,0,'Données projet'!$E$16+1,1))</f>
        <v>303.56663121833833</v>
      </c>
      <c r="FK72" s="62">
        <f t="shared" si="102"/>
        <v>293.97736357938038</v>
      </c>
      <c r="FL72" s="16">
        <f>IF(ISNA(VLOOKUP(A72,'Données projet'!$A$217:$I$237,3,0)),0,VLOOKUP(A72,'Données projet'!$A$217:$I$237,3,0))</f>
        <v>7</v>
      </c>
      <c r="FM72" s="16">
        <f>IF(ISNA(VLOOKUP(A72,'Données projet'!$A$217:$I$237,4,0)),0,VLOOKUP(A72,'Données projet'!$A$217:$I$237,4,0))</f>
        <v>328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65.896997645141795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4.5</v>
      </c>
      <c r="FZ72" s="13">
        <f>IF('Données projet'!$A$244&gt;35,FZ71+FY72-GH71,IF(A72&lt;'Données projet'!$A$244,$FW$205^A72,IF(A72='Données projet'!$A$244,'Données projet'!$B$244,FZ71+FY72-GH71)))</f>
        <v>323.99999999999989</v>
      </c>
      <c r="GA72" s="18">
        <f>FZ72*VLOOKUP('Données projet'!$B$17,Paramètres!$A$1:$I$89,3,0)*VLOOKUP('Données projet'!$B$17,Paramètres!$A$1:$I$89,5,0)</f>
        <v>257.77439999999996</v>
      </c>
      <c r="GB72" s="14">
        <f t="shared" si="103"/>
        <v>62.247732872134293</v>
      </c>
      <c r="GC72" s="22">
        <f t="shared" si="79"/>
        <v>557.37188141896718</v>
      </c>
      <c r="GD72" s="62">
        <f t="shared" si="80"/>
        <v>835.66087278448708</v>
      </c>
      <c r="GE72" s="62">
        <f ca="1">AVERAGE(OFFSET($GD$3,0,0,'Données projet'!$E$17+1,1))-AVERAGE(OFFSET($H$3,0,0,'Données projet'!$E$17+1,1))</f>
        <v>383.71724511025587</v>
      </c>
      <c r="GF72" s="62">
        <f t="shared" si="104"/>
        <v>415.10774719533185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65.896997645141795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4.9999999999999947</v>
      </c>
      <c r="GU72" s="13">
        <f>IF('Données projet'!$A$270&gt;35,GU71+GT72-HC71,IF(A72&lt;'Données projet'!$A$270,$GR$205^A72,IF(A72='Données projet'!$A$270,'Données projet'!$B$270,GU71+GT72-HC71)))</f>
        <v>260.38461538461542</v>
      </c>
      <c r="GV72" s="18">
        <f>GU72*VLOOKUP('Données projet'!$B$18,Paramètres!$A$1:$I$89,3,0)*VLOOKUP('Données projet'!$B$18,Paramètres!$A$1:$I$89,5,0)</f>
        <v>174.66600000000003</v>
      </c>
      <c r="GW72" s="14">
        <f t="shared" si="105"/>
        <v>44.133399826367565</v>
      </c>
      <c r="GX72" s="22">
        <f t="shared" si="82"/>
        <v>381.0756213642569</v>
      </c>
      <c r="GY72" s="62">
        <f t="shared" si="83"/>
        <v>659.36461272977681</v>
      </c>
      <c r="GZ72" s="62">
        <f ca="1">AVERAGE(OFFSET($GY$3,0,0,'Données projet'!$E$18+1,1))-AVERAGE(OFFSET($H$3,0,0,'Données projet'!$E$18+1,1))</f>
        <v>329.93956600482801</v>
      </c>
      <c r="HA72" s="62">
        <f t="shared" si="106"/>
        <v>268.69186630599165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2.7450000000000001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10.065</v>
      </c>
      <c r="H73" s="70">
        <f t="shared" si="56"/>
        <v>216.40666666666667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65.968175563059518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868.60580555257229</v>
      </c>
      <c r="S73" s="62">
        <f ca="1">AVERAGE(OFFSET($R$3,0,0,'Données projet'!$E$9+1,1))-AVERAGE(OFFSET($H$3,0,0,'Données projet'!$E$9+1,1))</f>
        <v>551.67307965706379</v>
      </c>
      <c r="T73" s="62">
        <f t="shared" si="88"/>
        <v>288.70738860523943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65.968175563059518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254.40479999999999</v>
      </c>
      <c r="AK73" s="14">
        <f t="shared" si="89"/>
        <v>61.52820154571765</v>
      </c>
      <c r="AL73" s="22">
        <f t="shared" si="58"/>
        <v>550.24997769212484</v>
      </c>
      <c r="AM73" s="62">
        <f t="shared" si="59"/>
        <v>828.79995475667647</v>
      </c>
      <c r="AN73" s="62">
        <f ca="1">AVERAGE(OFFSET($AM$3,0,0,'Données projet'!$E$10+1,1))-AVERAGE(OFFSET($H$3,0,0,'Données projet'!$E$10+1,1))</f>
        <v>518.18933270904506</v>
      </c>
      <c r="AO73" s="62">
        <f t="shared" si="90"/>
        <v>272.44431899810411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65.968175563059518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12.555555555555555</v>
      </c>
      <c r="BD73" s="13">
        <f>IF('Données projet'!$A$88&gt;35,BD72+BC73-BL72,IF(A73&lt;'Données projet'!$A$88,$BA$205^A73,IF(A73='Données projet'!$A$88,'Données projet'!$B$88,BD72+BC73-BL72)))</f>
        <v>286.55555555555532</v>
      </c>
      <c r="BE73" s="14">
        <f>BD73*VLOOKUP('Données projet'!$B$11,Paramètres!$A$1:$I$89,3,0)*VLOOKUP('Données projet'!$B$11,Paramètres!$A$1:$I$89,5,0)</f>
        <v>245.86466666666649</v>
      </c>
      <c r="BF73" s="14">
        <f t="shared" si="91"/>
        <v>59.699563669987469</v>
      </c>
      <c r="BG73" s="22">
        <f t="shared" si="61"/>
        <v>532.19103450300565</v>
      </c>
      <c r="BH73" s="62">
        <f t="shared" si="62"/>
        <v>810.74101156755728</v>
      </c>
      <c r="BI73" s="62">
        <f ca="1">AVERAGE(OFFSET($BH$3,0,0,'Données projet'!$E$11+1,1))-AVERAGE(OFFSET($H$3,0,0,'Données projet'!$E$11+1,1))</f>
        <v>464.73160475167867</v>
      </c>
      <c r="BJ73" s="62">
        <f t="shared" si="92"/>
        <v>241.31968359962227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65.968175563059518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237</v>
      </c>
      <c r="BW73" s="13">
        <f>VLOOKUP(A73,'Données projet'!$A$113:$I$133,9,0)</f>
        <v>4.8</v>
      </c>
      <c r="BX73" s="13">
        <f t="array" ref="BX73">INDEX(BW:BW,MIN(IF(ISNUMBER(BW73:BW269),ROW(BW73:BW269),"")))</f>
        <v>4.8</v>
      </c>
      <c r="BY73" s="13">
        <f>IF('Données projet'!$A$114&gt;35,BY72+BX73-CG72,IF(A73&lt;'Données projet'!$A$114,$BV$205^A73,IF(A73='Données projet'!$A$114,'Données projet'!$B$114,BY72+BX73-CG72)))</f>
        <v>237.00000000000011</v>
      </c>
      <c r="BZ73" s="14">
        <f>BY73*VLOOKUP('Données projet'!$B$12,Paramètres!$A$1:$I$89,3,0)*VLOOKUP('Données projet'!$B$12,Paramètres!$A$1:$I$89,5,0)</f>
        <v>155.28240000000008</v>
      </c>
      <c r="CA73" s="14">
        <f t="shared" si="93"/>
        <v>39.776601235546444</v>
      </c>
      <c r="CB73" s="22">
        <f t="shared" si="64"/>
        <v>339.72776048524355</v>
      </c>
      <c r="CC73" s="62">
        <f t="shared" si="65"/>
        <v>618.27773754979512</v>
      </c>
      <c r="CD73" s="62">
        <f ca="1">AVERAGE(OFFSET($CC$3,0,0,'Données projet'!$E$12+1,1))-AVERAGE(OFFSET($H$3,0,0,'Données projet'!$E$12+1,1))</f>
        <v>292.13851489852607</v>
      </c>
      <c r="CE73" s="62">
        <f t="shared" si="94"/>
        <v>280.10866188737418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65.968175563059518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-1.1368683772161603E-13</v>
      </c>
      <c r="CU73" s="18">
        <f>CT73*VLOOKUP('Données projet'!$B$13,Paramètres!$A$1:$I$89,3,0)*VLOOKUP('Données projet'!$B$13,Paramètres!$A$1:$I$89,5,0)</f>
        <v>-9.2222762759774927E-14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265.25572936607409</v>
      </c>
      <c r="CZ73" s="62">
        <f t="shared" si="96"/>
        <v>307.96244316129071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65.968175563059518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223.7179487179487</v>
      </c>
      <c r="DM73" s="13">
        <f>VLOOKUP(A73,'Données projet'!$A$165:$I$185,9,0)</f>
        <v>4.7435897435897401</v>
      </c>
      <c r="DN73" s="13">
        <f t="array" ref="DN73">INDEX(DM:DM,MIN(IF(ISNUMBER(DM73:DM269),ROW(DM73:DM269),"")))</f>
        <v>4.7435897435897401</v>
      </c>
      <c r="DO73" s="13">
        <f>IF('Données projet'!$A$166&gt;35,DO72+DN73-DW72,IF(A73&lt;'Données projet'!$A$166,$DL$205^A73,IF(A73='Données projet'!$A$166,'Données projet'!$B$166,DO72+DN73-DW72)))</f>
        <v>223.71794871794867</v>
      </c>
      <c r="DP73" s="18">
        <f>DO73*VLOOKUP('Données projet'!$B$14,Paramètres!$A$1:$I$89,3,0)*VLOOKUP('Données projet'!$B$14,Paramètres!$A$1:$I$89,5,0)</f>
        <v>212.89</v>
      </c>
      <c r="DQ73" s="14">
        <f t="shared" si="97"/>
        <v>52.566620155786865</v>
      </c>
      <c r="DR73" s="22">
        <f t="shared" si="70"/>
        <v>462.33694677132871</v>
      </c>
      <c r="DS73" s="62">
        <f t="shared" si="71"/>
        <v>740.88692383588022</v>
      </c>
      <c r="DT73" s="62">
        <f ca="1">AVERAGE(OFFSET($DS$3,0,0,'Données projet'!$E$14+1,1))-AVERAGE(OFFSET($H$3,0,0,'Données projet'!$E$14+1,1))</f>
        <v>425.41154182732936</v>
      </c>
      <c r="DU73" s="62">
        <f t="shared" si="98"/>
        <v>306.44721925744591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65.968175563059518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328.5</v>
      </c>
      <c r="EH73" s="13">
        <f>VLOOKUP(A73,'Données projet'!$A$191:$I$211,9,0)</f>
        <v>4.5</v>
      </c>
      <c r="EI73" s="13">
        <f t="array" ref="EI73">INDEX(EH:EH,MIN(IF(ISNUMBER(EH73:EH269),ROW(EH73:EH269),"")))</f>
        <v>4.5</v>
      </c>
      <c r="EJ73" s="13">
        <f>IF('Données projet'!$A$192&gt;35,EJ72+EI73-ER72,IF(A73&lt;'Données projet'!$A$192,$EG$205^A73,IF(A73='Données projet'!$A$192,'Données projet'!$B$192,EJ72+EI73-ER72)))</f>
        <v>328.49999999999989</v>
      </c>
      <c r="EK73" s="18">
        <f>EJ73*VLOOKUP('Données projet'!$B$15,Paramètres!$A$1:$I$89,3,0)*VLOOKUP('Données projet'!$B$15,Paramètres!$A$1:$I$89,5,0)</f>
        <v>240.85619999999989</v>
      </c>
      <c r="EL73" s="14">
        <f t="shared" si="99"/>
        <v>58.623707885373882</v>
      </c>
      <c r="EM73" s="22">
        <f t="shared" si="73"/>
        <v>521.59417290035935</v>
      </c>
      <c r="EN73" s="62">
        <f t="shared" si="74"/>
        <v>800.14414996491087</v>
      </c>
      <c r="EO73" s="62">
        <f ca="1">AVERAGE(OFFSET($EN$3,0,0,'Données projet'!$E$15+1,1))-AVERAGE(OFFSET($H$3,0,0,'Données projet'!$E$15+1,1))</f>
        <v>357.57626046668958</v>
      </c>
      <c r="EP73" s="62">
        <f t="shared" si="100"/>
        <v>386.90439522046199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25.9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65.968175563059518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1.1368683772161603E-13</v>
      </c>
      <c r="FF73" s="18">
        <f>FE73*VLOOKUP('Données projet'!$B$16,Paramètres!$A$1:$I$89,3,0)*VLOOKUP('Données projet'!$B$16,Paramètres!$A$1:$I$89,5,0)</f>
        <v>8.8675733422860506E-14</v>
      </c>
      <c r="FG73" s="14">
        <f t="shared" si="101"/>
        <v>1.3509285393066301E-12</v>
      </c>
      <c r="FH73" s="22">
        <f t="shared" si="76"/>
        <v>2.5073107750038623E-12</v>
      </c>
      <c r="FI73" s="62">
        <f t="shared" si="77"/>
        <v>278.54997706455407</v>
      </c>
      <c r="FJ73" s="62">
        <f ca="1">AVERAGE(OFFSET($FI$3,0,0,'Données projet'!$E$16+1,1))-AVERAGE(OFFSET($H$3,0,0,'Données projet'!$E$16+1,1))</f>
        <v>303.56663121833833</v>
      </c>
      <c r="FK73" s="62">
        <f t="shared" si="102"/>
        <v>293.97736357938038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65.968175563059518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328.5</v>
      </c>
      <c r="FX73" s="13">
        <f>VLOOKUP(A73,'Données projet'!$A$243:$I$263,9,0)</f>
        <v>4.5</v>
      </c>
      <c r="FY73" s="13">
        <f t="array" ref="FY73">INDEX(FX:FX,MIN(IF(ISNUMBER(FX73:FX269),ROW(FX73:FX269),"")))</f>
        <v>4.5</v>
      </c>
      <c r="FZ73" s="13">
        <f>IF('Données projet'!$A$244&gt;35,FZ72+FY73-GH72,IF(A73&lt;'Données projet'!$A$244,$FW$205^A73,IF(A73='Données projet'!$A$244,'Données projet'!$B$244,FZ72+FY73-GH72)))</f>
        <v>328.49999999999989</v>
      </c>
      <c r="GA73" s="18">
        <f>FZ73*VLOOKUP('Données projet'!$B$17,Paramètres!$A$1:$I$89,3,0)*VLOOKUP('Données projet'!$B$17,Paramètres!$A$1:$I$89,5,0)</f>
        <v>261.35459999999989</v>
      </c>
      <c r="GB73" s="14">
        <f t="shared" si="103"/>
        <v>63.01103655068848</v>
      </c>
      <c r="GC73" s="22">
        <f t="shared" si="79"/>
        <v>564.93681699244883</v>
      </c>
      <c r="GD73" s="62">
        <f t="shared" si="80"/>
        <v>843.48679405700045</v>
      </c>
      <c r="GE73" s="62">
        <f ca="1">AVERAGE(OFFSET($GD$3,0,0,'Données projet'!$E$17+1,1))-AVERAGE(OFFSET($H$3,0,0,'Données projet'!$E$17+1,1))</f>
        <v>383.71724511025587</v>
      </c>
      <c r="GF73" s="62">
        <f t="shared" si="104"/>
        <v>415.10774719533185</v>
      </c>
      <c r="GG73" s="16">
        <f>IF(ISNA(VLOOKUP(A73,'Données projet'!$A$243:$I$263,3,0)),0,VLOOKUP(A73,'Données projet'!$A$243:$I$263,3,0))</f>
        <v>6</v>
      </c>
      <c r="GH73" s="16">
        <f>IF(ISNA(VLOOKUP(A73,'Données projet'!$A$243:$I$263,4,0)),0,VLOOKUP(A73,'Données projet'!$A$243:$I$263,4,0))</f>
        <v>25.9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65.968175563059518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265.38461538461536</v>
      </c>
      <c r="GS73" s="13">
        <f>VLOOKUP(A73,'Données projet'!$A$269:$I$289,9,0)</f>
        <v>4.9999999999999947</v>
      </c>
      <c r="GT73" s="13">
        <f t="array" ref="GT73">INDEX(GS:GS,MIN(IF(ISNUMBER(GS73:GS269),ROW(GS73:GS269),"")))</f>
        <v>4.9999999999999947</v>
      </c>
      <c r="GU73" s="13">
        <f>IF('Données projet'!$A$270&gt;35,GU72+GT73-HC72,IF(A73&lt;'Données projet'!$A$270,$GR$205^A73,IF(A73='Données projet'!$A$270,'Données projet'!$B$270,GU72+GT73-HC72)))</f>
        <v>265.38461538461542</v>
      </c>
      <c r="GV73" s="18">
        <f>GU73*VLOOKUP('Données projet'!$B$18,Paramètres!$A$1:$I$89,3,0)*VLOOKUP('Données projet'!$B$18,Paramètres!$A$1:$I$89,5,0)</f>
        <v>178.02000000000004</v>
      </c>
      <c r="GW73" s="14">
        <f t="shared" si="105"/>
        <v>44.881389467952083</v>
      </c>
      <c r="GX73" s="22">
        <f t="shared" si="82"/>
        <v>388.21991999001654</v>
      </c>
      <c r="GY73" s="62">
        <f t="shared" si="83"/>
        <v>666.7698970545681</v>
      </c>
      <c r="GZ73" s="62">
        <f ca="1">AVERAGE(OFFSET($GY$3,0,0,'Données projet'!$E$18+1,1))-AVERAGE(OFFSET($H$3,0,0,'Données projet'!$E$18+1,1))</f>
        <v>329.93956600482801</v>
      </c>
      <c r="HA73" s="62">
        <f t="shared" si="106"/>
        <v>268.69186630599165</v>
      </c>
      <c r="HB73" s="16">
        <f>IF(ISNA(VLOOKUP(A73,'Données projet'!$A$269:$I$289,3,0)),0,VLOOKUP(A73,'Données projet'!$A$269:$I$289,3,0))</f>
        <v>6</v>
      </c>
      <c r="HC73" s="16">
        <f>IF(ISNA(VLOOKUP(A73,'Données projet'!$A$269:$I$289,4,0)),0,VLOOKUP(A73,'Données projet'!$A$269:$I$289,4,0))</f>
        <v>27.564102564102562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2.7450000000000001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10.065</v>
      </c>
      <c r="H74" s="70">
        <f t="shared" si="56"/>
        <v>216.40666666666667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66.038118703231362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2">
        <f t="shared" si="55"/>
        <v>883.37330270242853</v>
      </c>
      <c r="S74" s="62">
        <f ca="1">AVERAGE(OFFSET($R$3,0,0,'Données projet'!$E$9+1,1))-AVERAGE(OFFSET($H$3,0,0,'Données projet'!$E$9+1,1))</f>
        <v>551.67307965706379</v>
      </c>
      <c r="T74" s="62">
        <f t="shared" si="88"/>
        <v>288.70738860523943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66.038118703231362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309.59999999999997</v>
      </c>
      <c r="AJ74" s="14">
        <f>AI74*VLOOKUP('Données projet'!$B$10,Paramètres!$A$1:$I$89,3,0)*VLOOKUP('Données projet'!$B$10,Paramètres!$A$1:$I$89,5,0)</f>
        <v>260.80704000000003</v>
      </c>
      <c r="AK74" s="14">
        <f t="shared" si="89"/>
        <v>62.89437522937974</v>
      </c>
      <c r="AL74" s="22">
        <f t="shared" si="58"/>
        <v>563.77996485783649</v>
      </c>
      <c r="AM74" s="62">
        <f t="shared" si="59"/>
        <v>842.58640010301815</v>
      </c>
      <c r="AN74" s="62">
        <f ca="1">AVERAGE(OFFSET($AM$3,0,0,'Données projet'!$E$10+1,1))-AVERAGE(OFFSET($H$3,0,0,'Données projet'!$E$10+1,1))</f>
        <v>518.18933270904506</v>
      </c>
      <c r="AO74" s="62">
        <f t="shared" si="90"/>
        <v>272.44431899810411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66.038118703231362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12.555555555555555</v>
      </c>
      <c r="BD74" s="13">
        <f>IF('Données projet'!$A$88&gt;35,BD73+BC74-BL73,IF(A74&lt;'Données projet'!$A$88,$BA$205^A74,IF(A74='Données projet'!$A$88,'Données projet'!$B$88,BD73+BC74-BL73)))</f>
        <v>299.11111111111086</v>
      </c>
      <c r="BE74" s="14">
        <f>BD74*VLOOKUP('Données projet'!$B$11,Paramètres!$A$1:$I$89,3,0)*VLOOKUP('Données projet'!$B$11,Paramètres!$A$1:$I$89,5,0)</f>
        <v>256.63733333333312</v>
      </c>
      <c r="BF74" s="14">
        <f t="shared" si="91"/>
        <v>62.005051158458208</v>
      </c>
      <c r="BG74" s="22">
        <f t="shared" si="61"/>
        <v>554.96881965653654</v>
      </c>
      <c r="BH74" s="62">
        <f t="shared" si="62"/>
        <v>833.7752549017182</v>
      </c>
      <c r="BI74" s="62">
        <f ca="1">AVERAGE(OFFSET($BH$3,0,0,'Données projet'!$E$11+1,1))-AVERAGE(OFFSET($H$3,0,0,'Données projet'!$E$11+1,1))</f>
        <v>464.73160475167867</v>
      </c>
      <c r="BJ74" s="62">
        <f t="shared" si="92"/>
        <v>241.31968359962227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66.038118703231362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4.5999999999999996</v>
      </c>
      <c r="BY74" s="13">
        <f>IF('Données projet'!$A$114&gt;35,BY73+BX74-CG73,IF(A74&lt;'Données projet'!$A$114,$BV$205^A74,IF(A74='Données projet'!$A$114,'Données projet'!$B$114,BY73+BX74-CG73)))</f>
        <v>241.60000000000011</v>
      </c>
      <c r="BZ74" s="14">
        <f>BY74*VLOOKUP('Données projet'!$B$12,Paramètres!$A$1:$I$89,3,0)*VLOOKUP('Données projet'!$B$12,Paramètres!$A$1:$I$89,5,0)</f>
        <v>158.29632000000007</v>
      </c>
      <c r="CA74" s="14">
        <f t="shared" si="93"/>
        <v>40.458006540983739</v>
      </c>
      <c r="CB74" s="22">
        <f t="shared" si="64"/>
        <v>346.16378539221341</v>
      </c>
      <c r="CC74" s="62">
        <f t="shared" si="65"/>
        <v>624.97022063739507</v>
      </c>
      <c r="CD74" s="62">
        <f ca="1">AVERAGE(OFFSET($CC$3,0,0,'Données projet'!$E$12+1,1))-AVERAGE(OFFSET($H$3,0,0,'Données projet'!$E$12+1,1))</f>
        <v>292.13851489852607</v>
      </c>
      <c r="CE74" s="62">
        <f t="shared" si="94"/>
        <v>280.10866188737418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66.038118703231362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-1.1368683772161603E-13</v>
      </c>
      <c r="CU74" s="18">
        <f>CT74*VLOOKUP('Données projet'!$B$13,Paramètres!$A$1:$I$89,3,0)*VLOOKUP('Données projet'!$B$13,Paramètres!$A$1:$I$89,5,0)</f>
        <v>-9.2222762759774927E-14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265.25572936607409</v>
      </c>
      <c r="CZ74" s="62">
        <f t="shared" si="96"/>
        <v>307.96244316129071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66.038118703231362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4.4871794871794863</v>
      </c>
      <c r="DO74" s="13">
        <f>IF('Données projet'!$A$166&gt;35,DO73+DN74-DW73,IF(A74&lt;'Données projet'!$A$166,$DL$205^A74,IF(A74='Données projet'!$A$166,'Données projet'!$B$166,DO73+DN74-DW73)))</f>
        <v>228.20512820512815</v>
      </c>
      <c r="DP74" s="18">
        <f>DO74*VLOOKUP('Données projet'!$B$14,Paramètres!$A$1:$I$89,3,0)*VLOOKUP('Données projet'!$B$14,Paramètres!$A$1:$I$89,5,0)</f>
        <v>217.15999999999997</v>
      </c>
      <c r="DQ74" s="14">
        <f t="shared" si="97"/>
        <v>53.497159756294458</v>
      </c>
      <c r="DR74" s="22">
        <f t="shared" si="70"/>
        <v>471.39455324221279</v>
      </c>
      <c r="DS74" s="62">
        <f t="shared" si="71"/>
        <v>750.2009884873944</v>
      </c>
      <c r="DT74" s="62">
        <f ca="1">AVERAGE(OFFSET($DS$3,0,0,'Données projet'!$E$14+1,1))-AVERAGE(OFFSET($H$3,0,0,'Données projet'!$E$14+1,1))</f>
        <v>425.41154182732936</v>
      </c>
      <c r="DU74" s="62">
        <f t="shared" si="98"/>
        <v>306.44721925744591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66.038118703231362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4.1799999999999953</v>
      </c>
      <c r="EJ74" s="13">
        <f>IF('Données projet'!$A$192&gt;35,EJ73+EI74-ER73,IF(A74&lt;'Données projet'!$A$192,$EG$205^A74,IF(A74='Données projet'!$A$192,'Données projet'!$B$192,EJ73+EI74-ER73)))</f>
        <v>306.77999999999992</v>
      </c>
      <c r="EK74" s="18">
        <f>EJ74*VLOOKUP('Données projet'!$B$15,Paramètres!$A$1:$I$89,3,0)*VLOOKUP('Données projet'!$B$15,Paramètres!$A$1:$I$89,5,0)</f>
        <v>224.93109599999991</v>
      </c>
      <c r="EL74" s="14">
        <f t="shared" si="99"/>
        <v>55.185248501771945</v>
      </c>
      <c r="EM74" s="22">
        <f t="shared" si="73"/>
        <v>487.8693000072526</v>
      </c>
      <c r="EN74" s="62">
        <f t="shared" si="74"/>
        <v>766.67573525243427</v>
      </c>
      <c r="EO74" s="62">
        <f ca="1">AVERAGE(OFFSET($EN$3,0,0,'Données projet'!$E$15+1,1))-AVERAGE(OFFSET($H$3,0,0,'Données projet'!$E$15+1,1))</f>
        <v>357.57626046668958</v>
      </c>
      <c r="EP74" s="62">
        <f t="shared" si="100"/>
        <v>386.90439522046199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66.038118703231362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1.1368683772161603E-13</v>
      </c>
      <c r="FF74" s="18">
        <f>FE74*VLOOKUP('Données projet'!$B$16,Paramètres!$A$1:$I$89,3,0)*VLOOKUP('Données projet'!$B$16,Paramètres!$A$1:$I$89,5,0)</f>
        <v>8.8675733422860506E-14</v>
      </c>
      <c r="FG74" s="14">
        <f t="shared" si="101"/>
        <v>1.3509285393066301E-12</v>
      </c>
      <c r="FH74" s="22">
        <f t="shared" si="76"/>
        <v>2.5073107750038623E-12</v>
      </c>
      <c r="FI74" s="62">
        <f t="shared" si="77"/>
        <v>278.80643524518416</v>
      </c>
      <c r="FJ74" s="62">
        <f ca="1">AVERAGE(OFFSET($FI$3,0,0,'Données projet'!$E$16+1,1))-AVERAGE(OFFSET($H$3,0,0,'Données projet'!$E$16+1,1))</f>
        <v>303.56663121833833</v>
      </c>
      <c r="FK74" s="62">
        <f t="shared" si="102"/>
        <v>293.97736357938038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66.038118703231362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4.1799999999999953</v>
      </c>
      <c r="FZ74" s="13">
        <f>IF('Données projet'!$A$244&gt;35,FZ73+FY74-GH73,IF(A74&lt;'Données projet'!$A$244,$FW$205^A74,IF(A74='Données projet'!$A$244,'Données projet'!$B$244,FZ73+FY74-GH73)))</f>
        <v>306.77999999999992</v>
      </c>
      <c r="GA74" s="18">
        <f>FZ74*VLOOKUP('Données projet'!$B$17,Paramètres!$A$1:$I$89,3,0)*VLOOKUP('Données projet'!$B$17,Paramètres!$A$1:$I$89,5,0)</f>
        <v>244.07416799999996</v>
      </c>
      <c r="GB74" s="14">
        <f t="shared" si="103"/>
        <v>59.315246950995579</v>
      </c>
      <c r="GC74" s="22">
        <f t="shared" si="79"/>
        <v>528.40323103965056</v>
      </c>
      <c r="GD74" s="62">
        <f t="shared" si="80"/>
        <v>807.20966628483222</v>
      </c>
      <c r="GE74" s="62">
        <f ca="1">AVERAGE(OFFSET($GD$3,0,0,'Données projet'!$E$17+1,1))-AVERAGE(OFFSET($H$3,0,0,'Données projet'!$E$17+1,1))</f>
        <v>383.71724511025587</v>
      </c>
      <c r="GF74" s="62">
        <f t="shared" si="104"/>
        <v>415.10774719533185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66.038118703231362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4.6153846153846247</v>
      </c>
      <c r="GU74" s="13">
        <f>IF('Données projet'!$A$270&gt;35,GU73+GT74-HC73,IF(A74&lt;'Données projet'!$A$270,$GR$205^A74,IF(A74='Données projet'!$A$270,'Données projet'!$B$270,GU73+GT74-HC73)))</f>
        <v>242.43589743589749</v>
      </c>
      <c r="GV74" s="18">
        <f>GU74*VLOOKUP('Données projet'!$B$18,Paramètres!$A$1:$I$89,3,0)*VLOOKUP('Données projet'!$B$18,Paramètres!$A$1:$I$89,5,0)</f>
        <v>162.62600000000003</v>
      </c>
      <c r="GW74" s="14">
        <f t="shared" si="105"/>
        <v>41.43425469159893</v>
      </c>
      <c r="GX74" s="22">
        <f t="shared" si="82"/>
        <v>355.40494358786822</v>
      </c>
      <c r="GY74" s="62">
        <f t="shared" si="83"/>
        <v>634.21137883304982</v>
      </c>
      <c r="GZ74" s="62">
        <f ca="1">AVERAGE(OFFSET($GY$3,0,0,'Données projet'!$E$18+1,1))-AVERAGE(OFFSET($H$3,0,0,'Données projet'!$E$18+1,1))</f>
        <v>329.93956600482801</v>
      </c>
      <c r="HA74" s="62">
        <f t="shared" si="106"/>
        <v>268.69186630599165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2.7450000000000001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10.065</v>
      </c>
      <c r="H75" s="70">
        <f t="shared" si="56"/>
        <v>216.40666666666667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66.106848486290659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2">
        <f t="shared" si="55"/>
        <v>898.12911844680536</v>
      </c>
      <c r="S75" s="62">
        <f ca="1">AVERAGE(OFFSET($R$3,0,0,'Données projet'!$E$9+1,1))-AVERAGE(OFFSET($H$3,0,0,'Données projet'!$E$9+1,1))</f>
        <v>551.67307965706379</v>
      </c>
      <c r="T75" s="62">
        <f t="shared" si="88"/>
        <v>288.70738860523943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66.106848486290659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317.2</v>
      </c>
      <c r="AJ75" s="14">
        <f>AI75*VLOOKUP('Données projet'!$B$10,Paramètres!$A$1:$I$89,3,0)*VLOOKUP('Données projet'!$B$10,Paramètres!$A$1:$I$89,5,0)</f>
        <v>267.20928000000004</v>
      </c>
      <c r="AK75" s="14">
        <f t="shared" si="89"/>
        <v>64.256650415058076</v>
      </c>
      <c r="AL75" s="22">
        <f t="shared" si="58"/>
        <v>577.3031621395595</v>
      </c>
      <c r="AM75" s="62">
        <f t="shared" si="59"/>
        <v>856.36160658929191</v>
      </c>
      <c r="AN75" s="62">
        <f ca="1">AVERAGE(OFFSET($AM$3,0,0,'Données projet'!$E$10+1,1))-AVERAGE(OFFSET($H$3,0,0,'Données projet'!$E$10+1,1))</f>
        <v>518.18933270904506</v>
      </c>
      <c r="AO75" s="62">
        <f t="shared" si="90"/>
        <v>272.44431899810411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66.106848486290659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12.555555555555555</v>
      </c>
      <c r="BD75" s="13">
        <f>IF('Données projet'!$A$88&gt;35,BD74+BC75-BL74,IF(A75&lt;'Données projet'!$A$88,$BA$205^A75,IF(A75='Données projet'!$A$88,'Données projet'!$B$88,BD74+BC75-BL74)))</f>
        <v>311.6666666666664</v>
      </c>
      <c r="BE75" s="14">
        <f>BD75*VLOOKUP('Données projet'!$B$11,Paramètres!$A$1:$I$89,3,0)*VLOOKUP('Données projet'!$B$11,Paramètres!$A$1:$I$89,5,0)</f>
        <v>267.4099999999998</v>
      </c>
      <c r="BF75" s="14">
        <f t="shared" si="91"/>
        <v>64.299297948636735</v>
      </c>
      <c r="BG75" s="22">
        <f t="shared" si="61"/>
        <v>577.72702726054183</v>
      </c>
      <c r="BH75" s="62">
        <f t="shared" si="62"/>
        <v>856.78547171027424</v>
      </c>
      <c r="BI75" s="62">
        <f ca="1">AVERAGE(OFFSET($BH$3,0,0,'Données projet'!$E$11+1,1))-AVERAGE(OFFSET($H$3,0,0,'Données projet'!$E$11+1,1))</f>
        <v>464.73160475167867</v>
      </c>
      <c r="BJ75" s="62">
        <f t="shared" si="92"/>
        <v>241.31968359962227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66.106848486290659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4.5999999999999996</v>
      </c>
      <c r="BY75" s="13">
        <f>IF('Données projet'!$A$114&gt;35,BY74+BX75-CG74,IF(A75&lt;'Données projet'!$A$114,$BV$205^A75,IF(A75='Données projet'!$A$114,'Données projet'!$B$114,BY74+BX75-CG74)))</f>
        <v>246.2000000000001</v>
      </c>
      <c r="BZ75" s="14">
        <f>BY75*VLOOKUP('Données projet'!$B$12,Paramètres!$A$1:$I$89,3,0)*VLOOKUP('Données projet'!$B$12,Paramètres!$A$1:$I$89,5,0)</f>
        <v>161.31024000000008</v>
      </c>
      <c r="CA75" s="14">
        <f t="shared" si="93"/>
        <v>41.137903274661141</v>
      </c>
      <c r="CB75" s="22">
        <f t="shared" si="64"/>
        <v>352.59718287003494</v>
      </c>
      <c r="CC75" s="62">
        <f t="shared" si="65"/>
        <v>631.65562731976729</v>
      </c>
      <c r="CD75" s="62">
        <f ca="1">AVERAGE(OFFSET($CC$3,0,0,'Données projet'!$E$12+1,1))-AVERAGE(OFFSET($H$3,0,0,'Données projet'!$E$12+1,1))</f>
        <v>292.13851489852607</v>
      </c>
      <c r="CE75" s="62">
        <f t="shared" si="94"/>
        <v>280.10866188737418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66.106848486290659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-1.1368683772161603E-13</v>
      </c>
      <c r="CU75" s="18">
        <f>CT75*VLOOKUP('Données projet'!$B$13,Paramètres!$A$1:$I$89,3,0)*VLOOKUP('Données projet'!$B$13,Paramètres!$A$1:$I$89,5,0)</f>
        <v>-9.2222762759774927E-14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265.25572936607409</v>
      </c>
      <c r="CZ75" s="62">
        <f t="shared" si="96"/>
        <v>307.96244316129071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66.106848486290659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4.4871794871794863</v>
      </c>
      <c r="DO75" s="13">
        <f>IF('Données projet'!$A$166&gt;35,DO74+DN75-DW74,IF(A75&lt;'Données projet'!$A$166,$DL$205^A75,IF(A75='Données projet'!$A$166,'Données projet'!$B$166,DO74+DN75-DW74)))</f>
        <v>232.69230769230762</v>
      </c>
      <c r="DP75" s="18">
        <f>DO75*VLOOKUP('Données projet'!$B$14,Paramètres!$A$1:$I$89,3,0)*VLOOKUP('Données projet'!$B$14,Paramètres!$A$1:$I$89,5,0)</f>
        <v>221.42999999999995</v>
      </c>
      <c r="DQ75" s="14">
        <f t="shared" si="97"/>
        <v>54.425571861733111</v>
      </c>
      <c r="DR75" s="22">
        <f t="shared" si="70"/>
        <v>480.44845432585163</v>
      </c>
      <c r="DS75" s="62">
        <f t="shared" si="71"/>
        <v>759.50689877558398</v>
      </c>
      <c r="DT75" s="62">
        <f ca="1">AVERAGE(OFFSET($DS$3,0,0,'Données projet'!$E$14+1,1))-AVERAGE(OFFSET($H$3,0,0,'Données projet'!$E$14+1,1))</f>
        <v>425.41154182732936</v>
      </c>
      <c r="DU75" s="62">
        <f t="shared" si="98"/>
        <v>306.44721925744591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66.106848486290659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4.1799999999999953</v>
      </c>
      <c r="EJ75" s="13">
        <f>IF('Données projet'!$A$192&gt;35,EJ74+EI75-ER74,IF(A75&lt;'Données projet'!$A$192,$EG$205^A75,IF(A75='Données projet'!$A$192,'Données projet'!$B$192,EJ74+EI75-ER74)))</f>
        <v>310.95999999999992</v>
      </c>
      <c r="EK75" s="18">
        <f>EJ75*VLOOKUP('Données projet'!$B$15,Paramètres!$A$1:$I$89,3,0)*VLOOKUP('Données projet'!$B$15,Paramètres!$A$1:$I$89,5,0)</f>
        <v>227.99587199999993</v>
      </c>
      <c r="EL75" s="14">
        <f t="shared" si="99"/>
        <v>55.849121725085425</v>
      </c>
      <c r="EM75" s="22">
        <f t="shared" si="73"/>
        <v>494.36336407119035</v>
      </c>
      <c r="EN75" s="62">
        <f t="shared" si="74"/>
        <v>773.4218085209227</v>
      </c>
      <c r="EO75" s="62">
        <f ca="1">AVERAGE(OFFSET($EN$3,0,0,'Données projet'!$E$15+1,1))-AVERAGE(OFFSET($H$3,0,0,'Données projet'!$E$15+1,1))</f>
        <v>357.57626046668958</v>
      </c>
      <c r="EP75" s="62">
        <f t="shared" si="100"/>
        <v>386.90439522046199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66.106848486290659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1.1368683772161603E-13</v>
      </c>
      <c r="FF75" s="18">
        <f>FE75*VLOOKUP('Données projet'!$B$16,Paramètres!$A$1:$I$89,3,0)*VLOOKUP('Données projet'!$B$16,Paramètres!$A$1:$I$89,5,0)</f>
        <v>8.8675733422860506E-14</v>
      </c>
      <c r="FG75" s="14">
        <f t="shared" si="101"/>
        <v>1.3509285393066301E-12</v>
      </c>
      <c r="FH75" s="22">
        <f t="shared" si="76"/>
        <v>2.5073107750038623E-12</v>
      </c>
      <c r="FI75" s="62">
        <f t="shared" si="77"/>
        <v>279.05844444973491</v>
      </c>
      <c r="FJ75" s="62">
        <f ca="1">AVERAGE(OFFSET($FI$3,0,0,'Données projet'!$E$16+1,1))-AVERAGE(OFFSET($H$3,0,0,'Données projet'!$E$16+1,1))</f>
        <v>303.56663121833833</v>
      </c>
      <c r="FK75" s="62">
        <f t="shared" si="102"/>
        <v>293.97736357938038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66.106848486290659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4.1799999999999953</v>
      </c>
      <c r="FZ75" s="13">
        <f>IF('Données projet'!$A$244&gt;35,FZ74+FY75-GH74,IF(A75&lt;'Données projet'!$A$244,$FW$205^A75,IF(A75='Données projet'!$A$244,'Données projet'!$B$244,FZ74+FY75-GH74)))</f>
        <v>310.95999999999992</v>
      </c>
      <c r="GA75" s="18">
        <f>FZ75*VLOOKUP('Données projet'!$B$17,Paramètres!$A$1:$I$89,3,0)*VLOOKUP('Données projet'!$B$17,Paramètres!$A$1:$I$89,5,0)</f>
        <v>247.39977599999995</v>
      </c>
      <c r="GB75" s="14">
        <f t="shared" si="103"/>
        <v>60.028803657797908</v>
      </c>
      <c r="GC75" s="22">
        <f t="shared" si="79"/>
        <v>535.43810957066455</v>
      </c>
      <c r="GD75" s="62">
        <f t="shared" si="80"/>
        <v>814.49655402039696</v>
      </c>
      <c r="GE75" s="62">
        <f ca="1">AVERAGE(OFFSET($GD$3,0,0,'Données projet'!$E$17+1,1))-AVERAGE(OFFSET($H$3,0,0,'Données projet'!$E$17+1,1))</f>
        <v>383.71724511025587</v>
      </c>
      <c r="GF75" s="62">
        <f t="shared" si="104"/>
        <v>415.10774719533185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66.106848486290659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4.6153846153846247</v>
      </c>
      <c r="GU75" s="13">
        <f>IF('Données projet'!$A$270&gt;35,GU74+GT75-HC74,IF(A75&lt;'Données projet'!$A$270,$GR$205^A75,IF(A75='Données projet'!$A$270,'Données projet'!$B$270,GU74+GT75-HC74)))</f>
        <v>247.0512820512821</v>
      </c>
      <c r="GV75" s="18">
        <f>GU75*VLOOKUP('Données projet'!$B$18,Paramètres!$A$1:$I$89,3,0)*VLOOKUP('Données projet'!$B$18,Paramètres!$A$1:$I$89,5,0)</f>
        <v>165.72200000000004</v>
      </c>
      <c r="GW75" s="14">
        <f t="shared" si="105"/>
        <v>42.130477313738041</v>
      </c>
      <c r="GX75" s="22">
        <f t="shared" si="82"/>
        <v>362.00973132142713</v>
      </c>
      <c r="GY75" s="62">
        <f t="shared" si="83"/>
        <v>641.06817577115953</v>
      </c>
      <c r="GZ75" s="62">
        <f ca="1">AVERAGE(OFFSET($GY$3,0,0,'Données projet'!$E$18+1,1))-AVERAGE(OFFSET($H$3,0,0,'Données projet'!$E$18+1,1))</f>
        <v>329.93956600482801</v>
      </c>
      <c r="HA75" s="62">
        <f t="shared" si="106"/>
        <v>268.69186630599165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2.7450000000000001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10.065</v>
      </c>
      <c r="H76" s="70">
        <f t="shared" si="56"/>
        <v>216.40666666666667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66.174385961270644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2">
        <f t="shared" si="55"/>
        <v>912.87352319035563</v>
      </c>
      <c r="S76" s="62">
        <f ca="1">AVERAGE(OFFSET($R$3,0,0,'Données projet'!$E$9+1,1))-AVERAGE(OFFSET($H$3,0,0,'Données projet'!$E$9+1,1))</f>
        <v>551.67307965706379</v>
      </c>
      <c r="T76" s="62">
        <f t="shared" si="88"/>
        <v>288.70738860523943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66.174385961270644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324.8</v>
      </c>
      <c r="AJ76" s="14">
        <f>AI76*VLOOKUP('Données projet'!$B$10,Paramètres!$A$1:$I$89,3,0)*VLOOKUP('Données projet'!$B$10,Paramètres!$A$1:$I$89,5,0)</f>
        <v>273.61152000000004</v>
      </c>
      <c r="AK76" s="14">
        <f t="shared" si="89"/>
        <v>65.615131256792893</v>
      </c>
      <c r="AL76" s="22">
        <f t="shared" si="58"/>
        <v>590.81975093891435</v>
      </c>
      <c r="AM76" s="62">
        <f t="shared" si="59"/>
        <v>870.12583279690671</v>
      </c>
      <c r="AN76" s="62">
        <f ca="1">AVERAGE(OFFSET($AM$3,0,0,'Données projet'!$E$10+1,1))-AVERAGE(OFFSET($H$3,0,0,'Données projet'!$E$10+1,1))</f>
        <v>518.18933270904506</v>
      </c>
      <c r="AO76" s="62">
        <f t="shared" si="90"/>
        <v>272.44431899810411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66.174385961270644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12.555555555555555</v>
      </c>
      <c r="BD76" s="13">
        <f>IF('Données projet'!$A$88&gt;35,BD75+BC76-BL75,IF(A76&lt;'Données projet'!$A$88,$BA$205^A76,IF(A76='Données projet'!$A$88,'Données projet'!$B$88,BD75+BC76-BL75)))</f>
        <v>324.22222222222194</v>
      </c>
      <c r="BE76" s="14">
        <f>BD76*VLOOKUP('Données projet'!$B$11,Paramètres!$A$1:$I$89,3,0)*VLOOKUP('Données projet'!$B$11,Paramètres!$A$1:$I$89,5,0)</f>
        <v>278.18266666666648</v>
      </c>
      <c r="BF76" s="14">
        <f t="shared" si="91"/>
        <v>66.582808678967709</v>
      </c>
      <c r="BG76" s="22">
        <f t="shared" si="61"/>
        <v>600.46653622697943</v>
      </c>
      <c r="BH76" s="62">
        <f t="shared" si="62"/>
        <v>879.77261808497178</v>
      </c>
      <c r="BI76" s="62">
        <f ca="1">AVERAGE(OFFSET($BH$3,0,0,'Données projet'!$E$11+1,1))-AVERAGE(OFFSET($H$3,0,0,'Données projet'!$E$11+1,1))</f>
        <v>464.73160475167867</v>
      </c>
      <c r="BJ76" s="62">
        <f t="shared" si="92"/>
        <v>241.31968359962227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66.174385961270644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4.5999999999999996</v>
      </c>
      <c r="BY76" s="13">
        <f>IF('Données projet'!$A$114&gt;35,BY75+BX76-CG75,IF(A76&lt;'Données projet'!$A$114,$BV$205^A76,IF(A76='Données projet'!$A$114,'Données projet'!$B$114,BY75+BX76-CG75)))</f>
        <v>250.8000000000001</v>
      </c>
      <c r="BZ76" s="14">
        <f>BY76*VLOOKUP('Données projet'!$B$12,Paramètres!$A$1:$I$89,3,0)*VLOOKUP('Données projet'!$B$12,Paramètres!$A$1:$I$89,5,0)</f>
        <v>164.32416000000006</v>
      </c>
      <c r="CA76" s="14">
        <f t="shared" si="93"/>
        <v>41.816322873092751</v>
      </c>
      <c r="CB76" s="22">
        <f t="shared" si="64"/>
        <v>359.02800767063667</v>
      </c>
      <c r="CC76" s="62">
        <f t="shared" si="65"/>
        <v>638.33408952862897</v>
      </c>
      <c r="CD76" s="62">
        <f ca="1">AVERAGE(OFFSET($CC$3,0,0,'Données projet'!$E$12+1,1))-AVERAGE(OFFSET($H$3,0,0,'Données projet'!$E$12+1,1))</f>
        <v>292.13851489852607</v>
      </c>
      <c r="CE76" s="62">
        <f t="shared" si="94"/>
        <v>280.10866188737418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66.174385961270644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-1.1368683772161603E-13</v>
      </c>
      <c r="CU76" s="18">
        <f>CT76*VLOOKUP('Données projet'!$B$13,Paramètres!$A$1:$I$89,3,0)*VLOOKUP('Données projet'!$B$13,Paramètres!$A$1:$I$89,5,0)</f>
        <v>-9.2222762759774927E-14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265.25572936607409</v>
      </c>
      <c r="CZ76" s="62">
        <f t="shared" si="96"/>
        <v>307.96244316129071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66.174385961270644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4.4871794871794863</v>
      </c>
      <c r="DO76" s="13">
        <f>IF('Données projet'!$A$166&gt;35,DO75+DN76-DW75,IF(A76&lt;'Données projet'!$A$166,$DL$205^A76,IF(A76='Données projet'!$A$166,'Données projet'!$B$166,DO75+DN76-DW75)))</f>
        <v>237.1794871794871</v>
      </c>
      <c r="DP76" s="18">
        <f>DO76*VLOOKUP('Données projet'!$B$14,Paramètres!$A$1:$I$89,3,0)*VLOOKUP('Données projet'!$B$14,Paramètres!$A$1:$I$89,5,0)</f>
        <v>225.69999999999993</v>
      </c>
      <c r="DQ76" s="14">
        <f t="shared" si="97"/>
        <v>55.351902227969966</v>
      </c>
      <c r="DR76" s="22">
        <f t="shared" si="70"/>
        <v>489.49872971371423</v>
      </c>
      <c r="DS76" s="62">
        <f t="shared" si="71"/>
        <v>768.80481157170652</v>
      </c>
      <c r="DT76" s="62">
        <f ca="1">AVERAGE(OFFSET($DS$3,0,0,'Données projet'!$E$14+1,1))-AVERAGE(OFFSET($H$3,0,0,'Données projet'!$E$14+1,1))</f>
        <v>425.41154182732936</v>
      </c>
      <c r="DU76" s="62">
        <f t="shared" si="98"/>
        <v>306.44721925744591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66.174385961270644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4.1799999999999953</v>
      </c>
      <c r="EJ76" s="13">
        <f>IF('Données projet'!$A$192&gt;35,EJ75+EI76-ER75,IF(A76&lt;'Données projet'!$A$192,$EG$205^A76,IF(A76='Données projet'!$A$192,'Données projet'!$B$192,EJ75+EI76-ER75)))</f>
        <v>315.13999999999993</v>
      </c>
      <c r="EK76" s="18">
        <f>EJ76*VLOOKUP('Données projet'!$B$15,Paramètres!$A$1:$I$89,3,0)*VLOOKUP('Données projet'!$B$15,Paramètres!$A$1:$I$89,5,0)</f>
        <v>231.06064799999993</v>
      </c>
      <c r="EL76" s="14">
        <f t="shared" si="99"/>
        <v>56.511956980324314</v>
      </c>
      <c r="EM76" s="22">
        <f t="shared" si="73"/>
        <v>500.85562034073132</v>
      </c>
      <c r="EN76" s="62">
        <f t="shared" si="74"/>
        <v>780.16170219872367</v>
      </c>
      <c r="EO76" s="62">
        <f ca="1">AVERAGE(OFFSET($EN$3,0,0,'Données projet'!$E$15+1,1))-AVERAGE(OFFSET($H$3,0,0,'Données projet'!$E$15+1,1))</f>
        <v>357.57626046668958</v>
      </c>
      <c r="EP76" s="62">
        <f t="shared" si="100"/>
        <v>386.90439522046199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66.174385961270644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1.1368683772161603E-13</v>
      </c>
      <c r="FF76" s="18">
        <f>FE76*VLOOKUP('Données projet'!$B$16,Paramètres!$A$1:$I$89,3,0)*VLOOKUP('Données projet'!$B$16,Paramètres!$A$1:$I$89,5,0)</f>
        <v>8.8675733422860506E-14</v>
      </c>
      <c r="FG76" s="14">
        <f t="shared" si="101"/>
        <v>1.3509285393066301E-12</v>
      </c>
      <c r="FH76" s="22">
        <f t="shared" si="76"/>
        <v>2.5073107750038623E-12</v>
      </c>
      <c r="FI76" s="62">
        <f t="shared" si="77"/>
        <v>279.30608185799485</v>
      </c>
      <c r="FJ76" s="62">
        <f ca="1">AVERAGE(OFFSET($FI$3,0,0,'Données projet'!$E$16+1,1))-AVERAGE(OFFSET($H$3,0,0,'Données projet'!$E$16+1,1))</f>
        <v>303.56663121833833</v>
      </c>
      <c r="FK76" s="62">
        <f t="shared" si="102"/>
        <v>293.97736357938038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66.174385961270644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4.1799999999999953</v>
      </c>
      <c r="FZ76" s="13">
        <f>IF('Données projet'!$A$244&gt;35,FZ75+FY76-GH75,IF(A76&lt;'Données projet'!$A$244,$FW$205^A76,IF(A76='Données projet'!$A$244,'Données projet'!$B$244,FZ75+FY76-GH75)))</f>
        <v>315.13999999999993</v>
      </c>
      <c r="GA76" s="18">
        <f>FZ76*VLOOKUP('Données projet'!$B$17,Paramètres!$A$1:$I$89,3,0)*VLOOKUP('Données projet'!$B$17,Paramètres!$A$1:$I$89,5,0)</f>
        <v>250.72538399999993</v>
      </c>
      <c r="GB76" s="14">
        <f t="shared" si="103"/>
        <v>60.741244716227833</v>
      </c>
      <c r="GC76" s="22">
        <f t="shared" si="79"/>
        <v>542.47104501409672</v>
      </c>
      <c r="GD76" s="62">
        <f t="shared" si="80"/>
        <v>821.77712687208907</v>
      </c>
      <c r="GE76" s="62">
        <f ca="1">AVERAGE(OFFSET($GD$3,0,0,'Données projet'!$E$17+1,1))-AVERAGE(OFFSET($H$3,0,0,'Données projet'!$E$17+1,1))</f>
        <v>383.71724511025587</v>
      </c>
      <c r="GF76" s="62">
        <f t="shared" si="104"/>
        <v>415.10774719533185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66.174385961270644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4.6153846153846247</v>
      </c>
      <c r="GU76" s="13">
        <f>IF('Données projet'!$A$270&gt;35,GU75+GT76-HC75,IF(A76&lt;'Données projet'!$A$270,$GR$205^A76,IF(A76='Données projet'!$A$270,'Données projet'!$B$270,GU75+GT76-HC75)))</f>
        <v>251.66666666666671</v>
      </c>
      <c r="GV76" s="18">
        <f>GU76*VLOOKUP('Données projet'!$B$18,Paramètres!$A$1:$I$89,3,0)*VLOOKUP('Données projet'!$B$18,Paramètres!$A$1:$I$89,5,0)</f>
        <v>168.81800000000004</v>
      </c>
      <c r="GW76" s="14">
        <f t="shared" si="105"/>
        <v>42.825187501685285</v>
      </c>
      <c r="GX76" s="22">
        <f t="shared" si="82"/>
        <v>368.61188489876866</v>
      </c>
      <c r="GY76" s="62">
        <f t="shared" si="83"/>
        <v>647.91796675676096</v>
      </c>
      <c r="GZ76" s="62">
        <f ca="1">AVERAGE(OFFSET($GY$3,0,0,'Données projet'!$E$18+1,1))-AVERAGE(OFFSET($H$3,0,0,'Données projet'!$E$18+1,1))</f>
        <v>329.93956600482801</v>
      </c>
      <c r="HA76" s="62">
        <f t="shared" si="106"/>
        <v>268.69186630599165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2.7450000000000001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10.065</v>
      </c>
      <c r="H77" s="70">
        <f t="shared" si="56"/>
        <v>216.40666666666667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66.240751812050917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2">
        <f t="shared" si="55"/>
        <v>927.60677644040948</v>
      </c>
      <c r="S77" s="62">
        <f ca="1">AVERAGE(OFFSET($R$3,0,0,'Données projet'!$E$9+1,1))-AVERAGE(OFFSET($H$3,0,0,'Données projet'!$E$9+1,1))</f>
        <v>551.67307965706379</v>
      </c>
      <c r="T77" s="62">
        <f t="shared" si="88"/>
        <v>288.70738860523943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66.240751812050917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332.40000000000003</v>
      </c>
      <c r="AJ77" s="14">
        <f>AI77*VLOOKUP('Données projet'!$B$10,Paramètres!$A$1:$I$89,3,0)*VLOOKUP('Données projet'!$B$10,Paramètres!$A$1:$I$89,5,0)</f>
        <v>280.01376000000005</v>
      </c>
      <c r="AK77" s="14">
        <f t="shared" si="89"/>
        <v>66.969916756344503</v>
      </c>
      <c r="AL77" s="22">
        <f t="shared" si="58"/>
        <v>604.32990368396679</v>
      </c>
      <c r="AM77" s="62">
        <f t="shared" si="59"/>
        <v>883.87932699482008</v>
      </c>
      <c r="AN77" s="62">
        <f ca="1">AVERAGE(OFFSET($AM$3,0,0,'Données projet'!$E$10+1,1))-AVERAGE(OFFSET($H$3,0,0,'Données projet'!$E$10+1,1))</f>
        <v>518.18933270904506</v>
      </c>
      <c r="AO77" s="62">
        <f t="shared" si="90"/>
        <v>272.44431899810411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66.240751812050917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12.555555555555555</v>
      </c>
      <c r="BD77" s="13">
        <f>IF('Données projet'!$A$88&gt;35,BD76+BC77-BL76,IF(A77&lt;'Données projet'!$A$88,$BA$205^A77,IF(A77='Données projet'!$A$88,'Données projet'!$B$88,BD76+BC77-BL76)))</f>
        <v>336.77777777777749</v>
      </c>
      <c r="BE77" s="14">
        <f>BD77*VLOOKUP('Données projet'!$B$11,Paramètres!$A$1:$I$89,3,0)*VLOOKUP('Données projet'!$B$11,Paramètres!$A$1:$I$89,5,0)</f>
        <v>288.95533333333316</v>
      </c>
      <c r="BF77" s="14">
        <f t="shared" si="91"/>
        <v>68.856046690289261</v>
      </c>
      <c r="BG77" s="22">
        <f t="shared" si="61"/>
        <v>623.18815354114236</v>
      </c>
      <c r="BH77" s="62">
        <f t="shared" si="62"/>
        <v>902.73757685199575</v>
      </c>
      <c r="BI77" s="62">
        <f ca="1">AVERAGE(OFFSET($BH$3,0,0,'Données projet'!$E$11+1,1))-AVERAGE(OFFSET($H$3,0,0,'Données projet'!$E$11+1,1))</f>
        <v>464.73160475167867</v>
      </c>
      <c r="BJ77" s="62">
        <f t="shared" si="92"/>
        <v>241.31968359962227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66.240751812050917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4.5999999999999996</v>
      </c>
      <c r="BY77" s="13">
        <f>IF('Données projet'!$A$114&gt;35,BY76+BX77-CG76,IF(A77&lt;'Données projet'!$A$114,$BV$205^A77,IF(A77='Données projet'!$A$114,'Données projet'!$B$114,BY76+BX77-CG76)))</f>
        <v>255.40000000000009</v>
      </c>
      <c r="BZ77" s="14">
        <f>BY77*VLOOKUP('Données projet'!$B$12,Paramètres!$A$1:$I$89,3,0)*VLOOKUP('Données projet'!$B$12,Paramètres!$A$1:$I$89,5,0)</f>
        <v>167.33808000000005</v>
      </c>
      <c r="CA77" s="14">
        <f t="shared" si="93"/>
        <v>42.493295553601513</v>
      </c>
      <c r="CB77" s="22">
        <f t="shared" si="64"/>
        <v>365.45631242252267</v>
      </c>
      <c r="CC77" s="62">
        <f t="shared" si="65"/>
        <v>645.00573573337601</v>
      </c>
      <c r="CD77" s="62">
        <f ca="1">AVERAGE(OFFSET($CC$3,0,0,'Données projet'!$E$12+1,1))-AVERAGE(OFFSET($H$3,0,0,'Données projet'!$E$12+1,1))</f>
        <v>292.13851489852607</v>
      </c>
      <c r="CE77" s="62">
        <f t="shared" si="94"/>
        <v>280.10866188737418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66.240751812050917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-1.1368683772161603E-13</v>
      </c>
      <c r="CU77" s="18">
        <f>CT77*VLOOKUP('Données projet'!$B$13,Paramètres!$A$1:$I$89,3,0)*VLOOKUP('Données projet'!$B$13,Paramètres!$A$1:$I$89,5,0)</f>
        <v>-9.2222762759774927E-14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265.25572936607409</v>
      </c>
      <c r="CZ77" s="62">
        <f t="shared" si="96"/>
        <v>307.96244316129071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66.240751812050917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4.4871794871794863</v>
      </c>
      <c r="DO77" s="13">
        <f>IF('Données projet'!$A$166&gt;35,DO76+DN77-DW76,IF(A77&lt;'Données projet'!$A$166,$DL$205^A77,IF(A77='Données projet'!$A$166,'Données projet'!$B$166,DO76+DN77-DW76)))</f>
        <v>241.66666666666657</v>
      </c>
      <c r="DP77" s="18">
        <f>DO77*VLOOKUP('Données projet'!$B$14,Paramètres!$A$1:$I$89,3,0)*VLOOKUP('Données projet'!$B$14,Paramètres!$A$1:$I$89,5,0)</f>
        <v>229.96999999999991</v>
      </c>
      <c r="DQ77" s="14">
        <f t="shared" si="97"/>
        <v>56.276194780495985</v>
      </c>
      <c r="DR77" s="22">
        <f t="shared" si="70"/>
        <v>498.54545590936368</v>
      </c>
      <c r="DS77" s="62">
        <f t="shared" si="71"/>
        <v>778.09487922021708</v>
      </c>
      <c r="DT77" s="62">
        <f ca="1">AVERAGE(OFFSET($DS$3,0,0,'Données projet'!$E$14+1,1))-AVERAGE(OFFSET($H$3,0,0,'Données projet'!$E$14+1,1))</f>
        <v>425.41154182732936</v>
      </c>
      <c r="DU77" s="62">
        <f t="shared" si="98"/>
        <v>306.44721925744591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66.240751812050917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4.1799999999999953</v>
      </c>
      <c r="EJ77" s="13">
        <f>IF('Données projet'!$A$192&gt;35,EJ76+EI77-ER76,IF(A77&lt;'Données projet'!$A$192,$EG$205^A77,IF(A77='Données projet'!$A$192,'Données projet'!$B$192,EJ76+EI77-ER76)))</f>
        <v>319.31999999999994</v>
      </c>
      <c r="EK77" s="18">
        <f>EJ77*VLOOKUP('Données projet'!$B$15,Paramètres!$A$1:$I$89,3,0)*VLOOKUP('Données projet'!$B$15,Paramètres!$A$1:$I$89,5,0)</f>
        <v>234.12542399999995</v>
      </c>
      <c r="EL77" s="14">
        <f t="shared" si="99"/>
        <v>57.173769626631554</v>
      </c>
      <c r="EM77" s="22">
        <f t="shared" si="73"/>
        <v>507.34609556638321</v>
      </c>
      <c r="EN77" s="62">
        <f t="shared" si="74"/>
        <v>786.89551887723655</v>
      </c>
      <c r="EO77" s="62">
        <f ca="1">AVERAGE(OFFSET($EN$3,0,0,'Données projet'!$E$15+1,1))-AVERAGE(OFFSET($H$3,0,0,'Données projet'!$E$15+1,1))</f>
        <v>357.57626046668958</v>
      </c>
      <c r="EP77" s="62">
        <f t="shared" si="100"/>
        <v>386.90439522046199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66.240751812050917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1.1368683772161603E-13</v>
      </c>
      <c r="FF77" s="18">
        <f>FE77*VLOOKUP('Données projet'!$B$16,Paramètres!$A$1:$I$89,3,0)*VLOOKUP('Données projet'!$B$16,Paramètres!$A$1:$I$89,5,0)</f>
        <v>8.8675733422860506E-14</v>
      </c>
      <c r="FG77" s="14">
        <f t="shared" si="101"/>
        <v>1.3509285393066301E-12</v>
      </c>
      <c r="FH77" s="22">
        <f t="shared" si="76"/>
        <v>2.5073107750038623E-12</v>
      </c>
      <c r="FI77" s="62">
        <f t="shared" si="77"/>
        <v>279.54942331085584</v>
      </c>
      <c r="FJ77" s="62">
        <f ca="1">AVERAGE(OFFSET($FI$3,0,0,'Données projet'!$E$16+1,1))-AVERAGE(OFFSET($H$3,0,0,'Données projet'!$E$16+1,1))</f>
        <v>303.56663121833833</v>
      </c>
      <c r="FK77" s="62">
        <f t="shared" si="102"/>
        <v>293.97736357938038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66.240751812050917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4.1799999999999953</v>
      </c>
      <c r="FZ77" s="13">
        <f>IF('Données projet'!$A$244&gt;35,FZ76+FY77-GH76,IF(A77&lt;'Données projet'!$A$244,$FW$205^A77,IF(A77='Données projet'!$A$244,'Données projet'!$B$244,FZ76+FY77-GH76)))</f>
        <v>319.31999999999994</v>
      </c>
      <c r="GA77" s="18">
        <f>FZ77*VLOOKUP('Données projet'!$B$17,Paramètres!$A$1:$I$89,3,0)*VLOOKUP('Données projet'!$B$17,Paramètres!$A$1:$I$89,5,0)</f>
        <v>254.05099199999995</v>
      </c>
      <c r="GB77" s="14">
        <f t="shared" si="103"/>
        <v>61.45258663488832</v>
      </c>
      <c r="GC77" s="22">
        <f t="shared" si="79"/>
        <v>549.50206612243039</v>
      </c>
      <c r="GD77" s="62">
        <f t="shared" si="80"/>
        <v>829.05148943328368</v>
      </c>
      <c r="GE77" s="62">
        <f ca="1">AVERAGE(OFFSET($GD$3,0,0,'Données projet'!$E$17+1,1))-AVERAGE(OFFSET($H$3,0,0,'Données projet'!$E$17+1,1))</f>
        <v>383.71724511025587</v>
      </c>
      <c r="GF77" s="62">
        <f t="shared" si="104"/>
        <v>415.10774719533185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66.240751812050917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4.6153846153846247</v>
      </c>
      <c r="GU77" s="13">
        <f>IF('Données projet'!$A$270&gt;35,GU76+GT77-HC76,IF(A77&lt;'Données projet'!$A$270,$GR$205^A77,IF(A77='Données projet'!$A$270,'Données projet'!$B$270,GU76+GT77-HC76)))</f>
        <v>256.28205128205133</v>
      </c>
      <c r="GV77" s="18">
        <f>GU77*VLOOKUP('Données projet'!$B$18,Paramètres!$A$1:$I$89,3,0)*VLOOKUP('Données projet'!$B$18,Paramètres!$A$1:$I$89,5,0)</f>
        <v>171.91400000000002</v>
      </c>
      <c r="GW77" s="14">
        <f t="shared" si="105"/>
        <v>43.518416191440224</v>
      </c>
      <c r="GX77" s="22">
        <f t="shared" si="82"/>
        <v>375.21145820009173</v>
      </c>
      <c r="GY77" s="62">
        <f t="shared" si="83"/>
        <v>654.76088151094507</v>
      </c>
      <c r="GZ77" s="62">
        <f ca="1">AVERAGE(OFFSET($GY$3,0,0,'Données projet'!$E$18+1,1))-AVERAGE(OFFSET($H$3,0,0,'Données projet'!$E$18+1,1))</f>
        <v>329.93956600482801</v>
      </c>
      <c r="HA77" s="62">
        <f t="shared" si="106"/>
        <v>268.69186630599165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2.7450000000000001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10.065</v>
      </c>
      <c r="H78" s="70">
        <f t="shared" si="56"/>
        <v>216.40666666666667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66.305966363691965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2">
        <f t="shared" si="55"/>
        <v>942.32912751060644</v>
      </c>
      <c r="S78" s="62">
        <f ca="1">AVERAGE(OFFSET($R$3,0,0,'Données projet'!$E$9+1,1))-AVERAGE(OFFSET($H$3,0,0,'Données projet'!$E$9+1,1))</f>
        <v>551.67307965706379</v>
      </c>
      <c r="T78" s="62">
        <f t="shared" si="88"/>
        <v>288.70738860523943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66.305966363691965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340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340.00000000000006</v>
      </c>
      <c r="AJ78" s="14">
        <f>AI78*VLOOKUP('Données projet'!$B$10,Paramètres!$A$1:$I$89,3,0)*VLOOKUP('Données projet'!$B$10,Paramètres!$A$1:$I$89,5,0)</f>
        <v>286.41600000000011</v>
      </c>
      <c r="AK78" s="14">
        <f t="shared" si="89"/>
        <v>68.321101129951245</v>
      </c>
      <c r="AL78" s="22">
        <f t="shared" si="58"/>
        <v>617.83378446799861</v>
      </c>
      <c r="AM78" s="62">
        <f t="shared" si="59"/>
        <v>897.6223278015359</v>
      </c>
      <c r="AN78" s="62">
        <f ca="1">AVERAGE(OFFSET($AM$3,0,0,'Données projet'!$E$10+1,1))-AVERAGE(OFFSET($H$3,0,0,'Données projet'!$E$10+1,1))</f>
        <v>518.18933270904506</v>
      </c>
      <c r="AO78" s="62">
        <f t="shared" si="90"/>
        <v>272.44431899810411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56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66.305966363691965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12.555555555555555</v>
      </c>
      <c r="BD78" s="13">
        <f>IF('Données projet'!$A$88&gt;35,BD77+BC78-BL77,IF(A78&lt;'Données projet'!$A$88,$BA$205^A78,IF(A78='Données projet'!$A$88,'Données projet'!$B$88,BD77+BC78-BL77)))</f>
        <v>349.33333333333303</v>
      </c>
      <c r="BE78" s="14">
        <f>BD78*VLOOKUP('Données projet'!$B$11,Paramètres!$A$1:$I$89,3,0)*VLOOKUP('Données projet'!$B$11,Paramètres!$A$1:$I$89,5,0)</f>
        <v>299.72799999999978</v>
      </c>
      <c r="BF78" s="14">
        <f t="shared" si="91"/>
        <v>71.119438818118951</v>
      </c>
      <c r="BG78" s="22">
        <f t="shared" si="61"/>
        <v>645.89262260822341</v>
      </c>
      <c r="BH78" s="62">
        <f t="shared" si="62"/>
        <v>925.68116594176058</v>
      </c>
      <c r="BI78" s="62">
        <f ca="1">AVERAGE(OFFSET($BH$3,0,0,'Données projet'!$E$11+1,1))-AVERAGE(OFFSET($H$3,0,0,'Données projet'!$E$11+1,1))</f>
        <v>464.73160475167867</v>
      </c>
      <c r="BJ78" s="62">
        <f t="shared" si="92"/>
        <v>241.31968359962227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66.305966363691965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260</v>
      </c>
      <c r="BW78" s="13">
        <f>VLOOKUP(A78,'Données projet'!$A$113:$I$133,9,0)</f>
        <v>4.5999999999999996</v>
      </c>
      <c r="BX78" s="13">
        <f t="array" ref="BX78">INDEX(BW:BW,MIN(IF(ISNUMBER(BW78:BW274),ROW(BW78:BW274),"")))</f>
        <v>4.5999999999999996</v>
      </c>
      <c r="BY78" s="13">
        <f>IF('Données projet'!$A$114&gt;35,BY77+BX78-CG77,IF(A78&lt;'Données projet'!$A$114,$BV$205^A78,IF(A78='Données projet'!$A$114,'Données projet'!$B$114,BY77+BX78-CG77)))</f>
        <v>260.00000000000011</v>
      </c>
      <c r="BZ78" s="14">
        <f>BY78*VLOOKUP('Données projet'!$B$12,Paramètres!$A$1:$I$89,3,0)*VLOOKUP('Données projet'!$B$12,Paramètres!$A$1:$I$89,5,0)</f>
        <v>170.35200000000009</v>
      </c>
      <c r="CA78" s="14">
        <f t="shared" si="93"/>
        <v>43.168850382694487</v>
      </c>
      <c r="CB78" s="22">
        <f t="shared" si="64"/>
        <v>371.88214774985971</v>
      </c>
      <c r="CC78" s="62">
        <f t="shared" si="65"/>
        <v>651.67069108339695</v>
      </c>
      <c r="CD78" s="62">
        <f ca="1">AVERAGE(OFFSET($CC$3,0,0,'Données projet'!$E$12+1,1))-AVERAGE(OFFSET($H$3,0,0,'Données projet'!$E$12+1,1))</f>
        <v>292.13851489852607</v>
      </c>
      <c r="CE78" s="62">
        <f t="shared" si="94"/>
        <v>280.10866188737418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37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66.305966363691965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-1.1368683772161603E-13</v>
      </c>
      <c r="CU78" s="18">
        <f>CT78*VLOOKUP('Données projet'!$B$13,Paramètres!$A$1:$I$89,3,0)*VLOOKUP('Données projet'!$B$13,Paramètres!$A$1:$I$89,5,0)</f>
        <v>-9.2222762759774927E-14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265.25572936607409</v>
      </c>
      <c r="CZ78" s="62">
        <f t="shared" si="96"/>
        <v>307.96244316129071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66.305966363691965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246.15384615384613</v>
      </c>
      <c r="DM78" s="13">
        <f>VLOOKUP(A78,'Données projet'!$A$165:$I$185,9,0)</f>
        <v>4.4871794871794863</v>
      </c>
      <c r="DN78" s="13">
        <f t="array" ref="DN78">INDEX(DM:DM,MIN(IF(ISNUMBER(DM78:DM274),ROW(DM78:DM274),"")))</f>
        <v>4.4871794871794863</v>
      </c>
      <c r="DO78" s="13">
        <f>IF('Données projet'!$A$166&gt;35,DO77+DN78-DW77,IF(A78&lt;'Données projet'!$A$166,$DL$205^A78,IF(A78='Données projet'!$A$166,'Données projet'!$B$166,DO77+DN78-DW77)))</f>
        <v>246.15384615384605</v>
      </c>
      <c r="DP78" s="18">
        <f>DO78*VLOOKUP('Données projet'!$B$14,Paramètres!$A$1:$I$89,3,0)*VLOOKUP('Données projet'!$B$14,Paramètres!$A$1:$I$89,5,0)</f>
        <v>234.2399999999999</v>
      </c>
      <c r="DQ78" s="14">
        <f t="shared" si="97"/>
        <v>57.19849172024869</v>
      </c>
      <c r="DR78" s="22">
        <f t="shared" si="70"/>
        <v>507.58870641276627</v>
      </c>
      <c r="DS78" s="62">
        <f t="shared" si="71"/>
        <v>787.37724974630351</v>
      </c>
      <c r="DT78" s="62">
        <f ca="1">AVERAGE(OFFSET($DS$3,0,0,'Données projet'!$E$14+1,1))-AVERAGE(OFFSET($H$3,0,0,'Données projet'!$E$14+1,1))</f>
        <v>425.41154182732936</v>
      </c>
      <c r="DU78" s="62">
        <f t="shared" si="98"/>
        <v>306.44721925744591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30.769230769230766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66.305966363691965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323.5</v>
      </c>
      <c r="EH78" s="13">
        <f>VLOOKUP(A78,'Données projet'!$A$191:$I$211,9,0)</f>
        <v>4.1799999999999953</v>
      </c>
      <c r="EI78" s="13">
        <f t="array" ref="EI78">INDEX(EH:EH,MIN(IF(ISNUMBER(EH78:EH274),ROW(EH78:EH274),"")))</f>
        <v>4.1799999999999953</v>
      </c>
      <c r="EJ78" s="13">
        <f>IF('Données projet'!$A$192&gt;35,EJ77+EI78-ER77,IF(A78&lt;'Données projet'!$A$192,$EG$205^A78,IF(A78='Données projet'!$A$192,'Données projet'!$B$192,EJ77+EI78-ER77)))</f>
        <v>323.49999999999994</v>
      </c>
      <c r="EK78" s="18">
        <f>EJ78*VLOOKUP('Données projet'!$B$15,Paramètres!$A$1:$I$89,3,0)*VLOOKUP('Données projet'!$B$15,Paramètres!$A$1:$I$89,5,0)</f>
        <v>237.19019999999995</v>
      </c>
      <c r="EL78" s="14">
        <f t="shared" si="99"/>
        <v>57.834574597922789</v>
      </c>
      <c r="EM78" s="22">
        <f t="shared" si="73"/>
        <v>513.83481575804865</v>
      </c>
      <c r="EN78" s="62">
        <f t="shared" si="74"/>
        <v>793.62335909158583</v>
      </c>
      <c r="EO78" s="62">
        <f ca="1">AVERAGE(OFFSET($EN$3,0,0,'Données projet'!$E$15+1,1))-AVERAGE(OFFSET($H$3,0,0,'Données projet'!$E$15+1,1))</f>
        <v>357.57626046668958</v>
      </c>
      <c r="EP78" s="62">
        <f t="shared" si="100"/>
        <v>386.90439522046199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66.305966363691965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1.1368683772161603E-13</v>
      </c>
      <c r="FF78" s="18">
        <f>FE78*VLOOKUP('Données projet'!$B$16,Paramètres!$A$1:$I$89,3,0)*VLOOKUP('Données projet'!$B$16,Paramètres!$A$1:$I$89,5,0)</f>
        <v>8.8675733422860506E-14</v>
      </c>
      <c r="FG78" s="14">
        <f t="shared" si="101"/>
        <v>1.3509285393066301E-12</v>
      </c>
      <c r="FH78" s="22">
        <f t="shared" si="76"/>
        <v>2.5073107750038623E-12</v>
      </c>
      <c r="FI78" s="62">
        <f t="shared" si="77"/>
        <v>279.78854333353974</v>
      </c>
      <c r="FJ78" s="62">
        <f ca="1">AVERAGE(OFFSET($FI$3,0,0,'Données projet'!$E$16+1,1))-AVERAGE(OFFSET($H$3,0,0,'Données projet'!$E$16+1,1))</f>
        <v>303.56663121833833</v>
      </c>
      <c r="FK78" s="62">
        <f t="shared" si="102"/>
        <v>293.97736357938038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66.305966363691965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323.5</v>
      </c>
      <c r="FX78" s="13">
        <f>VLOOKUP(A78,'Données projet'!$A$243:$I$263,9,0)</f>
        <v>4.1799999999999953</v>
      </c>
      <c r="FY78" s="13">
        <f t="array" ref="FY78">INDEX(FX:FX,MIN(IF(ISNUMBER(FX78:FX274),ROW(FX78:FX274),"")))</f>
        <v>4.1799999999999953</v>
      </c>
      <c r="FZ78" s="13">
        <f>IF('Données projet'!$A$244&gt;35,FZ77+FY78-GH77,IF(A78&lt;'Données projet'!$A$244,$FW$205^A78,IF(A78='Données projet'!$A$244,'Données projet'!$B$244,FZ77+FY78-GH77)))</f>
        <v>323.49999999999994</v>
      </c>
      <c r="GA78" s="18">
        <f>FZ78*VLOOKUP('Données projet'!$B$17,Paramètres!$A$1:$I$89,3,0)*VLOOKUP('Données projet'!$B$17,Paramètres!$A$1:$I$89,5,0)</f>
        <v>257.3766</v>
      </c>
      <c r="GB78" s="14">
        <f t="shared" si="103"/>
        <v>62.162845465331493</v>
      </c>
      <c r="GC78" s="22">
        <f t="shared" si="79"/>
        <v>556.53120085211901</v>
      </c>
      <c r="GD78" s="62">
        <f t="shared" si="80"/>
        <v>836.31974418565619</v>
      </c>
      <c r="GE78" s="62">
        <f ca="1">AVERAGE(OFFSET($GD$3,0,0,'Données projet'!$E$17+1,1))-AVERAGE(OFFSET($H$3,0,0,'Données projet'!$E$17+1,1))</f>
        <v>383.71724511025587</v>
      </c>
      <c r="GF78" s="62">
        <f t="shared" si="104"/>
        <v>415.10774719533185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66.305966363691965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260.89743589743591</v>
      </c>
      <c r="GS78" s="13">
        <f>VLOOKUP(A78,'Données projet'!$A$269:$I$289,9,0)</f>
        <v>4.6153846153846247</v>
      </c>
      <c r="GT78" s="13">
        <f t="array" ref="GT78">INDEX(GS:GS,MIN(IF(ISNUMBER(GS78:GS274),ROW(GS78:GS274),"")))</f>
        <v>4.6153846153846247</v>
      </c>
      <c r="GU78" s="13">
        <f>IF('Données projet'!$A$270&gt;35,GU77+GT78-HC77,IF(A78&lt;'Données projet'!$A$270,$GR$205^A78,IF(A78='Données projet'!$A$270,'Données projet'!$B$270,GU77+GT78-HC77)))</f>
        <v>260.89743589743597</v>
      </c>
      <c r="GV78" s="18">
        <f>GU78*VLOOKUP('Données projet'!$B$18,Paramètres!$A$1:$I$89,3,0)*VLOOKUP('Données projet'!$B$18,Paramètres!$A$1:$I$89,5,0)</f>
        <v>175.01000000000005</v>
      </c>
      <c r="GW78" s="14">
        <f t="shared" si="105"/>
        <v>44.210193140944192</v>
      </c>
      <c r="GX78" s="22">
        <f t="shared" si="82"/>
        <v>381.80850305381119</v>
      </c>
      <c r="GY78" s="62">
        <f t="shared" si="83"/>
        <v>661.59704638734843</v>
      </c>
      <c r="GZ78" s="62">
        <f ca="1">AVERAGE(OFFSET($GY$3,0,0,'Données projet'!$E$18+1,1))-AVERAGE(OFFSET($H$3,0,0,'Données projet'!$E$18+1,1))</f>
        <v>329.93956600482801</v>
      </c>
      <c r="HA78" s="62">
        <f t="shared" si="106"/>
        <v>268.69186630599165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2.7450000000000001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10.065</v>
      </c>
      <c r="H79" s="70">
        <f t="shared" si="56"/>
        <v>216.40666666666667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66.370049588659924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849.44555060763139</v>
      </c>
      <c r="S79" s="62">
        <f ca="1">AVERAGE(OFFSET($R$3,0,0,'Données projet'!$E$9+1,1))-AVERAGE(OFFSET($H$3,0,0,'Données projet'!$E$9+1,1))</f>
        <v>551.67307965706379</v>
      </c>
      <c r="T79" s="62">
        <f t="shared" si="88"/>
        <v>288.70738860523943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66.370049588659924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245.30688000000009</v>
      </c>
      <c r="AK79" s="14">
        <f t="shared" si="89"/>
        <v>59.579874112906374</v>
      </c>
      <c r="AL79" s="22">
        <f t="shared" si="58"/>
        <v>531.01109674664542</v>
      </c>
      <c r="AM79" s="62">
        <f t="shared" si="59"/>
        <v>811.03461190506516</v>
      </c>
      <c r="AN79" s="62">
        <f ca="1">AVERAGE(OFFSET($AM$3,0,0,'Données projet'!$E$10+1,1))-AVERAGE(OFFSET($H$3,0,0,'Données projet'!$E$10+1,1))</f>
        <v>518.18933270904506</v>
      </c>
      <c r="AO79" s="62">
        <f t="shared" si="90"/>
        <v>272.44431899810411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66.370049588659924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12.555555555555555</v>
      </c>
      <c r="BD79" s="13">
        <f>IF('Données projet'!$A$88&gt;35,BD78+BC79-BL78,IF(A79&lt;'Données projet'!$A$88,$BA$205^A79,IF(A79='Données projet'!$A$88,'Données projet'!$B$88,BD78+BC79-BL78)))</f>
        <v>361.88888888888857</v>
      </c>
      <c r="BE79" s="14">
        <f>BD79*VLOOKUP('Données projet'!$B$11,Paramètres!$A$1:$I$89,3,0)*VLOOKUP('Données projet'!$B$11,Paramètres!$A$1:$I$89,5,0)</f>
        <v>310.5006666666664</v>
      </c>
      <c r="BF79" s="14">
        <f t="shared" si="91"/>
        <v>73.373379476611461</v>
      </c>
      <c r="BG79" s="22">
        <f t="shared" si="61"/>
        <v>668.58063036620888</v>
      </c>
      <c r="BH79" s="62">
        <f t="shared" si="62"/>
        <v>948.60414552462862</v>
      </c>
      <c r="BI79" s="62">
        <f ca="1">AVERAGE(OFFSET($BH$3,0,0,'Données projet'!$E$11+1,1))-AVERAGE(OFFSET($H$3,0,0,'Données projet'!$E$11+1,1))</f>
        <v>464.73160475167867</v>
      </c>
      <c r="BJ79" s="62">
        <f t="shared" si="92"/>
        <v>241.31968359962227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66.370049588659924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4.2</v>
      </c>
      <c r="BY79" s="13">
        <f>IF('Données projet'!$A$114&gt;35,BY78+BX79-CG78,IF(A79&lt;'Données projet'!$A$114,$BV$205^A79,IF(A79='Données projet'!$A$114,'Données projet'!$B$114,BY78+BX79-CG78)))</f>
        <v>227.2000000000001</v>
      </c>
      <c r="BZ79" s="14">
        <f>BY79*VLOOKUP('Données projet'!$B$12,Paramètres!$A$1:$I$89,3,0)*VLOOKUP('Données projet'!$B$12,Paramètres!$A$1:$I$89,5,0)</f>
        <v>148.86144000000007</v>
      </c>
      <c r="CA79" s="14">
        <f t="shared" si="93"/>
        <v>38.319729148991954</v>
      </c>
      <c r="CB79" s="22">
        <f t="shared" si="64"/>
        <v>326.00720293449439</v>
      </c>
      <c r="CC79" s="62">
        <f t="shared" si="65"/>
        <v>606.03071809291419</v>
      </c>
      <c r="CD79" s="62">
        <f ca="1">AVERAGE(OFFSET($CC$3,0,0,'Données projet'!$E$12+1,1))-AVERAGE(OFFSET($H$3,0,0,'Données projet'!$E$12+1,1))</f>
        <v>292.13851489852607</v>
      </c>
      <c r="CE79" s="62">
        <f t="shared" si="94"/>
        <v>280.10866188737418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66.370049588659924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-1.1368683772161603E-13</v>
      </c>
      <c r="CU79" s="18">
        <f>CT79*VLOOKUP('Données projet'!$B$13,Paramètres!$A$1:$I$89,3,0)*VLOOKUP('Données projet'!$B$13,Paramètres!$A$1:$I$89,5,0)</f>
        <v>-9.2222762759774927E-14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265.25572936607409</v>
      </c>
      <c r="CZ79" s="62">
        <f t="shared" si="96"/>
        <v>307.96244316129071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66.370049588659924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4.3589743589743648</v>
      </c>
      <c r="DO79" s="13">
        <f>IF('Données projet'!$A$166&gt;35,DO78+DN79-DW78,IF(A79&lt;'Données projet'!$A$166,$DL$205^A79,IF(A79='Données projet'!$A$166,'Données projet'!$B$166,DO78+DN79-DW78)))</f>
        <v>219.74358974358964</v>
      </c>
      <c r="DP79" s="18">
        <f>DO79*VLOOKUP('Données projet'!$B$14,Paramètres!$A$1:$I$89,3,0)*VLOOKUP('Données projet'!$B$14,Paramètres!$A$1:$I$89,5,0)</f>
        <v>209.10799999999989</v>
      </c>
      <c r="DQ79" s="14">
        <f t="shared" si="97"/>
        <v>51.740612992017297</v>
      </c>
      <c r="DR79" s="22">
        <f t="shared" si="70"/>
        <v>454.31133429442997</v>
      </c>
      <c r="DS79" s="62">
        <f t="shared" si="71"/>
        <v>734.33484945284977</v>
      </c>
      <c r="DT79" s="62">
        <f ca="1">AVERAGE(OFFSET($DS$3,0,0,'Données projet'!$E$14+1,1))-AVERAGE(OFFSET($H$3,0,0,'Données projet'!$E$14+1,1))</f>
        <v>425.41154182732936</v>
      </c>
      <c r="DU79" s="62">
        <f t="shared" si="98"/>
        <v>306.44721925744591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66.370049588659924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3.5600000000000023</v>
      </c>
      <c r="EJ79" s="13">
        <f>IF('Données projet'!$A$192&gt;35,EJ78+EI79-ER78,IF(A79&lt;'Données projet'!$A$192,$EG$205^A79,IF(A79='Données projet'!$A$192,'Données projet'!$B$192,EJ78+EI79-ER78)))</f>
        <v>327.05999999999995</v>
      </c>
      <c r="EK79" s="18">
        <f>EJ79*VLOOKUP('Données projet'!$B$15,Paramètres!$A$1:$I$89,3,0)*VLOOKUP('Données projet'!$B$15,Paramètres!$A$1:$I$89,5,0)</f>
        <v>239.80039199999996</v>
      </c>
      <c r="EL79" s="14">
        <f t="shared" si="99"/>
        <v>58.396581769172833</v>
      </c>
      <c r="EM79" s="22">
        <f t="shared" si="73"/>
        <v>519.35972931464255</v>
      </c>
      <c r="EN79" s="62">
        <f t="shared" si="74"/>
        <v>799.38324447306229</v>
      </c>
      <c r="EO79" s="62">
        <f ca="1">AVERAGE(OFFSET($EN$3,0,0,'Données projet'!$E$15+1,1))-AVERAGE(OFFSET($H$3,0,0,'Données projet'!$E$15+1,1))</f>
        <v>357.57626046668958</v>
      </c>
      <c r="EP79" s="62">
        <f t="shared" si="100"/>
        <v>386.90439522046199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66.370049588659924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1.1368683772161603E-13</v>
      </c>
      <c r="FF79" s="18">
        <f>FE79*VLOOKUP('Données projet'!$B$16,Paramètres!$A$1:$I$89,3,0)*VLOOKUP('Données projet'!$B$16,Paramètres!$A$1:$I$89,5,0)</f>
        <v>8.8675733422860506E-14</v>
      </c>
      <c r="FG79" s="14">
        <f t="shared" si="101"/>
        <v>1.3509285393066301E-12</v>
      </c>
      <c r="FH79" s="22">
        <f t="shared" si="76"/>
        <v>2.5073107750038623E-12</v>
      </c>
      <c r="FI79" s="62">
        <f t="shared" si="77"/>
        <v>280.02351515842224</v>
      </c>
      <c r="FJ79" s="62">
        <f ca="1">AVERAGE(OFFSET($FI$3,0,0,'Données projet'!$E$16+1,1))-AVERAGE(OFFSET($H$3,0,0,'Données projet'!$E$16+1,1))</f>
        <v>303.56663121833833</v>
      </c>
      <c r="FK79" s="62">
        <f t="shared" si="102"/>
        <v>293.97736357938038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66.370049588659924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3.5600000000000023</v>
      </c>
      <c r="FZ79" s="13">
        <f>IF('Données projet'!$A$244&gt;35,FZ78+FY79-GH78,IF(A79&lt;'Données projet'!$A$244,$FW$205^A79,IF(A79='Données projet'!$A$244,'Données projet'!$B$244,FZ78+FY79-GH78)))</f>
        <v>327.05999999999995</v>
      </c>
      <c r="GA79" s="18">
        <f>FZ79*VLOOKUP('Données projet'!$B$17,Paramètres!$A$1:$I$89,3,0)*VLOOKUP('Données projet'!$B$17,Paramètres!$A$1:$I$89,5,0)</f>
        <v>260.20893599999999</v>
      </c>
      <c r="GB79" s="14">
        <f t="shared" si="103"/>
        <v>62.766912585729685</v>
      </c>
      <c r="GC79" s="22">
        <f t="shared" si="79"/>
        <v>562.51626962014586</v>
      </c>
      <c r="GD79" s="62">
        <f t="shared" si="80"/>
        <v>842.5397847785656</v>
      </c>
      <c r="GE79" s="62">
        <f ca="1">AVERAGE(OFFSET($GD$3,0,0,'Données projet'!$E$17+1,1))-AVERAGE(OFFSET($H$3,0,0,'Données projet'!$E$17+1,1))</f>
        <v>383.71724511025587</v>
      </c>
      <c r="GF79" s="62">
        <f t="shared" si="104"/>
        <v>415.10774719533185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66.370049588659924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4.2307692307692264</v>
      </c>
      <c r="GU79" s="13">
        <f>IF('Données projet'!$A$270&gt;35,GU78+GT79-HC78,IF(A79&lt;'Données projet'!$A$270,$GR$205^A79,IF(A79='Données projet'!$A$270,'Données projet'!$B$270,GU78+GT79-HC78)))</f>
        <v>265.1282051282052</v>
      </c>
      <c r="GV79" s="18">
        <f>GU79*VLOOKUP('Données projet'!$B$18,Paramètres!$A$1:$I$89,3,0)*VLOOKUP('Données projet'!$B$18,Paramètres!$A$1:$I$89,5,0)</f>
        <v>177.84800000000004</v>
      </c>
      <c r="GW79" s="14">
        <f t="shared" si="105"/>
        <v>44.84307118144492</v>
      </c>
      <c r="GX79" s="22">
        <f t="shared" si="82"/>
        <v>387.85361564101663</v>
      </c>
      <c r="GY79" s="62">
        <f t="shared" si="83"/>
        <v>667.87713079943637</v>
      </c>
      <c r="GZ79" s="62">
        <f ca="1">AVERAGE(OFFSET($GY$3,0,0,'Données projet'!$E$18+1,1))-AVERAGE(OFFSET($H$3,0,0,'Données projet'!$E$18+1,1))</f>
        <v>329.93956600482801</v>
      </c>
      <c r="HA79" s="62">
        <f t="shared" si="106"/>
        <v>268.69186630599165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2.7450000000000001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10.065</v>
      </c>
      <c r="H80" s="70">
        <f t="shared" si="56"/>
        <v>216.40666666666667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66.433021112943322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863.43400669429093</v>
      </c>
      <c r="S80" s="62">
        <f ca="1">AVERAGE(OFFSET($R$3,0,0,'Données projet'!$E$9+1,1))-AVERAGE(OFFSET($H$3,0,0,'Données projet'!$E$9+1,1))</f>
        <v>551.67307965706379</v>
      </c>
      <c r="T80" s="62">
        <f t="shared" si="88"/>
        <v>288.70738860523943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66.433021112943322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251.37216000000004</v>
      </c>
      <c r="AK80" s="14">
        <f t="shared" si="89"/>
        <v>60.879674595707343</v>
      </c>
      <c r="AL80" s="22">
        <f t="shared" si="58"/>
        <v>543.83861192085692</v>
      </c>
      <c r="AM80" s="62">
        <f t="shared" si="59"/>
        <v>824.09302266831583</v>
      </c>
      <c r="AN80" s="62">
        <f ca="1">AVERAGE(OFFSET($AM$3,0,0,'Données projet'!$E$10+1,1))-AVERAGE(OFFSET($H$3,0,0,'Données projet'!$E$10+1,1))</f>
        <v>518.18933270904506</v>
      </c>
      <c r="AO80" s="62">
        <f t="shared" si="90"/>
        <v>272.44431899810411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66.433021112943322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12.555555555555555</v>
      </c>
      <c r="BD80" s="13">
        <f>IF('Données projet'!$A$88&gt;35,BD79+BC80-BL79,IF(A80&lt;'Données projet'!$A$88,$BA$205^A80,IF(A80='Données projet'!$A$88,'Données projet'!$B$88,BD79+BC80-BL79)))</f>
        <v>374.44444444444412</v>
      </c>
      <c r="BE80" s="14">
        <f>BD80*VLOOKUP('Données projet'!$B$11,Paramètres!$A$1:$I$89,3,0)*VLOOKUP('Données projet'!$B$11,Paramètres!$A$1:$I$89,5,0)</f>
        <v>321.27333333333308</v>
      </c>
      <c r="BF80" s="14">
        <f t="shared" si="91"/>
        <v>75.618234159828049</v>
      </c>
      <c r="BG80" s="22">
        <f t="shared" si="61"/>
        <v>691.25281338392233</v>
      </c>
      <c r="BH80" s="62">
        <f t="shared" si="62"/>
        <v>971.50722413138124</v>
      </c>
      <c r="BI80" s="62">
        <f ca="1">AVERAGE(OFFSET($BH$3,0,0,'Données projet'!$E$11+1,1))-AVERAGE(OFFSET($H$3,0,0,'Données projet'!$E$11+1,1))</f>
        <v>464.73160475167867</v>
      </c>
      <c r="BJ80" s="62">
        <f t="shared" si="92"/>
        <v>241.31968359962227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66.433021112943322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4.2</v>
      </c>
      <c r="BY80" s="13">
        <f>IF('Données projet'!$A$114&gt;35,BY79+BX80-CG79,IF(A80&lt;'Données projet'!$A$114,$BV$205^A80,IF(A80='Données projet'!$A$114,'Données projet'!$B$114,BY79+BX80-CG79)))</f>
        <v>231.40000000000009</v>
      </c>
      <c r="BZ80" s="14">
        <f>BY80*VLOOKUP('Données projet'!$B$12,Paramètres!$A$1:$I$89,3,0)*VLOOKUP('Données projet'!$B$12,Paramètres!$A$1:$I$89,5,0)</f>
        <v>151.61328000000006</v>
      </c>
      <c r="CA80" s="14">
        <f t="shared" si="93"/>
        <v>38.944980714143632</v>
      </c>
      <c r="CB80" s="22">
        <f t="shared" si="64"/>
        <v>331.88897074380026</v>
      </c>
      <c r="CC80" s="62">
        <f t="shared" si="65"/>
        <v>612.14338149125911</v>
      </c>
      <c r="CD80" s="62">
        <f ca="1">AVERAGE(OFFSET($CC$3,0,0,'Données projet'!$E$12+1,1))-AVERAGE(OFFSET($H$3,0,0,'Données projet'!$E$12+1,1))</f>
        <v>292.13851489852607</v>
      </c>
      <c r="CE80" s="62">
        <f t="shared" si="94"/>
        <v>280.10866188737418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66.433021112943322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-1.1368683772161603E-13</v>
      </c>
      <c r="CU80" s="18">
        <f>CT80*VLOOKUP('Données projet'!$B$13,Paramètres!$A$1:$I$89,3,0)*VLOOKUP('Données projet'!$B$13,Paramètres!$A$1:$I$89,5,0)</f>
        <v>-9.2222762759774927E-14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265.25572936607409</v>
      </c>
      <c r="CZ80" s="62">
        <f t="shared" si="96"/>
        <v>307.96244316129071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66.433021112943322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4.3589743589743648</v>
      </c>
      <c r="DO80" s="13">
        <f>IF('Données projet'!$A$166&gt;35,DO79+DN80-DW79,IF(A80&lt;'Données projet'!$A$166,$DL$205^A80,IF(A80='Données projet'!$A$166,'Données projet'!$B$166,DO79+DN80-DW79)))</f>
        <v>224.102564102564</v>
      </c>
      <c r="DP80" s="18">
        <f>DO80*VLOOKUP('Données projet'!$B$14,Paramètres!$A$1:$I$89,3,0)*VLOOKUP('Données projet'!$B$14,Paramètres!$A$1:$I$89,5,0)</f>
        <v>213.25599999999989</v>
      </c>
      <c r="DQ80" s="14">
        <f t="shared" si="97"/>
        <v>52.646465235028018</v>
      </c>
      <c r="DR80" s="22">
        <f t="shared" si="70"/>
        <v>463.11346028434019</v>
      </c>
      <c r="DS80" s="62">
        <f t="shared" si="71"/>
        <v>743.36787103179904</v>
      </c>
      <c r="DT80" s="62">
        <f ca="1">AVERAGE(OFFSET($DS$3,0,0,'Données projet'!$E$14+1,1))-AVERAGE(OFFSET($H$3,0,0,'Données projet'!$E$14+1,1))</f>
        <v>425.41154182732936</v>
      </c>
      <c r="DU80" s="62">
        <f t="shared" si="98"/>
        <v>306.44721925744591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66.433021112943322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3.5600000000000023</v>
      </c>
      <c r="EJ80" s="13">
        <f>IF('Données projet'!$A$192&gt;35,EJ79+EI80-ER79,IF(A80&lt;'Données projet'!$A$192,$EG$205^A80,IF(A80='Données projet'!$A$192,'Données projet'!$B$192,EJ79+EI80-ER79)))</f>
        <v>330.61999999999995</v>
      </c>
      <c r="EK80" s="18">
        <f>EJ80*VLOOKUP('Données projet'!$B$15,Paramètres!$A$1:$I$89,3,0)*VLOOKUP('Données projet'!$B$15,Paramètres!$A$1:$I$89,5,0)</f>
        <v>242.41058399999997</v>
      </c>
      <c r="EL80" s="14">
        <f t="shared" si="99"/>
        <v>58.957877315127767</v>
      </c>
      <c r="EM80" s="22">
        <f t="shared" si="73"/>
        <v>524.88340345718075</v>
      </c>
      <c r="EN80" s="62">
        <f t="shared" si="74"/>
        <v>805.13781420463965</v>
      </c>
      <c r="EO80" s="62">
        <f ca="1">AVERAGE(OFFSET($EN$3,0,0,'Données projet'!$E$15+1,1))-AVERAGE(OFFSET($H$3,0,0,'Données projet'!$E$15+1,1))</f>
        <v>357.57626046668958</v>
      </c>
      <c r="EP80" s="62">
        <f t="shared" si="100"/>
        <v>386.90439522046199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66.433021112943322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1.1368683772161603E-13</v>
      </c>
      <c r="FF80" s="18">
        <f>FE80*VLOOKUP('Données projet'!$B$16,Paramètres!$A$1:$I$89,3,0)*VLOOKUP('Données projet'!$B$16,Paramètres!$A$1:$I$89,5,0)</f>
        <v>8.8675733422860506E-14</v>
      </c>
      <c r="FG80" s="14">
        <f t="shared" si="101"/>
        <v>1.3509285393066301E-12</v>
      </c>
      <c r="FH80" s="22">
        <f t="shared" si="76"/>
        <v>2.5073107750038623E-12</v>
      </c>
      <c r="FI80" s="62">
        <f t="shared" si="77"/>
        <v>280.25441074746135</v>
      </c>
      <c r="FJ80" s="62">
        <f ca="1">AVERAGE(OFFSET($FI$3,0,0,'Données projet'!$E$16+1,1))-AVERAGE(OFFSET($H$3,0,0,'Données projet'!$E$16+1,1))</f>
        <v>303.56663121833833</v>
      </c>
      <c r="FK80" s="62">
        <f t="shared" si="102"/>
        <v>293.97736357938038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66.433021112943322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3.5600000000000023</v>
      </c>
      <c r="FZ80" s="13">
        <f>IF('Données projet'!$A$244&gt;35,FZ79+FY80-GH79,IF(A80&lt;'Données projet'!$A$244,$FW$205^A80,IF(A80='Données projet'!$A$244,'Données projet'!$B$244,FZ79+FY80-GH79)))</f>
        <v>330.61999999999995</v>
      </c>
      <c r="GA80" s="18">
        <f>FZ80*VLOOKUP('Données projet'!$B$17,Paramètres!$A$1:$I$89,3,0)*VLOOKUP('Données projet'!$B$17,Paramètres!$A$1:$I$89,5,0)</f>
        <v>263.04127199999994</v>
      </c>
      <c r="GB80" s="14">
        <f t="shared" si="103"/>
        <v>63.370214823641057</v>
      </c>
      <c r="GC80" s="22">
        <f t="shared" si="79"/>
        <v>568.50000621784136</v>
      </c>
      <c r="GD80" s="62">
        <f t="shared" si="80"/>
        <v>848.75441696530015</v>
      </c>
      <c r="GE80" s="62">
        <f ca="1">AVERAGE(OFFSET($GD$3,0,0,'Données projet'!$E$17+1,1))-AVERAGE(OFFSET($H$3,0,0,'Données projet'!$E$17+1,1))</f>
        <v>383.71724511025587</v>
      </c>
      <c r="GF80" s="62">
        <f t="shared" si="104"/>
        <v>415.10774719533185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66.433021112943322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4.2307692307692264</v>
      </c>
      <c r="GU80" s="13">
        <f>IF('Données projet'!$A$270&gt;35,GU79+GT80-HC79,IF(A80&lt;'Données projet'!$A$270,$GR$205^A80,IF(A80='Données projet'!$A$270,'Données projet'!$B$270,GU79+GT80-HC79)))</f>
        <v>269.35897435897442</v>
      </c>
      <c r="GV80" s="18">
        <f>GU80*VLOOKUP('Données projet'!$B$18,Paramètres!$A$1:$I$89,3,0)*VLOOKUP('Données projet'!$B$18,Paramètres!$A$1:$I$89,5,0)</f>
        <v>180.68600000000004</v>
      </c>
      <c r="GW80" s="14">
        <f t="shared" si="105"/>
        <v>45.474774723021419</v>
      </c>
      <c r="GX80" s="22">
        <f t="shared" si="82"/>
        <v>393.89668264259575</v>
      </c>
      <c r="GY80" s="62">
        <f t="shared" si="83"/>
        <v>674.1510933900546</v>
      </c>
      <c r="GZ80" s="62">
        <f ca="1">AVERAGE(OFFSET($GY$3,0,0,'Données projet'!$E$18+1,1))-AVERAGE(OFFSET($H$3,0,0,'Données projet'!$E$18+1,1))</f>
        <v>329.93956600482801</v>
      </c>
      <c r="HA80" s="62">
        <f t="shared" si="106"/>
        <v>268.69186630599165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2.7450000000000001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10.065</v>
      </c>
      <c r="H81" s="70">
        <f t="shared" si="56"/>
        <v>216.40666666666667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66.494900222063634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877.41169354761132</v>
      </c>
      <c r="S81" s="62">
        <f ca="1">AVERAGE(OFFSET($R$3,0,0,'Données projet'!$E$9+1,1))-AVERAGE(OFFSET($H$3,0,0,'Données projet'!$E$9+1,1))</f>
        <v>551.67307965706379</v>
      </c>
      <c r="T81" s="62">
        <f t="shared" si="88"/>
        <v>288.70738860523943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66.494900222063634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257.43744000000004</v>
      </c>
      <c r="AK81" s="14">
        <f t="shared" si="89"/>
        <v>62.175829233865038</v>
      </c>
      <c r="AL81" s="22">
        <f t="shared" si="58"/>
        <v>556.65977724898164</v>
      </c>
      <c r="AM81" s="62">
        <f t="shared" si="59"/>
        <v>837.14107806321499</v>
      </c>
      <c r="AN81" s="62">
        <f ca="1">AVERAGE(OFFSET($AM$3,0,0,'Données projet'!$E$10+1,1))-AVERAGE(OFFSET($H$3,0,0,'Données projet'!$E$10+1,1))</f>
        <v>518.18933270904506</v>
      </c>
      <c r="AO81" s="62">
        <f t="shared" si="90"/>
        <v>272.44431899810411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66.494900222063634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>
        <f>VLOOKUP(A81,'Données projet'!$A$87:$I$107,2,0)</f>
        <v>387</v>
      </c>
      <c r="BB81" s="13">
        <f>VLOOKUP(A81,'Données projet'!$A$87:$I$107,9,0)</f>
        <v>12.555555555555555</v>
      </c>
      <c r="BC81" s="13">
        <f t="array" ref="BC81">INDEX(BB:BB,MIN(IF(ISNUMBER(BB81:BB277),ROW(BB81:BB277),"")))</f>
        <v>12.555555555555555</v>
      </c>
      <c r="BD81" s="13">
        <f>IF('Données projet'!$A$88&gt;35,BD80+BC81-BL80,IF(A81&lt;'Données projet'!$A$88,$BA$205^A81,IF(A81='Données projet'!$A$88,'Données projet'!$B$88,BD80+BC81-BL80)))</f>
        <v>386.99999999999966</v>
      </c>
      <c r="BE81" s="14">
        <f>BD81*VLOOKUP('Données projet'!$B$11,Paramètres!$A$1:$I$89,3,0)*VLOOKUP('Données projet'!$B$11,Paramètres!$A$1:$I$89,5,0)</f>
        <v>332.04599999999971</v>
      </c>
      <c r="BF81" s="14">
        <f t="shared" si="91"/>
        <v>77.854342460208571</v>
      </c>
      <c r="BG81" s="22">
        <f t="shared" si="61"/>
        <v>713.90976311819611</v>
      </c>
      <c r="BH81" s="62">
        <f t="shared" si="62"/>
        <v>994.39106393242946</v>
      </c>
      <c r="BI81" s="62">
        <f ca="1">AVERAGE(OFFSET($BH$3,0,0,'Données projet'!$E$11+1,1))-AVERAGE(OFFSET($H$3,0,0,'Données projet'!$E$11+1,1))</f>
        <v>464.73160475167867</v>
      </c>
      <c r="BJ81" s="62">
        <f t="shared" si="92"/>
        <v>241.31968359962227</v>
      </c>
      <c r="BK81" s="16">
        <f>IF(ISNA(VLOOKUP(A81,'Données projet'!$A$87:$I$107,3,0)),0,VLOOKUP(A81,'Données projet'!$A$87:$I$107,3,0))</f>
        <v>9</v>
      </c>
      <c r="BL81" s="16">
        <f>IF(ISNA(VLOOKUP(A81,'Données projet'!$A$87:$I$107,4,0)),0,VLOOKUP(A81,'Données projet'!$A$87:$I$107,4,0))</f>
        <v>39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66.494900222063634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4.2</v>
      </c>
      <c r="BY81" s="13">
        <f>IF('Données projet'!$A$114&gt;35,BY80+BX81-CG80,IF(A81&lt;'Données projet'!$A$114,$BV$205^A81,IF(A81='Données projet'!$A$114,'Données projet'!$B$114,BY80+BX81-CG80)))</f>
        <v>235.60000000000008</v>
      </c>
      <c r="BZ81" s="14">
        <f>BY81*VLOOKUP('Données projet'!$B$12,Paramètres!$A$1:$I$89,3,0)*VLOOKUP('Données projet'!$B$12,Paramètres!$A$1:$I$89,5,0)</f>
        <v>154.36512000000005</v>
      </c>
      <c r="CA81" s="14">
        <f t="shared" si="93"/>
        <v>39.568912624848309</v>
      </c>
      <c r="CB81" s="22">
        <f t="shared" si="64"/>
        <v>337.76844015494419</v>
      </c>
      <c r="CC81" s="62">
        <f t="shared" si="65"/>
        <v>618.24974096917754</v>
      </c>
      <c r="CD81" s="62">
        <f ca="1">AVERAGE(OFFSET($CC$3,0,0,'Données projet'!$E$12+1,1))-AVERAGE(OFFSET($H$3,0,0,'Données projet'!$E$12+1,1))</f>
        <v>292.13851489852607</v>
      </c>
      <c r="CE81" s="62">
        <f t="shared" si="94"/>
        <v>280.10866188737418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66.494900222063634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-1.1368683772161603E-13</v>
      </c>
      <c r="CU81" s="18">
        <f>CT81*VLOOKUP('Données projet'!$B$13,Paramètres!$A$1:$I$89,3,0)*VLOOKUP('Données projet'!$B$13,Paramètres!$A$1:$I$89,5,0)</f>
        <v>-9.2222762759774927E-14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265.25572936607409</v>
      </c>
      <c r="CZ81" s="62">
        <f t="shared" si="96"/>
        <v>307.96244316129071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66.494900222063634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4.3589743589743648</v>
      </c>
      <c r="DO81" s="13">
        <f>IF('Données projet'!$A$166&gt;35,DO80+DN81-DW80,IF(A81&lt;'Données projet'!$A$166,$DL$205^A81,IF(A81='Données projet'!$A$166,'Données projet'!$B$166,DO80+DN81-DW80)))</f>
        <v>228.46153846153837</v>
      </c>
      <c r="DP81" s="18">
        <f>DO81*VLOOKUP('Données projet'!$B$14,Paramètres!$A$1:$I$89,3,0)*VLOOKUP('Données projet'!$B$14,Paramètres!$A$1:$I$89,5,0)</f>
        <v>217.40399999999991</v>
      </c>
      <c r="DQ81" s="14">
        <f t="shared" si="97"/>
        <v>53.550268745628323</v>
      </c>
      <c r="DR81" s="22">
        <f t="shared" si="70"/>
        <v>471.91201806530245</v>
      </c>
      <c r="DS81" s="62">
        <f t="shared" si="71"/>
        <v>752.39331887953574</v>
      </c>
      <c r="DT81" s="62">
        <f ca="1">AVERAGE(OFFSET($DS$3,0,0,'Données projet'!$E$14+1,1))-AVERAGE(OFFSET($H$3,0,0,'Données projet'!$E$14+1,1))</f>
        <v>425.41154182732936</v>
      </c>
      <c r="DU81" s="62">
        <f t="shared" si="98"/>
        <v>306.44721925744591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66.494900222063634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3.5600000000000023</v>
      </c>
      <c r="EJ81" s="13">
        <f>IF('Données projet'!$A$192&gt;35,EJ80+EI81-ER80,IF(A81&lt;'Données projet'!$A$192,$EG$205^A81,IF(A81='Données projet'!$A$192,'Données projet'!$B$192,EJ80+EI81-ER80)))</f>
        <v>334.17999999999995</v>
      </c>
      <c r="EK81" s="18">
        <f>EJ81*VLOOKUP('Données projet'!$B$15,Paramètres!$A$1:$I$89,3,0)*VLOOKUP('Données projet'!$B$15,Paramètres!$A$1:$I$89,5,0)</f>
        <v>245.02077599999993</v>
      </c>
      <c r="EL81" s="14">
        <f t="shared" si="99"/>
        <v>59.518469785210911</v>
      </c>
      <c r="EM81" s="22">
        <f t="shared" si="73"/>
        <v>530.40585307590879</v>
      </c>
      <c r="EN81" s="62">
        <f t="shared" si="74"/>
        <v>810.88715389014214</v>
      </c>
      <c r="EO81" s="62">
        <f ca="1">AVERAGE(OFFSET($EN$3,0,0,'Données projet'!$E$15+1,1))-AVERAGE(OFFSET($H$3,0,0,'Données projet'!$E$15+1,1))</f>
        <v>357.57626046668958</v>
      </c>
      <c r="EP81" s="62">
        <f t="shared" si="100"/>
        <v>386.90439522046199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66.494900222063634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1.1368683772161603E-13</v>
      </c>
      <c r="FF81" s="18">
        <f>FE81*VLOOKUP('Données projet'!$B$16,Paramètres!$A$1:$I$89,3,0)*VLOOKUP('Données projet'!$B$16,Paramètres!$A$1:$I$89,5,0)</f>
        <v>8.8675733422860506E-14</v>
      </c>
      <c r="FG81" s="14">
        <f t="shared" si="101"/>
        <v>1.3509285393066301E-12</v>
      </c>
      <c r="FH81" s="22">
        <f t="shared" si="76"/>
        <v>2.5073107750038623E-12</v>
      </c>
      <c r="FI81" s="62">
        <f t="shared" si="77"/>
        <v>280.48130081423579</v>
      </c>
      <c r="FJ81" s="62">
        <f ca="1">AVERAGE(OFFSET($FI$3,0,0,'Données projet'!$E$16+1,1))-AVERAGE(OFFSET($H$3,0,0,'Données projet'!$E$16+1,1))</f>
        <v>303.56663121833833</v>
      </c>
      <c r="FK81" s="62">
        <f t="shared" si="102"/>
        <v>293.97736357938038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66.494900222063634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3.5600000000000023</v>
      </c>
      <c r="FZ81" s="13">
        <f>IF('Données projet'!$A$244&gt;35,FZ80+FY81-GH80,IF(A81&lt;'Données projet'!$A$244,$FW$205^A81,IF(A81='Données projet'!$A$244,'Données projet'!$B$244,FZ80+FY81-GH80)))</f>
        <v>334.17999999999995</v>
      </c>
      <c r="GA81" s="18">
        <f>FZ81*VLOOKUP('Données projet'!$B$17,Paramètres!$A$1:$I$89,3,0)*VLOOKUP('Données projet'!$B$17,Paramètres!$A$1:$I$89,5,0)</f>
        <v>265.87360799999999</v>
      </c>
      <c r="GB81" s="14">
        <f t="shared" si="103"/>
        <v>63.972761368317435</v>
      </c>
      <c r="GC81" s="22">
        <f t="shared" si="79"/>
        <v>574.48242664981956</v>
      </c>
      <c r="GD81" s="62">
        <f t="shared" si="80"/>
        <v>854.96372746405291</v>
      </c>
      <c r="GE81" s="62">
        <f ca="1">AVERAGE(OFFSET($GD$3,0,0,'Données projet'!$E$17+1,1))-AVERAGE(OFFSET($H$3,0,0,'Données projet'!$E$17+1,1))</f>
        <v>383.71724511025587</v>
      </c>
      <c r="GF81" s="62">
        <f t="shared" si="104"/>
        <v>415.10774719533185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66.494900222063634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4.2307692307692264</v>
      </c>
      <c r="GU81" s="13">
        <f>IF('Données projet'!$A$270&gt;35,GU80+GT81-HC80,IF(A81&lt;'Données projet'!$A$270,$GR$205^A81,IF(A81='Données projet'!$A$270,'Données projet'!$B$270,GU80+GT81-HC80)))</f>
        <v>273.58974358974365</v>
      </c>
      <c r="GV81" s="18">
        <f>GU81*VLOOKUP('Données projet'!$B$18,Paramètres!$A$1:$I$89,3,0)*VLOOKUP('Données projet'!$B$18,Paramètres!$A$1:$I$89,5,0)</f>
        <v>183.52400000000006</v>
      </c>
      <c r="GW81" s="14">
        <f t="shared" si="105"/>
        <v>46.10532434349372</v>
      </c>
      <c r="GX81" s="22">
        <f t="shared" si="82"/>
        <v>399.93773989825166</v>
      </c>
      <c r="GY81" s="62">
        <f t="shared" si="83"/>
        <v>680.41904071248496</v>
      </c>
      <c r="GZ81" s="62">
        <f ca="1">AVERAGE(OFFSET($GY$3,0,0,'Données projet'!$E$18+1,1))-AVERAGE(OFFSET($H$3,0,0,'Données projet'!$E$18+1,1))</f>
        <v>329.93956600482801</v>
      </c>
      <c r="HA81" s="62">
        <f t="shared" si="106"/>
        <v>268.69186630599165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2.7450000000000001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10.065</v>
      </c>
      <c r="H82" s="70">
        <f t="shared" si="56"/>
        <v>216.40666666666667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66.555705866981683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891.37885834727115</v>
      </c>
      <c r="S82" s="62">
        <f ca="1">AVERAGE(OFFSET($R$3,0,0,'Données projet'!$E$9+1,1))-AVERAGE(OFFSET($H$3,0,0,'Données projet'!$E$9+1,1))</f>
        <v>551.67307965706379</v>
      </c>
      <c r="T82" s="62">
        <f t="shared" si="88"/>
        <v>288.70738860523943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66.555705866981683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263.50272000000001</v>
      </c>
      <c r="AK82" s="14">
        <f t="shared" si="89"/>
        <v>63.468433809179743</v>
      </c>
      <c r="AL82" s="22">
        <f t="shared" si="58"/>
        <v>569.4747595509881</v>
      </c>
      <c r="AM82" s="62">
        <f t="shared" si="59"/>
        <v>850.1790143965876</v>
      </c>
      <c r="AN82" s="62">
        <f ca="1">AVERAGE(OFFSET($AM$3,0,0,'Données projet'!$E$10+1,1))-AVERAGE(OFFSET($H$3,0,0,'Données projet'!$E$10+1,1))</f>
        <v>518.18933270904506</v>
      </c>
      <c r="AO82" s="62">
        <f t="shared" si="90"/>
        <v>272.44431899810411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66.555705866981683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12</v>
      </c>
      <c r="BD82" s="13">
        <f>IF('Données projet'!$A$88&gt;35,BD81+BC82-BL81,IF(A82&lt;'Données projet'!$A$88,$BA$205^A82,IF(A82='Données projet'!$A$88,'Données projet'!$B$88,BD81+BC82-BL81)))</f>
        <v>359.99999999999966</v>
      </c>
      <c r="BE82" s="14">
        <f>BD82*VLOOKUP('Données projet'!$B$11,Paramètres!$A$1:$I$89,3,0)*VLOOKUP('Données projet'!$B$11,Paramètres!$A$1:$I$89,5,0)</f>
        <v>308.87999999999977</v>
      </c>
      <c r="BF82" s="14">
        <f t="shared" si="91"/>
        <v>73.034880345800715</v>
      </c>
      <c r="BG82" s="22">
        <f t="shared" si="61"/>
        <v>665.16841660226919</v>
      </c>
      <c r="BH82" s="62">
        <f t="shared" si="62"/>
        <v>945.8726714478687</v>
      </c>
      <c r="BI82" s="62">
        <f ca="1">AVERAGE(OFFSET($BH$3,0,0,'Données projet'!$E$11+1,1))-AVERAGE(OFFSET($H$3,0,0,'Données projet'!$E$11+1,1))</f>
        <v>464.73160475167867</v>
      </c>
      <c r="BJ82" s="62">
        <f t="shared" si="92"/>
        <v>241.31968359962227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66.555705866981683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4.2</v>
      </c>
      <c r="BY82" s="13">
        <f>IF('Données projet'!$A$114&gt;35,BY81+BX82-CG81,IF(A82&lt;'Données projet'!$A$114,$BV$205^A82,IF(A82='Données projet'!$A$114,'Données projet'!$B$114,BY81+BX82-CG81)))</f>
        <v>239.80000000000007</v>
      </c>
      <c r="BZ82" s="14">
        <f>BY82*VLOOKUP('Données projet'!$B$12,Paramètres!$A$1:$I$89,3,0)*VLOOKUP('Données projet'!$B$12,Paramètres!$A$1:$I$89,5,0)</f>
        <v>157.11696000000003</v>
      </c>
      <c r="CA82" s="14">
        <f t="shared" si="93"/>
        <v>40.191551120265856</v>
      </c>
      <c r="CB82" s="22">
        <f t="shared" si="64"/>
        <v>343.6456568677965</v>
      </c>
      <c r="CC82" s="62">
        <f t="shared" si="65"/>
        <v>624.34991171339607</v>
      </c>
      <c r="CD82" s="62">
        <f ca="1">AVERAGE(OFFSET($CC$3,0,0,'Données projet'!$E$12+1,1))-AVERAGE(OFFSET($H$3,0,0,'Données projet'!$E$12+1,1))</f>
        <v>292.13851489852607</v>
      </c>
      <c r="CE82" s="62">
        <f t="shared" si="94"/>
        <v>280.10866188737418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66.555705866981683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-1.1368683772161603E-13</v>
      </c>
      <c r="CU82" s="18">
        <f>CT82*VLOOKUP('Données projet'!$B$13,Paramètres!$A$1:$I$89,3,0)*VLOOKUP('Données projet'!$B$13,Paramètres!$A$1:$I$89,5,0)</f>
        <v>-9.2222762759774927E-14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265.25572936607409</v>
      </c>
      <c r="CZ82" s="62">
        <f t="shared" si="96"/>
        <v>307.96244316129071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66.555705866981683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4.3589743589743648</v>
      </c>
      <c r="DO82" s="13">
        <f>IF('Données projet'!$A$166&gt;35,DO81+DN82-DW81,IF(A82&lt;'Données projet'!$A$166,$DL$205^A82,IF(A82='Données projet'!$A$166,'Données projet'!$B$166,DO81+DN82-DW81)))</f>
        <v>232.82051282051273</v>
      </c>
      <c r="DP82" s="18">
        <f>DO82*VLOOKUP('Données projet'!$B$14,Paramètres!$A$1:$I$89,3,0)*VLOOKUP('Données projet'!$B$14,Paramètres!$A$1:$I$89,5,0)</f>
        <v>221.55199999999994</v>
      </c>
      <c r="DQ82" s="14">
        <f t="shared" si="97"/>
        <v>54.452067119881683</v>
      </c>
      <c r="DR82" s="22">
        <f t="shared" si="70"/>
        <v>480.70708356712709</v>
      </c>
      <c r="DS82" s="62">
        <f t="shared" si="71"/>
        <v>761.41133841272654</v>
      </c>
      <c r="DT82" s="62">
        <f ca="1">AVERAGE(OFFSET($DS$3,0,0,'Données projet'!$E$14+1,1))-AVERAGE(OFFSET($H$3,0,0,'Données projet'!$E$14+1,1))</f>
        <v>425.41154182732936</v>
      </c>
      <c r="DU82" s="62">
        <f t="shared" si="98"/>
        <v>306.44721925744591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66.555705866981683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3.5600000000000023</v>
      </c>
      <c r="EJ82" s="13">
        <f>IF('Données projet'!$A$192&gt;35,EJ81+EI82-ER81,IF(A82&lt;'Données projet'!$A$192,$EG$205^A82,IF(A82='Données projet'!$A$192,'Données projet'!$B$192,EJ81+EI82-ER81)))</f>
        <v>337.73999999999995</v>
      </c>
      <c r="EK82" s="18">
        <f>EJ82*VLOOKUP('Données projet'!$B$15,Paramètres!$A$1:$I$89,3,0)*VLOOKUP('Données projet'!$B$15,Paramètres!$A$1:$I$89,5,0)</f>
        <v>247.63096799999994</v>
      </c>
      <c r="EL82" s="14">
        <f t="shared" si="99"/>
        <v>60.078367536199657</v>
      </c>
      <c r="EM82" s="22">
        <f t="shared" si="73"/>
        <v>535.9270927255476</v>
      </c>
      <c r="EN82" s="62">
        <f t="shared" si="74"/>
        <v>816.6313475711471</v>
      </c>
      <c r="EO82" s="62">
        <f ca="1">AVERAGE(OFFSET($EN$3,0,0,'Données projet'!$E$15+1,1))-AVERAGE(OFFSET($H$3,0,0,'Données projet'!$E$15+1,1))</f>
        <v>357.57626046668958</v>
      </c>
      <c r="EP82" s="62">
        <f t="shared" si="100"/>
        <v>386.90439522046199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66.555705866981683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1.1368683772161603E-13</v>
      </c>
      <c r="FF82" s="18">
        <f>FE82*VLOOKUP('Données projet'!$B$16,Paramètres!$A$1:$I$89,3,0)*VLOOKUP('Données projet'!$B$16,Paramètres!$A$1:$I$89,5,0)</f>
        <v>8.8675733422860506E-14</v>
      </c>
      <c r="FG82" s="14">
        <f t="shared" si="101"/>
        <v>1.3509285393066301E-12</v>
      </c>
      <c r="FH82" s="22">
        <f t="shared" si="76"/>
        <v>2.5073107750038623E-12</v>
      </c>
      <c r="FI82" s="62">
        <f t="shared" si="77"/>
        <v>280.70425484560201</v>
      </c>
      <c r="FJ82" s="62">
        <f ca="1">AVERAGE(OFFSET($FI$3,0,0,'Données projet'!$E$16+1,1))-AVERAGE(OFFSET($H$3,0,0,'Données projet'!$E$16+1,1))</f>
        <v>303.56663121833833</v>
      </c>
      <c r="FK82" s="62">
        <f t="shared" si="102"/>
        <v>293.97736357938038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66.555705866981683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3.5600000000000023</v>
      </c>
      <c r="FZ82" s="13">
        <f>IF('Données projet'!$A$244&gt;35,FZ81+FY82-GH81,IF(A82&lt;'Données projet'!$A$244,$FW$205^A82,IF(A82='Données projet'!$A$244,'Données projet'!$B$244,FZ81+FY82-GH81)))</f>
        <v>337.73999999999995</v>
      </c>
      <c r="GA82" s="18">
        <f>FZ82*VLOOKUP('Données projet'!$B$17,Paramètres!$A$1:$I$89,3,0)*VLOOKUP('Données projet'!$B$17,Paramètres!$A$1:$I$89,5,0)</f>
        <v>268.70594399999999</v>
      </c>
      <c r="GB82" s="14">
        <f t="shared" si="103"/>
        <v>64.574561201947517</v>
      </c>
      <c r="GC82" s="22">
        <f t="shared" si="79"/>
        <v>580.46354656005849</v>
      </c>
      <c r="GD82" s="62">
        <f t="shared" si="80"/>
        <v>861.167801405658</v>
      </c>
      <c r="GE82" s="62">
        <f ca="1">AVERAGE(OFFSET($GD$3,0,0,'Données projet'!$E$17+1,1))-AVERAGE(OFFSET($H$3,0,0,'Données projet'!$E$17+1,1))</f>
        <v>383.71724511025587</v>
      </c>
      <c r="GF82" s="62">
        <f t="shared" si="104"/>
        <v>415.10774719533185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66.555705866981683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4.2307692307692264</v>
      </c>
      <c r="GU82" s="13">
        <f>IF('Données projet'!$A$270&gt;35,GU81+GT82-HC81,IF(A82&lt;'Données projet'!$A$270,$GR$205^A82,IF(A82='Données projet'!$A$270,'Données projet'!$B$270,GU81+GT82-HC81)))</f>
        <v>277.82051282051287</v>
      </c>
      <c r="GV82" s="18">
        <f>GU82*VLOOKUP('Données projet'!$B$18,Paramètres!$A$1:$I$89,3,0)*VLOOKUP('Données projet'!$B$18,Paramètres!$A$1:$I$89,5,0)</f>
        <v>186.36200000000002</v>
      </c>
      <c r="GW82" s="14">
        <f t="shared" si="105"/>
        <v>46.734739947740024</v>
      </c>
      <c r="GX82" s="22">
        <f t="shared" si="82"/>
        <v>405.97682207564725</v>
      </c>
      <c r="GY82" s="62">
        <f t="shared" si="83"/>
        <v>686.68107692124681</v>
      </c>
      <c r="GZ82" s="62">
        <f ca="1">AVERAGE(OFFSET($GY$3,0,0,'Données projet'!$E$18+1,1))-AVERAGE(OFFSET($H$3,0,0,'Données projet'!$E$18+1,1))</f>
        <v>329.93956600482801</v>
      </c>
      <c r="HA82" s="62">
        <f t="shared" si="106"/>
        <v>268.69186630599165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2.7450000000000001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10.065</v>
      </c>
      <c r="H83" s="70">
        <f t="shared" si="56"/>
        <v>216.40666666666667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66.615456669901448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905.33573842047417</v>
      </c>
      <c r="S83" s="62">
        <f ca="1">AVERAGE(OFFSET($R$3,0,0,'Données projet'!$E$9+1,1))-AVERAGE(OFFSET($H$3,0,0,'Données projet'!$E$9+1,1))</f>
        <v>551.67307965706379</v>
      </c>
      <c r="T83" s="62">
        <f t="shared" si="88"/>
        <v>288.70738860523943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66.615456669901448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269.56800000000004</v>
      </c>
      <c r="AK83" s="14">
        <f t="shared" si="89"/>
        <v>64.757579442439862</v>
      </c>
      <c r="AL83" s="22">
        <f t="shared" si="58"/>
        <v>582.28371752891621</v>
      </c>
      <c r="AM83" s="62">
        <f t="shared" si="59"/>
        <v>863.20705865188825</v>
      </c>
      <c r="AN83" s="62">
        <f ca="1">AVERAGE(OFFSET($AM$3,0,0,'Données projet'!$E$10+1,1))-AVERAGE(OFFSET($H$3,0,0,'Données projet'!$E$10+1,1))</f>
        <v>518.18933270904506</v>
      </c>
      <c r="AO83" s="62">
        <f t="shared" si="90"/>
        <v>272.44431899810411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66.615456669901448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12</v>
      </c>
      <c r="BD83" s="13">
        <f>IF('Données projet'!$A$88&gt;35,BD82+BC83-BL82,IF(A83&lt;'Données projet'!$A$88,$BA$205^A83,IF(A83='Données projet'!$A$88,'Données projet'!$B$88,BD82+BC83-BL82)))</f>
        <v>371.99999999999966</v>
      </c>
      <c r="BE83" s="14">
        <f>BD83*VLOOKUP('Données projet'!$B$11,Paramètres!$A$1:$I$89,3,0)*VLOOKUP('Données projet'!$B$11,Paramètres!$A$1:$I$89,5,0)</f>
        <v>319.17599999999976</v>
      </c>
      <c r="BF83" s="14">
        <f t="shared" si="91"/>
        <v>75.181878718947615</v>
      </c>
      <c r="BG83" s="22">
        <f t="shared" si="61"/>
        <v>686.8399721021666</v>
      </c>
      <c r="BH83" s="62">
        <f t="shared" si="62"/>
        <v>967.76331322513852</v>
      </c>
      <c r="BI83" s="62">
        <f ca="1">AVERAGE(OFFSET($BH$3,0,0,'Données projet'!$E$11+1,1))-AVERAGE(OFFSET($H$3,0,0,'Données projet'!$E$11+1,1))</f>
        <v>464.73160475167867</v>
      </c>
      <c r="BJ83" s="62">
        <f t="shared" si="92"/>
        <v>241.31968359962227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66.615456669901448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244</v>
      </c>
      <c r="BW83" s="13">
        <f>VLOOKUP(A83,'Données projet'!$A$113:$I$133,9,0)</f>
        <v>4.2</v>
      </c>
      <c r="BX83" s="13">
        <f t="array" ref="BX83">INDEX(BW:BW,MIN(IF(ISNUMBER(BW83:BW279),ROW(BW83:BW279),"")))</f>
        <v>4.2</v>
      </c>
      <c r="BY83" s="13">
        <f>IF('Données projet'!$A$114&gt;35,BY82+BX83-CG82,IF(A83&lt;'Données projet'!$A$114,$BV$205^A83,IF(A83='Données projet'!$A$114,'Données projet'!$B$114,BY82+BX83-CG82)))</f>
        <v>244.00000000000006</v>
      </c>
      <c r="BZ83" s="14">
        <f>BY83*VLOOKUP('Données projet'!$B$12,Paramètres!$A$1:$I$89,3,0)*VLOOKUP('Données projet'!$B$12,Paramètres!$A$1:$I$89,5,0)</f>
        <v>159.86880000000002</v>
      </c>
      <c r="CA83" s="14">
        <f t="shared" si="93"/>
        <v>40.812921467768035</v>
      </c>
      <c r="CB83" s="22">
        <f t="shared" si="64"/>
        <v>349.52066488969604</v>
      </c>
      <c r="CC83" s="62">
        <f t="shared" si="65"/>
        <v>630.44400601266807</v>
      </c>
      <c r="CD83" s="62">
        <f ca="1">AVERAGE(OFFSET($CC$3,0,0,'Données projet'!$E$12+1,1))-AVERAGE(OFFSET($H$3,0,0,'Données projet'!$E$12+1,1))</f>
        <v>292.13851489852607</v>
      </c>
      <c r="CE83" s="62">
        <f t="shared" si="94"/>
        <v>280.10866188737418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66.615456669901448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-1.1368683772161603E-13</v>
      </c>
      <c r="CU83" s="18">
        <f>CT83*VLOOKUP('Données projet'!$B$13,Paramètres!$A$1:$I$89,3,0)*VLOOKUP('Données projet'!$B$13,Paramètres!$A$1:$I$89,5,0)</f>
        <v>-9.2222762759774927E-14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265.25572936607409</v>
      </c>
      <c r="CZ83" s="62">
        <f t="shared" si="96"/>
        <v>307.96244316129071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66.615456669901448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237.17948717948718</v>
      </c>
      <c r="DM83" s="13">
        <f>VLOOKUP(A83,'Données projet'!$A$165:$I$185,9,0)</f>
        <v>4.3589743589743648</v>
      </c>
      <c r="DN83" s="13">
        <f t="array" ref="DN83">INDEX(DM:DM,MIN(IF(ISNUMBER(DM83:DM279),ROW(DM83:DM279),"")))</f>
        <v>4.3589743589743648</v>
      </c>
      <c r="DO83" s="13">
        <f>IF('Données projet'!$A$166&gt;35,DO82+DN83-DW82,IF(A83&lt;'Données projet'!$A$166,$DL$205^A83,IF(A83='Données projet'!$A$166,'Données projet'!$B$166,DO82+DN83-DW82)))</f>
        <v>237.1794871794871</v>
      </c>
      <c r="DP83" s="18">
        <f>DO83*VLOOKUP('Données projet'!$B$14,Paramètres!$A$1:$I$89,3,0)*VLOOKUP('Données projet'!$B$14,Paramètres!$A$1:$I$89,5,0)</f>
        <v>225.69999999999993</v>
      </c>
      <c r="DQ83" s="14">
        <f t="shared" si="97"/>
        <v>55.351902227969966</v>
      </c>
      <c r="DR83" s="22">
        <f t="shared" si="70"/>
        <v>489.49872971371423</v>
      </c>
      <c r="DS83" s="62">
        <f t="shared" si="71"/>
        <v>770.4220708366862</v>
      </c>
      <c r="DT83" s="62">
        <f ca="1">AVERAGE(OFFSET($DS$3,0,0,'Données projet'!$E$14+1,1))-AVERAGE(OFFSET($H$3,0,0,'Données projet'!$E$14+1,1))</f>
        <v>425.41154182732936</v>
      </c>
      <c r="DU83" s="62">
        <f t="shared" si="98"/>
        <v>306.44721925744591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66.615456669901448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341.3</v>
      </c>
      <c r="EH83" s="13">
        <f>VLOOKUP(A83,'Données projet'!$A$191:$I$211,9,0)</f>
        <v>3.5600000000000023</v>
      </c>
      <c r="EI83" s="13">
        <f t="array" ref="EI83">INDEX(EH:EH,MIN(IF(ISNUMBER(EH83:EH279),ROW(EH83:EH279),"")))</f>
        <v>3.5600000000000023</v>
      </c>
      <c r="EJ83" s="13">
        <f>IF('Données projet'!$A$192&gt;35,EJ82+EI83-ER82,IF(A83&lt;'Données projet'!$A$192,$EG$205^A83,IF(A83='Données projet'!$A$192,'Données projet'!$B$192,EJ82+EI83-ER82)))</f>
        <v>341.29999999999995</v>
      </c>
      <c r="EK83" s="18">
        <f>EJ83*VLOOKUP('Données projet'!$B$15,Paramètres!$A$1:$I$89,3,0)*VLOOKUP('Données projet'!$B$15,Paramètres!$A$1:$I$89,5,0)</f>
        <v>250.24115999999998</v>
      </c>
      <c r="EL83" s="14">
        <f t="shared" si="99"/>
        <v>60.637578738550481</v>
      </c>
      <c r="EM83" s="22">
        <f t="shared" si="73"/>
        <v>541.44713663630864</v>
      </c>
      <c r="EN83" s="62">
        <f t="shared" si="74"/>
        <v>822.37047775928067</v>
      </c>
      <c r="EO83" s="62">
        <f ca="1">AVERAGE(OFFSET($EN$3,0,0,'Données projet'!$E$15+1,1))-AVERAGE(OFFSET($H$3,0,0,'Données projet'!$E$15+1,1))</f>
        <v>357.57626046668958</v>
      </c>
      <c r="EP83" s="62">
        <f t="shared" si="100"/>
        <v>386.90439522046199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341.3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66.615456669901448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1.1368683772161603E-13</v>
      </c>
      <c r="FF83" s="18">
        <f>FE83*VLOOKUP('Données projet'!$B$16,Paramètres!$A$1:$I$89,3,0)*VLOOKUP('Données projet'!$B$16,Paramètres!$A$1:$I$89,5,0)</f>
        <v>8.8675733422860506E-14</v>
      </c>
      <c r="FG83" s="14">
        <f t="shared" si="101"/>
        <v>1.3509285393066301E-12</v>
      </c>
      <c r="FH83" s="22">
        <f t="shared" si="76"/>
        <v>2.5073107750038623E-12</v>
      </c>
      <c r="FI83" s="62">
        <f t="shared" si="77"/>
        <v>280.92334112297448</v>
      </c>
      <c r="FJ83" s="62">
        <f ca="1">AVERAGE(OFFSET($FI$3,0,0,'Données projet'!$E$16+1,1))-AVERAGE(OFFSET($H$3,0,0,'Données projet'!$E$16+1,1))</f>
        <v>303.56663121833833</v>
      </c>
      <c r="FK83" s="62">
        <f t="shared" si="102"/>
        <v>293.97736357938038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66.615456669901448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341.3</v>
      </c>
      <c r="FX83" s="13">
        <f>VLOOKUP(A83,'Données projet'!$A$243:$I$263,9,0)</f>
        <v>3.5600000000000023</v>
      </c>
      <c r="FY83" s="13">
        <f t="array" ref="FY83">INDEX(FX:FX,MIN(IF(ISNUMBER(FX83:FX279),ROW(FX83:FX279),"")))</f>
        <v>3.5600000000000023</v>
      </c>
      <c r="FZ83" s="13">
        <f>IF('Données projet'!$A$244&gt;35,FZ82+FY83-GH82,IF(A83&lt;'Données projet'!$A$244,$FW$205^A83,IF(A83='Données projet'!$A$244,'Données projet'!$B$244,FZ82+FY83-GH82)))</f>
        <v>341.29999999999995</v>
      </c>
      <c r="GA83" s="18">
        <f>FZ83*VLOOKUP('Données projet'!$B$17,Paramètres!$A$1:$I$89,3,0)*VLOOKUP('Données projet'!$B$17,Paramètres!$A$1:$I$89,5,0)</f>
        <v>271.53827999999999</v>
      </c>
      <c r="GB83" s="14">
        <f t="shared" si="103"/>
        <v>65.17562310645522</v>
      </c>
      <c r="GC83" s="22">
        <f t="shared" si="79"/>
        <v>586.44338124374281</v>
      </c>
      <c r="GD83" s="62">
        <f t="shared" si="80"/>
        <v>867.36672236671484</v>
      </c>
      <c r="GE83" s="62">
        <f ca="1">AVERAGE(OFFSET($GD$3,0,0,'Données projet'!$E$17+1,1))-AVERAGE(OFFSET($H$3,0,0,'Données projet'!$E$17+1,1))</f>
        <v>383.71724511025587</v>
      </c>
      <c r="GF83" s="62">
        <f t="shared" si="104"/>
        <v>415.10774719533185</v>
      </c>
      <c r="GG83" s="16">
        <f>IF(ISNA(VLOOKUP(A83,'Données projet'!$A$243:$I$263,3,0)),0,VLOOKUP(A83,'Données projet'!$A$243:$I$263,3,0))</f>
        <v>7</v>
      </c>
      <c r="GH83" s="16">
        <f>IF(ISNA(VLOOKUP(A83,'Données projet'!$A$243:$I$263,4,0)),0,VLOOKUP(A83,'Données projet'!$A$243:$I$263,4,0))</f>
        <v>341.3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66.615456669901448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282.05128205128204</v>
      </c>
      <c r="GS83" s="13">
        <f>VLOOKUP(A83,'Données projet'!$A$269:$I$289,9,0)</f>
        <v>4.2307692307692264</v>
      </c>
      <c r="GT83" s="13">
        <f t="array" ref="GT83">INDEX(GS:GS,MIN(IF(ISNUMBER(GS83:GS279),ROW(GS83:GS279),"")))</f>
        <v>4.2307692307692264</v>
      </c>
      <c r="GU83" s="13">
        <f>IF('Données projet'!$A$270&gt;35,GU82+GT83-HC82,IF(A83&lt;'Données projet'!$A$270,$GR$205^A83,IF(A83='Données projet'!$A$270,'Données projet'!$B$270,GU82+GT83-HC82)))</f>
        <v>282.0512820512821</v>
      </c>
      <c r="GV83" s="18">
        <f>GU83*VLOOKUP('Données projet'!$B$18,Paramètres!$A$1:$I$89,3,0)*VLOOKUP('Données projet'!$B$18,Paramètres!$A$1:$I$89,5,0)</f>
        <v>189.20000000000005</v>
      </c>
      <c r="GW83" s="14">
        <f t="shared" si="105"/>
        <v>47.363040799609742</v>
      </c>
      <c r="GX83" s="22">
        <f t="shared" si="82"/>
        <v>412.01396272598703</v>
      </c>
      <c r="GY83" s="62">
        <f t="shared" si="83"/>
        <v>692.937303848959</v>
      </c>
      <c r="GZ83" s="62">
        <f ca="1">AVERAGE(OFFSET($GY$3,0,0,'Données projet'!$E$18+1,1))-AVERAGE(OFFSET($H$3,0,0,'Données projet'!$E$18+1,1))</f>
        <v>329.93956600482801</v>
      </c>
      <c r="HA83" s="62">
        <f t="shared" si="106"/>
        <v>268.69186630599165</v>
      </c>
      <c r="HB83" s="16">
        <f>IF(ISNA(VLOOKUP(A83,'Données projet'!$A$269:$I$289,3,0)),0,VLOOKUP(A83,'Données projet'!$A$269:$I$289,3,0))</f>
        <v>7</v>
      </c>
      <c r="HC83" s="16">
        <f>IF(ISNA(VLOOKUP(A83,'Données projet'!$A$269:$I$289,4,0)),0,VLOOKUP(A83,'Données projet'!$A$269:$I$289,4,0))</f>
        <v>26.282051282051281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2.7450000000000001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10.065</v>
      </c>
      <c r="H84" s="70">
        <f t="shared" si="56"/>
        <v>216.40666666666667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66.674170929973343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6.6</v>
      </c>
      <c r="N84" s="14">
        <f>IF('Données projet'!$A$36&gt;35,N83+M84-V83,IF(A84&lt;'Données projet'!$A$36,$K$205^A84,IF(A84='Données projet'!$A$36,'Données projet'!$B$36,N83+M84-V83)))</f>
        <v>326.60000000000002</v>
      </c>
      <c r="O84" s="14">
        <f>N84*VLOOKUP('Données projet'!$B$9,Paramètres!$A$1:$I$89,3,0)*VLOOKUP('Données projet'!$B$9,Paramètres!$A$1:$I$89,5,0)</f>
        <v>295.50767999999999</v>
      </c>
      <c r="P84" s="14">
        <f t="shared" si="87"/>
        <v>70.233875285761272</v>
      </c>
      <c r="Q84" s="22">
        <f t="shared" si="54"/>
        <v>636.99987545603415</v>
      </c>
      <c r="R84" s="62">
        <f t="shared" si="55"/>
        <v>918.13850219926974</v>
      </c>
      <c r="S84" s="62">
        <f ca="1">AVERAGE(OFFSET($R$3,0,0,'Données projet'!$E$9+1,1))-AVERAGE(OFFSET($H$3,0,0,'Données projet'!$E$9+1,1))</f>
        <v>551.67307965706379</v>
      </c>
      <c r="T84" s="62">
        <f t="shared" si="88"/>
        <v>288.70738860523943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66.674170929973343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6.6</v>
      </c>
      <c r="AI84" s="14">
        <f>IF('Données projet'!$A$62&gt;35,AI83+AH84-AQ83,IF(A84&lt;'Données projet'!$A$62,$AF$205^A84,IF(A84='Données projet'!$A$62,'Données projet'!$B$62,AI83+AH84-AQ83)))</f>
        <v>326.60000000000002</v>
      </c>
      <c r="AJ84" s="14">
        <f>AI84*VLOOKUP('Données projet'!$B$10,Paramètres!$A$1:$I$89,3,0)*VLOOKUP('Données projet'!$B$10,Paramètres!$A$1:$I$89,5,0)</f>
        <v>275.12784000000005</v>
      </c>
      <c r="AK84" s="14">
        <f t="shared" si="89"/>
        <v>65.936331882912981</v>
      </c>
      <c r="AL84" s="22">
        <f t="shared" si="58"/>
        <v>594.0200993627401</v>
      </c>
      <c r="AM84" s="62">
        <f t="shared" si="59"/>
        <v>875.15872610597569</v>
      </c>
      <c r="AN84" s="62">
        <f ca="1">AVERAGE(OFFSET($AM$3,0,0,'Données projet'!$E$10+1,1))-AVERAGE(OFFSET($H$3,0,0,'Données projet'!$E$10+1,1))</f>
        <v>518.18933270904506</v>
      </c>
      <c r="AO84" s="62">
        <f t="shared" si="90"/>
        <v>272.44431899810411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66.674170929973343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12</v>
      </c>
      <c r="BD84" s="13">
        <f>IF('Données projet'!$A$88&gt;35,BD83+BC84-BL83,IF(A84&lt;'Données projet'!$A$88,$BA$205^A84,IF(A84='Données projet'!$A$88,'Données projet'!$B$88,BD83+BC84-BL83)))</f>
        <v>383.99999999999966</v>
      </c>
      <c r="BE84" s="14">
        <f>BD84*VLOOKUP('Données projet'!$B$11,Paramètres!$A$1:$I$89,3,0)*VLOOKUP('Données projet'!$B$11,Paramètres!$A$1:$I$89,5,0)</f>
        <v>329.47199999999975</v>
      </c>
      <c r="BF84" s="14">
        <f t="shared" si="91"/>
        <v>77.320829101031876</v>
      </c>
      <c r="BG84" s="22">
        <f t="shared" si="61"/>
        <v>708.49751068429669</v>
      </c>
      <c r="BH84" s="62">
        <f t="shared" si="62"/>
        <v>989.63613742753228</v>
      </c>
      <c r="BI84" s="62">
        <f ca="1">AVERAGE(OFFSET($BH$3,0,0,'Données projet'!$E$11+1,1))-AVERAGE(OFFSET($H$3,0,0,'Données projet'!$E$11+1,1))</f>
        <v>464.73160475167867</v>
      </c>
      <c r="BJ84" s="62">
        <f t="shared" si="92"/>
        <v>241.31968359962227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66.674170929973343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3.8</v>
      </c>
      <c r="BY84" s="13">
        <f>IF('Données projet'!$A$114&gt;35,BY83+BX84-CG83,IF(A84&lt;'Données projet'!$A$114,$BV$205^A84,IF(A84='Données projet'!$A$114,'Données projet'!$B$114,BY83+BX84-CG83)))</f>
        <v>247.80000000000007</v>
      </c>
      <c r="BZ84" s="14">
        <f>BY84*VLOOKUP('Données projet'!$B$12,Paramètres!$A$1:$I$89,3,0)*VLOOKUP('Données projet'!$B$12,Paramètres!$A$1:$I$89,5,0)</f>
        <v>162.35856000000004</v>
      </c>
      <c r="CA84" s="14">
        <f t="shared" si="93"/>
        <v>41.374041283105448</v>
      </c>
      <c r="CB84" s="22">
        <f t="shared" si="64"/>
        <v>354.83428056807537</v>
      </c>
      <c r="CC84" s="62">
        <f t="shared" si="65"/>
        <v>635.97290731131102</v>
      </c>
      <c r="CD84" s="62">
        <f ca="1">AVERAGE(OFFSET($CC$3,0,0,'Données projet'!$E$12+1,1))-AVERAGE(OFFSET($H$3,0,0,'Données projet'!$E$12+1,1))</f>
        <v>292.13851489852607</v>
      </c>
      <c r="CE84" s="62">
        <f t="shared" si="94"/>
        <v>280.10866188737418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66.674170929973343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-1.1368683772161603E-13</v>
      </c>
      <c r="CU84" s="18">
        <f>CT84*VLOOKUP('Données projet'!$B$13,Paramètres!$A$1:$I$89,3,0)*VLOOKUP('Données projet'!$B$13,Paramètres!$A$1:$I$89,5,0)</f>
        <v>-9.2222762759774927E-14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265.25572936607409</v>
      </c>
      <c r="CZ84" s="62">
        <f t="shared" si="96"/>
        <v>307.96244316129071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66.674170929973343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4.2307692307692264</v>
      </c>
      <c r="DO84" s="13">
        <f>IF('Données projet'!$A$166&gt;35,DO83+DN84-DW83,IF(A84&lt;'Données projet'!$A$166,$DL$205^A84,IF(A84='Données projet'!$A$166,'Données projet'!$B$166,DO83+DN84-DW83)))</f>
        <v>241.41025641025632</v>
      </c>
      <c r="DP84" s="18">
        <f>DO84*VLOOKUP('Données projet'!$B$14,Paramètres!$A$1:$I$89,3,0)*VLOOKUP('Données projet'!$B$14,Paramètres!$A$1:$I$89,5,0)</f>
        <v>229.72599999999991</v>
      </c>
      <c r="DQ84" s="14">
        <f t="shared" si="97"/>
        <v>56.223432215495727</v>
      </c>
      <c r="DR84" s="22">
        <f t="shared" si="70"/>
        <v>498.02859444198822</v>
      </c>
      <c r="DS84" s="62">
        <f t="shared" si="71"/>
        <v>779.16722118522375</v>
      </c>
      <c r="DT84" s="62">
        <f ca="1">AVERAGE(OFFSET($DS$3,0,0,'Données projet'!$E$14+1,1))-AVERAGE(OFFSET($H$3,0,0,'Données projet'!$E$14+1,1))</f>
        <v>425.41154182732936</v>
      </c>
      <c r="DU84" s="62">
        <f t="shared" si="98"/>
        <v>306.44721925744591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66.674170929973343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-5.6843418860808015E-14</v>
      </c>
      <c r="EK84" s="18">
        <f>EJ84*VLOOKUP('Données projet'!$B$15,Paramètres!$A$1:$I$89,3,0)*VLOOKUP('Données projet'!$B$15,Paramètres!$A$1:$I$89,5,0)</f>
        <v>-4.1677594708744434E-14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357.57626046668958</v>
      </c>
      <c r="EP84" s="62">
        <f t="shared" si="100"/>
        <v>386.90439522046199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66.674170929973343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1.1368683772161603E-13</v>
      </c>
      <c r="FF84" s="18">
        <f>FE84*VLOOKUP('Données projet'!$B$16,Paramètres!$A$1:$I$89,3,0)*VLOOKUP('Données projet'!$B$16,Paramètres!$A$1:$I$89,5,0)</f>
        <v>8.8675733422860506E-14</v>
      </c>
      <c r="FG84" s="14">
        <f t="shared" si="101"/>
        <v>1.3509285393066301E-12</v>
      </c>
      <c r="FH84" s="22">
        <f t="shared" si="76"/>
        <v>2.5073107750038623E-12</v>
      </c>
      <c r="FI84" s="62">
        <f t="shared" si="77"/>
        <v>281.13862674323809</v>
      </c>
      <c r="FJ84" s="62">
        <f ca="1">AVERAGE(OFFSET($FI$3,0,0,'Données projet'!$E$16+1,1))-AVERAGE(OFFSET($H$3,0,0,'Données projet'!$E$16+1,1))</f>
        <v>303.56663121833833</v>
      </c>
      <c r="FK84" s="62">
        <f t="shared" si="102"/>
        <v>293.97736357938038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66.674170929973343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-5.6843418860808015E-14</v>
      </c>
      <c r="GA84" s="18">
        <f>FZ84*VLOOKUP('Données projet'!$B$17,Paramètres!$A$1:$I$89,3,0)*VLOOKUP('Données projet'!$B$17,Paramètres!$A$1:$I$89,5,0)</f>
        <v>-4.5224624045658861E-14</v>
      </c>
      <c r="GB84" s="14" t="e">
        <f t="shared" si="103"/>
        <v>#NUM!</v>
      </c>
      <c r="GC84" s="22" t="e">
        <f t="shared" si="79"/>
        <v>#NUM!</v>
      </c>
      <c r="GD84" s="62" t="e">
        <f t="shared" si="80"/>
        <v>#NUM!</v>
      </c>
      <c r="GE84" s="62">
        <f ca="1">AVERAGE(OFFSET($GD$3,0,0,'Données projet'!$E$17+1,1))-AVERAGE(OFFSET($H$3,0,0,'Données projet'!$E$17+1,1))</f>
        <v>383.71724511025587</v>
      </c>
      <c r="GF84" s="62">
        <f t="shared" si="104"/>
        <v>415.10774719533185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66.674170929973343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4.1025641025640995</v>
      </c>
      <c r="GU84" s="13">
        <f>IF('Données projet'!$A$270&gt;35,GU83+GT84-HC83,IF(A84&lt;'Données projet'!$A$270,$GR$205^A84,IF(A84='Données projet'!$A$270,'Données projet'!$B$270,GU83+GT84-HC83)))</f>
        <v>259.87179487179492</v>
      </c>
      <c r="GV84" s="18">
        <f>GU84*VLOOKUP('Données projet'!$B$18,Paramètres!$A$1:$I$89,3,0)*VLOOKUP('Données projet'!$B$18,Paramètres!$A$1:$I$89,5,0)</f>
        <v>174.32200000000003</v>
      </c>
      <c r="GW84" s="14">
        <f t="shared" si="105"/>
        <v>44.056588905148665</v>
      </c>
      <c r="GX84" s="22">
        <f t="shared" si="82"/>
        <v>380.34270900980056</v>
      </c>
      <c r="GY84" s="62">
        <f t="shared" si="83"/>
        <v>661.48133575303609</v>
      </c>
      <c r="GZ84" s="62">
        <f ca="1">AVERAGE(OFFSET($GY$3,0,0,'Données projet'!$E$18+1,1))-AVERAGE(OFFSET($H$3,0,0,'Données projet'!$E$18+1,1))</f>
        <v>329.93956600482801</v>
      </c>
      <c r="HA84" s="62">
        <f t="shared" si="106"/>
        <v>268.69186630599165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2.7450000000000001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10.065</v>
      </c>
      <c r="H85" s="70">
        <f t="shared" si="56"/>
        <v>216.40666666666667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66.731866628898416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6.6</v>
      </c>
      <c r="N85" s="14">
        <f>IF('Données projet'!$A$36&gt;35,N84+M85-V84,IF(A85&lt;'Données projet'!$A$36,$K$205^A85,IF(A85='Données projet'!$A$36,'Données projet'!$B$36,N84+M85-V84)))</f>
        <v>333.20000000000005</v>
      </c>
      <c r="O85" s="14">
        <f>N85*VLOOKUP('Données projet'!$B$9,Paramètres!$A$1:$I$89,3,0)*VLOOKUP('Données projet'!$B$9,Paramètres!$A$1:$I$89,5,0)</f>
        <v>301.47935999999999</v>
      </c>
      <c r="P85" s="14">
        <f t="shared" si="87"/>
        <v>71.486505311225272</v>
      </c>
      <c r="Q85" s="22">
        <f t="shared" si="54"/>
        <v>649.58221541705063</v>
      </c>
      <c r="R85" s="62">
        <f t="shared" si="55"/>
        <v>930.93239305634484</v>
      </c>
      <c r="S85" s="62">
        <f ca="1">AVERAGE(OFFSET($R$3,0,0,'Données projet'!$E$9+1,1))-AVERAGE(OFFSET($H$3,0,0,'Données projet'!$E$9+1,1))</f>
        <v>551.67307965706379</v>
      </c>
      <c r="T85" s="62">
        <f t="shared" si="88"/>
        <v>288.70738860523943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66.731866628898416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6.6</v>
      </c>
      <c r="AI85" s="14">
        <f>IF('Données projet'!$A$62&gt;35,AI84+AH85-AQ84,IF(A85&lt;'Données projet'!$A$62,$AF$205^A85,IF(A85='Données projet'!$A$62,'Données projet'!$B$62,AI84+AH85-AQ84)))</f>
        <v>333.20000000000005</v>
      </c>
      <c r="AJ85" s="14">
        <f>AI85*VLOOKUP('Données projet'!$B$10,Paramètres!$A$1:$I$89,3,0)*VLOOKUP('Données projet'!$B$10,Paramètres!$A$1:$I$89,5,0)</f>
        <v>280.68768000000006</v>
      </c>
      <c r="AK85" s="14">
        <f t="shared" si="89"/>
        <v>67.11231467966806</v>
      </c>
      <c r="AL85" s="22">
        <f t="shared" si="58"/>
        <v>605.75165740042189</v>
      </c>
      <c r="AM85" s="62">
        <f t="shared" si="59"/>
        <v>887.10183503971609</v>
      </c>
      <c r="AN85" s="62">
        <f ca="1">AVERAGE(OFFSET($AM$3,0,0,'Données projet'!$E$10+1,1))-AVERAGE(OFFSET($H$3,0,0,'Données projet'!$E$10+1,1))</f>
        <v>518.18933270904506</v>
      </c>
      <c r="AO85" s="62">
        <f t="shared" si="90"/>
        <v>272.44431899810411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66.731866628898416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12</v>
      </c>
      <c r="BD85" s="13">
        <f>IF('Données projet'!$A$88&gt;35,BD84+BC85-BL84,IF(A85&lt;'Données projet'!$A$88,$BA$205^A85,IF(A85='Données projet'!$A$88,'Données projet'!$B$88,BD84+BC85-BL84)))</f>
        <v>395.99999999999966</v>
      </c>
      <c r="BE85" s="14">
        <f>BD85*VLOOKUP('Données projet'!$B$11,Paramètres!$A$1:$I$89,3,0)*VLOOKUP('Données projet'!$B$11,Paramètres!$A$1:$I$89,5,0)</f>
        <v>339.76799999999974</v>
      </c>
      <c r="BF85" s="14">
        <f t="shared" si="91"/>
        <v>79.452011848891914</v>
      </c>
      <c r="BG85" s="22">
        <f t="shared" si="61"/>
        <v>730.14152063681968</v>
      </c>
      <c r="BH85" s="62">
        <f t="shared" si="62"/>
        <v>1011.4916982761139</v>
      </c>
      <c r="BI85" s="62">
        <f ca="1">AVERAGE(OFFSET($BH$3,0,0,'Données projet'!$E$11+1,1))-AVERAGE(OFFSET($H$3,0,0,'Données projet'!$E$11+1,1))</f>
        <v>464.73160475167867</v>
      </c>
      <c r="BJ85" s="62">
        <f t="shared" si="92"/>
        <v>241.31968359962227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66.731866628898416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3.8</v>
      </c>
      <c r="BY85" s="13">
        <f>IF('Données projet'!$A$114&gt;35,BY84+BX85-CG84,IF(A85&lt;'Données projet'!$A$114,$BV$205^A85,IF(A85='Données projet'!$A$114,'Données projet'!$B$114,BY84+BX85-CG84)))</f>
        <v>251.60000000000008</v>
      </c>
      <c r="BZ85" s="14">
        <f>BY85*VLOOKUP('Données projet'!$B$12,Paramètres!$A$1:$I$89,3,0)*VLOOKUP('Données projet'!$B$12,Paramètres!$A$1:$I$89,5,0)</f>
        <v>164.84832000000006</v>
      </c>
      <c r="CA85" s="14">
        <f t="shared" si="93"/>
        <v>41.934160358278433</v>
      </c>
      <c r="CB85" s="22">
        <f t="shared" si="64"/>
        <v>360.14615329066834</v>
      </c>
      <c r="CC85" s="62">
        <f t="shared" si="65"/>
        <v>641.4963309299626</v>
      </c>
      <c r="CD85" s="62">
        <f ca="1">AVERAGE(OFFSET($CC$3,0,0,'Données projet'!$E$12+1,1))-AVERAGE(OFFSET($H$3,0,0,'Données projet'!$E$12+1,1))</f>
        <v>292.13851489852607</v>
      </c>
      <c r="CE85" s="62">
        <f t="shared" si="94"/>
        <v>280.10866188737418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66.731866628898416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-1.1368683772161603E-13</v>
      </c>
      <c r="CU85" s="18">
        <f>CT85*VLOOKUP('Données projet'!$B$13,Paramètres!$A$1:$I$89,3,0)*VLOOKUP('Données projet'!$B$13,Paramètres!$A$1:$I$89,5,0)</f>
        <v>-9.2222762759774927E-14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265.25572936607409</v>
      </c>
      <c r="CZ85" s="62">
        <f t="shared" si="96"/>
        <v>307.96244316129071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66.731866628898416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4.2307692307692264</v>
      </c>
      <c r="DO85" s="13">
        <f>IF('Données projet'!$A$166&gt;35,DO84+DN85-DW84,IF(A85&lt;'Données projet'!$A$166,$DL$205^A85,IF(A85='Données projet'!$A$166,'Données projet'!$B$166,DO84+DN85-DW84)))</f>
        <v>245.64102564102555</v>
      </c>
      <c r="DP85" s="18">
        <f>DO85*VLOOKUP('Données projet'!$B$14,Paramètres!$A$1:$I$89,3,0)*VLOOKUP('Données projet'!$B$14,Paramètres!$A$1:$I$89,5,0)</f>
        <v>233.75199999999992</v>
      </c>
      <c r="DQ85" s="14">
        <f t="shared" si="97"/>
        <v>57.093186053402</v>
      </c>
      <c r="DR85" s="22">
        <f t="shared" si="70"/>
        <v>506.55536570967496</v>
      </c>
      <c r="DS85" s="62">
        <f t="shared" si="71"/>
        <v>787.9055433489691</v>
      </c>
      <c r="DT85" s="62">
        <f ca="1">AVERAGE(OFFSET($DS$3,0,0,'Données projet'!$E$14+1,1))-AVERAGE(OFFSET($H$3,0,0,'Données projet'!$E$14+1,1))</f>
        <v>425.41154182732936</v>
      </c>
      <c r="DU85" s="62">
        <f t="shared" si="98"/>
        <v>306.44721925744591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66.731866628898416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-5.6843418860808015E-14</v>
      </c>
      <c r="EK85" s="18">
        <f>EJ85*VLOOKUP('Données projet'!$B$15,Paramètres!$A$1:$I$89,3,0)*VLOOKUP('Données projet'!$B$15,Paramètres!$A$1:$I$89,5,0)</f>
        <v>-4.1677594708744434E-14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357.57626046668958</v>
      </c>
      <c r="EP85" s="62">
        <f t="shared" si="100"/>
        <v>386.90439522046199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66.731866628898416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1.1368683772161603E-13</v>
      </c>
      <c r="FF85" s="18">
        <f>FE85*VLOOKUP('Données projet'!$B$16,Paramètres!$A$1:$I$89,3,0)*VLOOKUP('Données projet'!$B$16,Paramètres!$A$1:$I$89,5,0)</f>
        <v>8.8675733422860506E-14</v>
      </c>
      <c r="FG85" s="14">
        <f t="shared" si="101"/>
        <v>1.3509285393066301E-12</v>
      </c>
      <c r="FH85" s="22">
        <f t="shared" si="76"/>
        <v>2.5073107750038623E-12</v>
      </c>
      <c r="FI85" s="62">
        <f t="shared" si="77"/>
        <v>281.3501776392967</v>
      </c>
      <c r="FJ85" s="62">
        <f ca="1">AVERAGE(OFFSET($FI$3,0,0,'Données projet'!$E$16+1,1))-AVERAGE(OFFSET($H$3,0,0,'Données projet'!$E$16+1,1))</f>
        <v>303.56663121833833</v>
      </c>
      <c r="FK85" s="62">
        <f t="shared" si="102"/>
        <v>293.97736357938038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66.731866628898416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-5.6843418860808015E-14</v>
      </c>
      <c r="GA85" s="18">
        <f>FZ85*VLOOKUP('Données projet'!$B$17,Paramètres!$A$1:$I$89,3,0)*VLOOKUP('Données projet'!$B$17,Paramètres!$A$1:$I$89,5,0)</f>
        <v>-4.5224624045658861E-14</v>
      </c>
      <c r="GB85" s="14" t="e">
        <f t="shared" si="103"/>
        <v>#NUM!</v>
      </c>
      <c r="GC85" s="22" t="e">
        <f t="shared" si="79"/>
        <v>#NUM!</v>
      </c>
      <c r="GD85" s="62" t="e">
        <f t="shared" si="80"/>
        <v>#NUM!</v>
      </c>
      <c r="GE85" s="62">
        <f ca="1">AVERAGE(OFFSET($GD$3,0,0,'Données projet'!$E$17+1,1))-AVERAGE(OFFSET($H$3,0,0,'Données projet'!$E$17+1,1))</f>
        <v>383.71724511025587</v>
      </c>
      <c r="GF85" s="62">
        <f t="shared" si="104"/>
        <v>415.10774719533185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66.731866628898416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4.1025641025640995</v>
      </c>
      <c r="GU85" s="13">
        <f>IF('Données projet'!$A$270&gt;35,GU84+GT85-HC84,IF(A85&lt;'Données projet'!$A$270,$GR$205^A85,IF(A85='Données projet'!$A$270,'Données projet'!$B$270,GU84+GT85-HC84)))</f>
        <v>263.97435897435901</v>
      </c>
      <c r="GV85" s="18">
        <f>GU85*VLOOKUP('Données projet'!$B$18,Paramètres!$A$1:$I$89,3,0)*VLOOKUP('Données projet'!$B$18,Paramètres!$A$1:$I$89,5,0)</f>
        <v>177.07400000000001</v>
      </c>
      <c r="GW85" s="14">
        <f t="shared" si="105"/>
        <v>44.670585441115527</v>
      </c>
      <c r="GX85" s="22">
        <f t="shared" si="82"/>
        <v>386.2051529766095</v>
      </c>
      <c r="GY85" s="62">
        <f t="shared" si="83"/>
        <v>667.5553306159037</v>
      </c>
      <c r="GZ85" s="62">
        <f ca="1">AVERAGE(OFFSET($GY$3,0,0,'Données projet'!$E$18+1,1))-AVERAGE(OFFSET($H$3,0,0,'Données projet'!$E$18+1,1))</f>
        <v>329.93956600482801</v>
      </c>
      <c r="HA85" s="62">
        <f t="shared" si="106"/>
        <v>268.69186630599165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2.7450000000000001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10.065</v>
      </c>
      <c r="H86" s="70">
        <f t="shared" si="56"/>
        <v>216.40666666666667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66.788561436435401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6.6</v>
      </c>
      <c r="N86" s="14">
        <f>IF('Données projet'!$A$36&gt;35,N85+M86-V85,IF(A86&lt;'Données projet'!$A$36,$K$205^A86,IF(A86='Données projet'!$A$36,'Données projet'!$B$36,N85+M86-V85)))</f>
        <v>339.80000000000007</v>
      </c>
      <c r="O86" s="14">
        <f>N86*VLOOKUP('Données projet'!$B$9,Paramètres!$A$1:$I$89,3,0)*VLOOKUP('Données projet'!$B$9,Paramètres!$A$1:$I$89,5,0)</f>
        <v>307.45104000000003</v>
      </c>
      <c r="P86" s="14">
        <f t="shared" si="87"/>
        <v>72.736250347470119</v>
      </c>
      <c r="Q86" s="22">
        <f t="shared" si="54"/>
        <v>662.15953068851047</v>
      </c>
      <c r="R86" s="62">
        <f t="shared" si="55"/>
        <v>943.71758928877352</v>
      </c>
      <c r="S86" s="62">
        <f ca="1">AVERAGE(OFFSET($R$3,0,0,'Données projet'!$E$9+1,1))-AVERAGE(OFFSET($H$3,0,0,'Données projet'!$E$9+1,1))</f>
        <v>551.67307965706379</v>
      </c>
      <c r="T86" s="62">
        <f t="shared" si="88"/>
        <v>288.70738860523943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66.788561436435401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6.6</v>
      </c>
      <c r="AI86" s="14">
        <f>IF('Données projet'!$A$62&gt;35,AI85+AH86-AQ85,IF(A86&lt;'Données projet'!$A$62,$AF$205^A86,IF(A86='Données projet'!$A$62,'Données projet'!$B$62,AI85+AH86-AQ85)))</f>
        <v>339.80000000000007</v>
      </c>
      <c r="AJ86" s="14">
        <f>AI86*VLOOKUP('Données projet'!$B$10,Paramètres!$A$1:$I$89,3,0)*VLOOKUP('Données projet'!$B$10,Paramètres!$A$1:$I$89,5,0)</f>
        <v>286.24752000000007</v>
      </c>
      <c r="AK86" s="14">
        <f t="shared" si="89"/>
        <v>68.285589016924646</v>
      </c>
      <c r="AL86" s="22">
        <f t="shared" si="58"/>
        <v>617.47849820447721</v>
      </c>
      <c r="AM86" s="62">
        <f t="shared" si="59"/>
        <v>899.03655680474026</v>
      </c>
      <c r="AN86" s="62">
        <f ca="1">AVERAGE(OFFSET($AM$3,0,0,'Données projet'!$E$10+1,1))-AVERAGE(OFFSET($H$3,0,0,'Données projet'!$E$10+1,1))</f>
        <v>518.18933270904506</v>
      </c>
      <c r="AO86" s="62">
        <f t="shared" si="90"/>
        <v>272.44431899810411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66.788561436435401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12</v>
      </c>
      <c r="BD86" s="13">
        <f>IF('Données projet'!$A$88&gt;35,BD85+BC86-BL85,IF(A86&lt;'Données projet'!$A$88,$BA$205^A86,IF(A86='Données projet'!$A$88,'Données projet'!$B$88,BD85+BC86-BL85)))</f>
        <v>407.99999999999966</v>
      </c>
      <c r="BE86" s="14">
        <f>BD86*VLOOKUP('Données projet'!$B$11,Paramètres!$A$1:$I$89,3,0)*VLOOKUP('Données projet'!$B$11,Paramètres!$A$1:$I$89,5,0)</f>
        <v>350.06399999999974</v>
      </c>
      <c r="BF86" s="14">
        <f t="shared" si="91"/>
        <v>81.575689362490451</v>
      </c>
      <c r="BG86" s="22">
        <f t="shared" si="61"/>
        <v>751.77245897300372</v>
      </c>
      <c r="BH86" s="62">
        <f t="shared" si="62"/>
        <v>1033.3305175732669</v>
      </c>
      <c r="BI86" s="62">
        <f ca="1">AVERAGE(OFFSET($BH$3,0,0,'Données projet'!$E$11+1,1))-AVERAGE(OFFSET($H$3,0,0,'Données projet'!$E$11+1,1))</f>
        <v>464.73160475167867</v>
      </c>
      <c r="BJ86" s="62">
        <f t="shared" si="92"/>
        <v>241.31968359962227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66.788561436435401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3.8</v>
      </c>
      <c r="BY86" s="13">
        <f>IF('Données projet'!$A$114&gt;35,BY85+BX86-CG85,IF(A86&lt;'Données projet'!$A$114,$BV$205^A86,IF(A86='Données projet'!$A$114,'Données projet'!$B$114,BY85+BX86-CG85)))</f>
        <v>255.40000000000009</v>
      </c>
      <c r="BZ86" s="14">
        <f>BY86*VLOOKUP('Données projet'!$B$12,Paramètres!$A$1:$I$89,3,0)*VLOOKUP('Données projet'!$B$12,Paramètres!$A$1:$I$89,5,0)</f>
        <v>167.33808000000005</v>
      </c>
      <c r="CA86" s="14">
        <f t="shared" si="93"/>
        <v>42.493295553601513</v>
      </c>
      <c r="CB86" s="22">
        <f t="shared" si="64"/>
        <v>365.45631242252267</v>
      </c>
      <c r="CC86" s="62">
        <f t="shared" si="65"/>
        <v>647.01437102278578</v>
      </c>
      <c r="CD86" s="62">
        <f ca="1">AVERAGE(OFFSET($CC$3,0,0,'Données projet'!$E$12+1,1))-AVERAGE(OFFSET($H$3,0,0,'Données projet'!$E$12+1,1))</f>
        <v>292.13851489852607</v>
      </c>
      <c r="CE86" s="62">
        <f t="shared" si="94"/>
        <v>280.10866188737418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66.788561436435401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-1.1368683772161603E-13</v>
      </c>
      <c r="CU86" s="18">
        <f>CT86*VLOOKUP('Données projet'!$B$13,Paramètres!$A$1:$I$89,3,0)*VLOOKUP('Données projet'!$B$13,Paramètres!$A$1:$I$89,5,0)</f>
        <v>-9.2222762759774927E-14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265.25572936607409</v>
      </c>
      <c r="CZ86" s="62">
        <f t="shared" si="96"/>
        <v>307.96244316129071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66.788561436435401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4.2307692307692264</v>
      </c>
      <c r="DO86" s="13">
        <f>IF('Données projet'!$A$166&gt;35,DO85+DN86-DW85,IF(A86&lt;'Données projet'!$A$166,$DL$205^A86,IF(A86='Données projet'!$A$166,'Données projet'!$B$166,DO85+DN86-DW85)))</f>
        <v>249.87179487179478</v>
      </c>
      <c r="DP86" s="18">
        <f>DO86*VLOOKUP('Données projet'!$B$14,Paramètres!$A$1:$I$89,3,0)*VLOOKUP('Données projet'!$B$14,Paramètres!$A$1:$I$89,5,0)</f>
        <v>237.77799999999993</v>
      </c>
      <c r="DQ86" s="14">
        <f t="shared" si="97"/>
        <v>57.961197863009076</v>
      </c>
      <c r="DR86" s="22">
        <f t="shared" si="70"/>
        <v>515.07910294474061</v>
      </c>
      <c r="DS86" s="62">
        <f t="shared" si="71"/>
        <v>796.63716154500366</v>
      </c>
      <c r="DT86" s="62">
        <f ca="1">AVERAGE(OFFSET($DS$3,0,0,'Données projet'!$E$14+1,1))-AVERAGE(OFFSET($H$3,0,0,'Données projet'!$E$14+1,1))</f>
        <v>425.41154182732936</v>
      </c>
      <c r="DU86" s="62">
        <f t="shared" si="98"/>
        <v>306.44721925744591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66.788561436435401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-5.6843418860808015E-14</v>
      </c>
      <c r="EK86" s="18">
        <f>EJ86*VLOOKUP('Données projet'!$B$15,Paramètres!$A$1:$I$89,3,0)*VLOOKUP('Données projet'!$B$15,Paramètres!$A$1:$I$89,5,0)</f>
        <v>-4.1677594708744434E-14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357.57626046668958</v>
      </c>
      <c r="EP86" s="62">
        <f t="shared" si="100"/>
        <v>386.90439522046199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66.788561436435401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1.1368683772161603E-13</v>
      </c>
      <c r="FF86" s="18">
        <f>FE86*VLOOKUP('Données projet'!$B$16,Paramètres!$A$1:$I$89,3,0)*VLOOKUP('Données projet'!$B$16,Paramètres!$A$1:$I$89,5,0)</f>
        <v>8.8675733422860506E-14</v>
      </c>
      <c r="FG86" s="14">
        <f t="shared" si="101"/>
        <v>1.3509285393066301E-12</v>
      </c>
      <c r="FH86" s="22">
        <f t="shared" si="76"/>
        <v>2.5073107750038623E-12</v>
      </c>
      <c r="FI86" s="62">
        <f t="shared" si="77"/>
        <v>281.55805860026561</v>
      </c>
      <c r="FJ86" s="62">
        <f ca="1">AVERAGE(OFFSET($FI$3,0,0,'Données projet'!$E$16+1,1))-AVERAGE(OFFSET($H$3,0,0,'Données projet'!$E$16+1,1))</f>
        <v>303.56663121833833</v>
      </c>
      <c r="FK86" s="62">
        <f t="shared" si="102"/>
        <v>293.97736357938038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66.788561436435401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-5.6843418860808015E-14</v>
      </c>
      <c r="GA86" s="18">
        <f>FZ86*VLOOKUP('Données projet'!$B$17,Paramètres!$A$1:$I$89,3,0)*VLOOKUP('Données projet'!$B$17,Paramètres!$A$1:$I$89,5,0)</f>
        <v>-4.5224624045658861E-14</v>
      </c>
      <c r="GB86" s="14" t="e">
        <f t="shared" si="103"/>
        <v>#NUM!</v>
      </c>
      <c r="GC86" s="22" t="e">
        <f t="shared" si="79"/>
        <v>#NUM!</v>
      </c>
      <c r="GD86" s="62" t="e">
        <f t="shared" si="80"/>
        <v>#NUM!</v>
      </c>
      <c r="GE86" s="62">
        <f ca="1">AVERAGE(OFFSET($GD$3,0,0,'Données projet'!$E$17+1,1))-AVERAGE(OFFSET($H$3,0,0,'Données projet'!$E$17+1,1))</f>
        <v>383.71724511025587</v>
      </c>
      <c r="GF86" s="62">
        <f t="shared" si="104"/>
        <v>415.10774719533185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66.788561436435401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4.1025641025640995</v>
      </c>
      <c r="GU86" s="13">
        <f>IF('Données projet'!$A$270&gt;35,GU85+GT86-HC85,IF(A86&lt;'Données projet'!$A$270,$GR$205^A86,IF(A86='Données projet'!$A$270,'Données projet'!$B$270,GU85+GT86-HC85)))</f>
        <v>268.07692307692309</v>
      </c>
      <c r="GV86" s="18">
        <f>GU86*VLOOKUP('Données projet'!$B$18,Paramètres!$A$1:$I$89,3,0)*VLOOKUP('Données projet'!$B$18,Paramètres!$A$1:$I$89,5,0)</f>
        <v>179.82600000000002</v>
      </c>
      <c r="GW86" s="14">
        <f t="shared" si="105"/>
        <v>45.283472193614408</v>
      </c>
      <c r="GX86" s="22">
        <f t="shared" si="82"/>
        <v>392.06566407054515</v>
      </c>
      <c r="GY86" s="62">
        <f t="shared" si="83"/>
        <v>673.62372267080832</v>
      </c>
      <c r="GZ86" s="62">
        <f ca="1">AVERAGE(OFFSET($GY$3,0,0,'Données projet'!$E$18+1,1))-AVERAGE(OFFSET($H$3,0,0,'Données projet'!$E$18+1,1))</f>
        <v>329.93956600482801</v>
      </c>
      <c r="HA86" s="62">
        <f t="shared" si="106"/>
        <v>268.69186630599165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2.7450000000000001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10.065</v>
      </c>
      <c r="H87" s="70">
        <f t="shared" si="56"/>
        <v>216.40666666666667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66.844272715812224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6.6</v>
      </c>
      <c r="N87" s="14">
        <f>IF('Données projet'!$A$36&gt;35,N86+M87-V86,IF(A87&lt;'Données projet'!$A$36,$K$205^A87,IF(A87='Données projet'!$A$36,'Données projet'!$B$36,N86+M87-V86)))</f>
        <v>346.40000000000009</v>
      </c>
      <c r="O87" s="14">
        <f>N87*VLOOKUP('Données projet'!$B$9,Paramètres!$A$1:$I$89,3,0)*VLOOKUP('Données projet'!$B$9,Paramètres!$A$1:$I$89,5,0)</f>
        <v>313.42272000000008</v>
      </c>
      <c r="P87" s="14">
        <f t="shared" si="87"/>
        <v>73.983172890008831</v>
      </c>
      <c r="Q87" s="22">
        <f t="shared" si="54"/>
        <v>674.73193011676551</v>
      </c>
      <c r="R87" s="62">
        <f t="shared" si="55"/>
        <v>956.49426340807702</v>
      </c>
      <c r="S87" s="62">
        <f ca="1">AVERAGE(OFFSET($R$3,0,0,'Données projet'!$E$9+1,1))-AVERAGE(OFFSET($H$3,0,0,'Données projet'!$E$9+1,1))</f>
        <v>551.67307965706379</v>
      </c>
      <c r="T87" s="62">
        <f t="shared" si="88"/>
        <v>288.70738860523943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66.844272715812224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6.6</v>
      </c>
      <c r="AI87" s="14">
        <f>IF('Données projet'!$A$62&gt;35,AI86+AH87-AQ86,IF(A87&lt;'Données projet'!$A$62,$AF$205^A87,IF(A87='Données projet'!$A$62,'Données projet'!$B$62,AI86+AH87-AQ86)))</f>
        <v>346.40000000000009</v>
      </c>
      <c r="AJ87" s="14">
        <f>AI87*VLOOKUP('Données projet'!$B$10,Paramètres!$A$1:$I$89,3,0)*VLOOKUP('Données projet'!$B$10,Paramètres!$A$1:$I$89,5,0)</f>
        <v>291.80736000000013</v>
      </c>
      <c r="AK87" s="14">
        <f t="shared" si="89"/>
        <v>69.456213566155327</v>
      </c>
      <c r="AL87" s="22">
        <f t="shared" si="58"/>
        <v>629.200723961054</v>
      </c>
      <c r="AM87" s="62">
        <f t="shared" si="59"/>
        <v>910.9630572523655</v>
      </c>
      <c r="AN87" s="62">
        <f ca="1">AVERAGE(OFFSET($AM$3,0,0,'Données projet'!$E$10+1,1))-AVERAGE(OFFSET($H$3,0,0,'Données projet'!$E$10+1,1))</f>
        <v>518.18933270904506</v>
      </c>
      <c r="AO87" s="62">
        <f t="shared" si="90"/>
        <v>272.44431899810411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66.844272715812224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>
        <f>VLOOKUP(A87,'Données projet'!$A$87:$I$107,2,0)</f>
        <v>420</v>
      </c>
      <c r="BB87" s="13">
        <f>VLOOKUP(A87,'Données projet'!$A$87:$I$107,9,0)</f>
        <v>12</v>
      </c>
      <c r="BC87" s="13">
        <f t="array" ref="BC87">INDEX(BB:BB,MIN(IF(ISNUMBER(BB87:BB283),ROW(BB87:BB283),"")))</f>
        <v>12</v>
      </c>
      <c r="BD87" s="13">
        <f>IF('Données projet'!$A$88&gt;35,BD86+BC87-BL86,IF(A87&lt;'Données projet'!$A$88,$BA$205^A87,IF(A87='Données projet'!$A$88,'Données projet'!$B$88,BD86+BC87-BL86)))</f>
        <v>419.99999999999966</v>
      </c>
      <c r="BE87" s="14">
        <f>BD87*VLOOKUP('Données projet'!$B$11,Paramètres!$A$1:$I$89,3,0)*VLOOKUP('Données projet'!$B$11,Paramètres!$A$1:$I$89,5,0)</f>
        <v>360.35999999999973</v>
      </c>
      <c r="BF87" s="14">
        <f t="shared" si="91"/>
        <v>83.692107728969532</v>
      </c>
      <c r="BG87" s="22">
        <f t="shared" si="61"/>
        <v>773.39075429462139</v>
      </c>
      <c r="BH87" s="62">
        <f t="shared" si="62"/>
        <v>1055.153087585933</v>
      </c>
      <c r="BI87" s="62">
        <f ca="1">AVERAGE(OFFSET($BH$3,0,0,'Données projet'!$E$11+1,1))-AVERAGE(OFFSET($H$3,0,0,'Données projet'!$E$11+1,1))</f>
        <v>464.73160475167867</v>
      </c>
      <c r="BJ87" s="62">
        <f t="shared" si="92"/>
        <v>241.31968359962227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66.844272715812224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3.8</v>
      </c>
      <c r="BY87" s="13">
        <f>IF('Données projet'!$A$114&gt;35,BY86+BX87-CG86,IF(A87&lt;'Données projet'!$A$114,$BV$205^A87,IF(A87='Données projet'!$A$114,'Données projet'!$B$114,BY86+BX87-CG86)))</f>
        <v>259.2000000000001</v>
      </c>
      <c r="BZ87" s="14">
        <f>BY87*VLOOKUP('Données projet'!$B$12,Paramètres!$A$1:$I$89,3,0)*VLOOKUP('Données projet'!$B$12,Paramètres!$A$1:$I$89,5,0)</f>
        <v>169.82784000000007</v>
      </c>
      <c r="CA87" s="14">
        <f t="shared" si="93"/>
        <v>43.051463198873812</v>
      </c>
      <c r="CB87" s="22">
        <f t="shared" si="64"/>
        <v>370.76478640470532</v>
      </c>
      <c r="CC87" s="62">
        <f t="shared" si="65"/>
        <v>652.52711969601683</v>
      </c>
      <c r="CD87" s="62">
        <f ca="1">AVERAGE(OFFSET($CC$3,0,0,'Données projet'!$E$12+1,1))-AVERAGE(OFFSET($H$3,0,0,'Données projet'!$E$12+1,1))</f>
        <v>292.13851489852607</v>
      </c>
      <c r="CE87" s="62">
        <f t="shared" si="94"/>
        <v>280.10866188737418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66.844272715812224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-1.1368683772161603E-13</v>
      </c>
      <c r="CU87" s="18">
        <f>CT87*VLOOKUP('Données projet'!$B$13,Paramètres!$A$1:$I$89,3,0)*VLOOKUP('Données projet'!$B$13,Paramètres!$A$1:$I$89,5,0)</f>
        <v>-9.2222762759774927E-14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265.25572936607409</v>
      </c>
      <c r="CZ87" s="62">
        <f t="shared" si="96"/>
        <v>307.96244316129071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66.844272715812224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4.2307692307692264</v>
      </c>
      <c r="DO87" s="13">
        <f>IF('Données projet'!$A$166&gt;35,DO86+DN87-DW86,IF(A87&lt;'Données projet'!$A$166,$DL$205^A87,IF(A87='Données projet'!$A$166,'Données projet'!$B$166,DO86+DN87-DW86)))</f>
        <v>254.102564102564</v>
      </c>
      <c r="DP87" s="18">
        <f>DO87*VLOOKUP('Données projet'!$B$14,Paramètres!$A$1:$I$89,3,0)*VLOOKUP('Données projet'!$B$14,Paramètres!$A$1:$I$89,5,0)</f>
        <v>241.80399999999992</v>
      </c>
      <c r="DQ87" s="14">
        <f t="shared" si="97"/>
        <v>58.827500543950599</v>
      </c>
      <c r="DR87" s="22">
        <f t="shared" si="70"/>
        <v>523.59986344738036</v>
      </c>
      <c r="DS87" s="62">
        <f t="shared" si="71"/>
        <v>805.36219673869186</v>
      </c>
      <c r="DT87" s="62">
        <f ca="1">AVERAGE(OFFSET($DS$3,0,0,'Données projet'!$E$14+1,1))-AVERAGE(OFFSET($H$3,0,0,'Données projet'!$E$14+1,1))</f>
        <v>425.41154182732936</v>
      </c>
      <c r="DU87" s="62">
        <f t="shared" si="98"/>
        <v>306.44721925744591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66.844272715812224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-5.6843418860808015E-14</v>
      </c>
      <c r="EK87" s="18">
        <f>EJ87*VLOOKUP('Données projet'!$B$15,Paramètres!$A$1:$I$89,3,0)*VLOOKUP('Données projet'!$B$15,Paramètres!$A$1:$I$89,5,0)</f>
        <v>-4.1677594708744434E-14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357.57626046668958</v>
      </c>
      <c r="EP87" s="62">
        <f t="shared" si="100"/>
        <v>386.90439522046199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66.844272715812224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1.1368683772161603E-13</v>
      </c>
      <c r="FF87" s="18">
        <f>FE87*VLOOKUP('Données projet'!$B$16,Paramètres!$A$1:$I$89,3,0)*VLOOKUP('Données projet'!$B$16,Paramètres!$A$1:$I$89,5,0)</f>
        <v>8.8675733422860506E-14</v>
      </c>
      <c r="FG87" s="14">
        <f t="shared" si="101"/>
        <v>1.3509285393066301E-12</v>
      </c>
      <c r="FH87" s="22">
        <f t="shared" si="76"/>
        <v>2.5073107750038623E-12</v>
      </c>
      <c r="FI87" s="62">
        <f t="shared" si="77"/>
        <v>281.76233329131401</v>
      </c>
      <c r="FJ87" s="62">
        <f ca="1">AVERAGE(OFFSET($FI$3,0,0,'Données projet'!$E$16+1,1))-AVERAGE(OFFSET($H$3,0,0,'Données projet'!$E$16+1,1))</f>
        <v>303.56663121833833</v>
      </c>
      <c r="FK87" s="62">
        <f t="shared" si="102"/>
        <v>293.97736357938038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66.844272715812224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-5.6843418860808015E-14</v>
      </c>
      <c r="GA87" s="18">
        <f>FZ87*VLOOKUP('Données projet'!$B$17,Paramètres!$A$1:$I$89,3,0)*VLOOKUP('Données projet'!$B$17,Paramètres!$A$1:$I$89,5,0)</f>
        <v>-4.5224624045658861E-14</v>
      </c>
      <c r="GB87" s="14" t="e">
        <f t="shared" si="103"/>
        <v>#NUM!</v>
      </c>
      <c r="GC87" s="22" t="e">
        <f t="shared" si="79"/>
        <v>#NUM!</v>
      </c>
      <c r="GD87" s="62" t="e">
        <f t="shared" si="80"/>
        <v>#NUM!</v>
      </c>
      <c r="GE87" s="62">
        <f ca="1">AVERAGE(OFFSET($GD$3,0,0,'Données projet'!$E$17+1,1))-AVERAGE(OFFSET($H$3,0,0,'Données projet'!$E$17+1,1))</f>
        <v>383.71724511025587</v>
      </c>
      <c r="GF87" s="62">
        <f t="shared" si="104"/>
        <v>415.10774719533185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66.844272715812224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4.1025641025640995</v>
      </c>
      <c r="GU87" s="13">
        <f>IF('Données projet'!$A$270&gt;35,GU86+GT87-HC86,IF(A87&lt;'Données projet'!$A$270,$GR$205^A87,IF(A87='Données projet'!$A$270,'Données projet'!$B$270,GU86+GT87-HC86)))</f>
        <v>272.17948717948718</v>
      </c>
      <c r="GV87" s="18">
        <f>GU87*VLOOKUP('Données projet'!$B$18,Paramètres!$A$1:$I$89,3,0)*VLOOKUP('Données projet'!$B$18,Paramètres!$A$1:$I$89,5,0)</f>
        <v>182.578</v>
      </c>
      <c r="GW87" s="14">
        <f t="shared" si="105"/>
        <v>45.895268107941853</v>
      </c>
      <c r="GX87" s="22">
        <f t="shared" si="82"/>
        <v>397.9242752879988</v>
      </c>
      <c r="GY87" s="62">
        <f t="shared" si="83"/>
        <v>679.68660857931036</v>
      </c>
      <c r="GZ87" s="62">
        <f ca="1">AVERAGE(OFFSET($GY$3,0,0,'Données projet'!$E$18+1,1))-AVERAGE(OFFSET($H$3,0,0,'Données projet'!$E$18+1,1))</f>
        <v>329.93956600482801</v>
      </c>
      <c r="HA87" s="62">
        <f t="shared" si="106"/>
        <v>268.69186630599165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2.7450000000000001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10.065</v>
      </c>
      <c r="H88" s="70">
        <f t="shared" si="56"/>
        <v>216.40666666666667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66.899017529043604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6.6</v>
      </c>
      <c r="N88" s="14">
        <f>IF('Données projet'!$A$36&gt;35,N87+M88-V87,IF(A88&lt;'Données projet'!$A$36,$K$205^A88,IF(A88='Données projet'!$A$36,'Données projet'!$B$36,N87+M88-V87)))</f>
        <v>353.00000000000011</v>
      </c>
      <c r="O88" s="14">
        <f>N88*VLOOKUP('Données projet'!$B$9,Paramètres!$A$1:$I$89,3,0)*VLOOKUP('Données projet'!$B$9,Paramètres!$A$1:$I$89,5,0)</f>
        <v>319.39440000000013</v>
      </c>
      <c r="P88" s="14">
        <f t="shared" si="87"/>
        <v>75.227332916620099</v>
      </c>
      <c r="Q88" s="22">
        <f t="shared" si="54"/>
        <v>687.29951816311348</v>
      </c>
      <c r="R88" s="62">
        <f t="shared" si="55"/>
        <v>969.26258243627331</v>
      </c>
      <c r="S88" s="62">
        <f ca="1">AVERAGE(OFFSET($R$3,0,0,'Données projet'!$E$9+1,1))-AVERAGE(OFFSET($H$3,0,0,'Données projet'!$E$9+1,1))</f>
        <v>551.67307965706379</v>
      </c>
      <c r="T88" s="62">
        <f t="shared" si="88"/>
        <v>288.70738860523943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66.899017529043604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6.6</v>
      </c>
      <c r="AI88" s="14">
        <f>IF('Données projet'!$A$62&gt;35,AI87+AH88-AQ87,IF(A88&lt;'Données projet'!$A$62,$AF$205^A88,IF(A88='Données projet'!$A$62,'Données projet'!$B$62,AI87+AH88-AQ87)))</f>
        <v>353.00000000000011</v>
      </c>
      <c r="AJ88" s="14">
        <f>AI88*VLOOKUP('Données projet'!$B$10,Paramètres!$A$1:$I$89,3,0)*VLOOKUP('Données projet'!$B$10,Paramètres!$A$1:$I$89,5,0)</f>
        <v>297.36720000000008</v>
      </c>
      <c r="AK88" s="14">
        <f t="shared" si="89"/>
        <v>70.624244635156032</v>
      </c>
      <c r="AL88" s="22">
        <f t="shared" si="58"/>
        <v>640.91843273956351</v>
      </c>
      <c r="AM88" s="62">
        <f t="shared" si="59"/>
        <v>922.88149701272346</v>
      </c>
      <c r="AN88" s="62">
        <f ca="1">AVERAGE(OFFSET($AM$3,0,0,'Données projet'!$E$10+1,1))-AVERAGE(OFFSET($H$3,0,0,'Données projet'!$E$10+1,1))</f>
        <v>518.18933270904506</v>
      </c>
      <c r="AO88" s="62">
        <f t="shared" si="90"/>
        <v>272.44431899810411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66.899017529043604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11.5</v>
      </c>
      <c r="BD88" s="13">
        <f>IF('Données projet'!$A$88&gt;35,BD87+BC88-BL87,IF(A88&lt;'Données projet'!$A$88,$BA$205^A88,IF(A88='Données projet'!$A$88,'Données projet'!$B$88,BD87+BC88-BL87)))</f>
        <v>431.49999999999966</v>
      </c>
      <c r="BE88" s="14">
        <f>BD88*VLOOKUP('Données projet'!$B$11,Paramètres!$A$1:$I$89,3,0)*VLOOKUP('Données projet'!$B$11,Paramètres!$A$1:$I$89,5,0)</f>
        <v>370.22699999999975</v>
      </c>
      <c r="BF88" s="14">
        <f t="shared" si="91"/>
        <v>85.713744339137904</v>
      </c>
      <c r="BG88" s="22">
        <f t="shared" si="61"/>
        <v>794.09679639066474</v>
      </c>
      <c r="BH88" s="62">
        <f t="shared" si="62"/>
        <v>1076.0598606638246</v>
      </c>
      <c r="BI88" s="62">
        <f ca="1">AVERAGE(OFFSET($BH$3,0,0,'Données projet'!$E$11+1,1))-AVERAGE(OFFSET($H$3,0,0,'Données projet'!$E$11+1,1))</f>
        <v>464.73160475167867</v>
      </c>
      <c r="BJ88" s="62">
        <f t="shared" si="92"/>
        <v>241.31968359962227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66.899017529043604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263</v>
      </c>
      <c r="BW88" s="13">
        <f>VLOOKUP(A88,'Données projet'!$A$113:$I$133,9,0)</f>
        <v>3.8</v>
      </c>
      <c r="BX88" s="13">
        <f t="array" ref="BX88">INDEX(BW:BW,MIN(IF(ISNUMBER(BW88:BW284),ROW(BW88:BW284),"")))</f>
        <v>3.8</v>
      </c>
      <c r="BY88" s="13">
        <f>IF('Données projet'!$A$114&gt;35,BY87+BX88-CG87,IF(A88&lt;'Données projet'!$A$114,$BV$205^A88,IF(A88='Données projet'!$A$114,'Données projet'!$B$114,BY87+BX88-CG87)))</f>
        <v>263.00000000000011</v>
      </c>
      <c r="BZ88" s="14">
        <f>BY88*VLOOKUP('Données projet'!$B$12,Paramètres!$A$1:$I$89,3,0)*VLOOKUP('Données projet'!$B$12,Paramètres!$A$1:$I$89,5,0)</f>
        <v>172.31760000000008</v>
      </c>
      <c r="CA88" s="14">
        <f t="shared" si="93"/>
        <v>43.608679117600296</v>
      </c>
      <c r="CB88" s="22">
        <f t="shared" si="64"/>
        <v>376.0716027964873</v>
      </c>
      <c r="CC88" s="62">
        <f t="shared" si="65"/>
        <v>658.03466706964718</v>
      </c>
      <c r="CD88" s="62">
        <f ca="1">AVERAGE(OFFSET($CC$3,0,0,'Données projet'!$E$12+1,1))-AVERAGE(OFFSET($H$3,0,0,'Données projet'!$E$12+1,1))</f>
        <v>292.13851489852607</v>
      </c>
      <c r="CE88" s="62">
        <f t="shared" si="94"/>
        <v>280.10866188737418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66.899017529043604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-1.1368683772161603E-13</v>
      </c>
      <c r="CU88" s="18">
        <f>CT88*VLOOKUP('Données projet'!$B$13,Paramètres!$A$1:$I$89,3,0)*VLOOKUP('Données projet'!$B$13,Paramètres!$A$1:$I$89,5,0)</f>
        <v>-9.2222762759774927E-14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265.25572936607409</v>
      </c>
      <c r="CZ88" s="62">
        <f t="shared" si="96"/>
        <v>307.96244316129071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66.899017529043604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258.33333333333331</v>
      </c>
      <c r="DM88" s="13">
        <f>VLOOKUP(A88,'Données projet'!$A$165:$I$185,9,0)</f>
        <v>4.2307692307692264</v>
      </c>
      <c r="DN88" s="13">
        <f t="array" ref="DN88">INDEX(DM:DM,MIN(IF(ISNUMBER(DM88:DM284),ROW(DM88:DM284),"")))</f>
        <v>4.2307692307692264</v>
      </c>
      <c r="DO88" s="13">
        <f>IF('Données projet'!$A$166&gt;35,DO87+DN88-DW87,IF(A88&lt;'Données projet'!$A$166,$DL$205^A88,IF(A88='Données projet'!$A$166,'Données projet'!$B$166,DO87+DN88-DW87)))</f>
        <v>258.33333333333326</v>
      </c>
      <c r="DP88" s="18">
        <f>DO88*VLOOKUP('Données projet'!$B$14,Paramètres!$A$1:$I$89,3,0)*VLOOKUP('Données projet'!$B$14,Paramètres!$A$1:$I$89,5,0)</f>
        <v>245.82999999999993</v>
      </c>
      <c r="DQ88" s="14">
        <f t="shared" si="97"/>
        <v>59.692125837514034</v>
      </c>
      <c r="DR88" s="22">
        <f t="shared" si="70"/>
        <v>532.1177025003368</v>
      </c>
      <c r="DS88" s="62">
        <f t="shared" si="71"/>
        <v>814.08076677349663</v>
      </c>
      <c r="DT88" s="62">
        <f ca="1">AVERAGE(OFFSET($DS$3,0,0,'Données projet'!$E$14+1,1))-AVERAGE(OFFSET($H$3,0,0,'Données projet'!$E$14+1,1))</f>
        <v>425.41154182732936</v>
      </c>
      <c r="DU88" s="62">
        <f t="shared" si="98"/>
        <v>306.44721925744591</v>
      </c>
      <c r="DV88" s="16">
        <f>IF(ISNA(VLOOKUP(A88,'Données projet'!$A$165:$I$185,3,0)),0,VLOOKUP(A88,'Données projet'!$A$165:$I$185,3,0))</f>
        <v>7</v>
      </c>
      <c r="DW88" s="16">
        <f>IF(ISNA(VLOOKUP(A88,'Données projet'!$A$165:$I$185,4,0)),0,VLOOKUP(A88,'Données projet'!$A$165:$I$185,4,0))</f>
        <v>28.846153846153847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66.899017529043604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-5.6843418860808015E-14</v>
      </c>
      <c r="EK88" s="18">
        <f>EJ88*VLOOKUP('Données projet'!$B$15,Paramètres!$A$1:$I$89,3,0)*VLOOKUP('Données projet'!$B$15,Paramètres!$A$1:$I$89,5,0)</f>
        <v>-4.1677594708744434E-14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357.57626046668958</v>
      </c>
      <c r="EP88" s="62">
        <f t="shared" si="100"/>
        <v>386.90439522046199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66.899017529043604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1.1368683772161603E-13</v>
      </c>
      <c r="FF88" s="18">
        <f>FE88*VLOOKUP('Données projet'!$B$16,Paramètres!$A$1:$I$89,3,0)*VLOOKUP('Données projet'!$B$16,Paramètres!$A$1:$I$89,5,0)</f>
        <v>8.8675733422860506E-14</v>
      </c>
      <c r="FG88" s="14">
        <f t="shared" si="101"/>
        <v>1.3509285393066301E-12</v>
      </c>
      <c r="FH88" s="22">
        <f t="shared" si="76"/>
        <v>2.5073107750038623E-12</v>
      </c>
      <c r="FI88" s="62">
        <f t="shared" si="77"/>
        <v>281.96306427316239</v>
      </c>
      <c r="FJ88" s="62">
        <f ca="1">AVERAGE(OFFSET($FI$3,0,0,'Données projet'!$E$16+1,1))-AVERAGE(OFFSET($H$3,0,0,'Données projet'!$E$16+1,1))</f>
        <v>303.56663121833833</v>
      </c>
      <c r="FK88" s="62">
        <f t="shared" si="102"/>
        <v>293.97736357938038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66.899017529043604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-5.6843418860808015E-14</v>
      </c>
      <c r="GA88" s="18">
        <f>FZ88*VLOOKUP('Données projet'!$B$17,Paramètres!$A$1:$I$89,3,0)*VLOOKUP('Données projet'!$B$17,Paramètres!$A$1:$I$89,5,0)</f>
        <v>-4.5224624045658861E-14</v>
      </c>
      <c r="GB88" s="14" t="e">
        <f t="shared" si="103"/>
        <v>#NUM!</v>
      </c>
      <c r="GC88" s="22" t="e">
        <f t="shared" si="79"/>
        <v>#NUM!</v>
      </c>
      <c r="GD88" s="62" t="e">
        <f t="shared" si="80"/>
        <v>#NUM!</v>
      </c>
      <c r="GE88" s="62">
        <f ca="1">AVERAGE(OFFSET($GD$3,0,0,'Données projet'!$E$17+1,1))-AVERAGE(OFFSET($H$3,0,0,'Données projet'!$E$17+1,1))</f>
        <v>383.71724511025587</v>
      </c>
      <c r="GF88" s="62">
        <f t="shared" si="104"/>
        <v>415.10774719533185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66.899017529043604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276.28205128205127</v>
      </c>
      <c r="GS88" s="13">
        <f>VLOOKUP(A88,'Données projet'!$A$269:$I$289,9,0)</f>
        <v>4.1025641025640995</v>
      </c>
      <c r="GT88" s="13">
        <f t="array" ref="GT88">INDEX(GS:GS,MIN(IF(ISNUMBER(GS88:GS284),ROW(GS88:GS284),"")))</f>
        <v>4.1025641025640995</v>
      </c>
      <c r="GU88" s="13">
        <f>IF('Données projet'!$A$270&gt;35,GU87+GT88-HC87,IF(A88&lt;'Données projet'!$A$270,$GR$205^A88,IF(A88='Données projet'!$A$270,'Données projet'!$B$270,GU87+GT88-HC87)))</f>
        <v>276.28205128205127</v>
      </c>
      <c r="GV88" s="18">
        <f>GU88*VLOOKUP('Données projet'!$B$18,Paramètres!$A$1:$I$89,3,0)*VLOOKUP('Données projet'!$B$18,Paramètres!$A$1:$I$89,5,0)</f>
        <v>185.32999999999998</v>
      </c>
      <c r="GW88" s="14">
        <f t="shared" si="105"/>
        <v>46.505991525491268</v>
      </c>
      <c r="GX88" s="22">
        <f t="shared" si="82"/>
        <v>403.78101857356387</v>
      </c>
      <c r="GY88" s="62">
        <f t="shared" si="83"/>
        <v>685.74408284672381</v>
      </c>
      <c r="GZ88" s="62">
        <f ca="1">AVERAGE(OFFSET($GY$3,0,0,'Données projet'!$E$18+1,1))-AVERAGE(OFFSET($H$3,0,0,'Données projet'!$E$18+1,1))</f>
        <v>329.93956600482801</v>
      </c>
      <c r="HA88" s="62">
        <f t="shared" si="106"/>
        <v>268.69186630599165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2.7450000000000001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10.065</v>
      </c>
      <c r="H89" s="70">
        <f t="shared" si="56"/>
        <v>216.40666666666667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66.952812642156502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6.6</v>
      </c>
      <c r="N89" s="14">
        <f>IF('Données projet'!$A$36&gt;35,N88+M89-V88,IF(A89&lt;'Données projet'!$A$36,$K$205^A89,IF(A89='Données projet'!$A$36,'Données projet'!$B$36,N88+M89-V88)))</f>
        <v>359.60000000000014</v>
      </c>
      <c r="O89" s="14">
        <f>N89*VLOOKUP('Données projet'!$B$9,Paramètres!$A$1:$I$89,3,0)*VLOOKUP('Données projet'!$B$9,Paramètres!$A$1:$I$89,5,0)</f>
        <v>325.36608000000012</v>
      </c>
      <c r="P89" s="14">
        <f t="shared" si="87"/>
        <v>76.468788033923758</v>
      </c>
      <c r="Q89" s="22">
        <f t="shared" si="54"/>
        <v>699.86239515908403</v>
      </c>
      <c r="R89" s="62">
        <f t="shared" si="55"/>
        <v>982.02270818032457</v>
      </c>
      <c r="S89" s="62">
        <f ca="1">AVERAGE(OFFSET($R$3,0,0,'Données projet'!$E$9+1,1))-AVERAGE(OFFSET($H$3,0,0,'Données projet'!$E$9+1,1))</f>
        <v>551.67307965706379</v>
      </c>
      <c r="T89" s="62">
        <f t="shared" si="88"/>
        <v>288.70738860523943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66.952812642156502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6.6</v>
      </c>
      <c r="AI89" s="14">
        <f>IF('Données projet'!$A$62&gt;35,AI88+AH89-AQ88,IF(A89&lt;'Données projet'!$A$62,$AF$205^A89,IF(A89='Données projet'!$A$62,'Données projet'!$B$62,AI88+AH89-AQ88)))</f>
        <v>359.60000000000014</v>
      </c>
      <c r="AJ89" s="14">
        <f>AI89*VLOOKUP('Données projet'!$B$10,Paramètres!$A$1:$I$89,3,0)*VLOOKUP('Données projet'!$B$10,Paramètres!$A$1:$I$89,5,0)</f>
        <v>302.92704000000015</v>
      </c>
      <c r="AK89" s="14">
        <f t="shared" si="89"/>
        <v>71.789736305653022</v>
      </c>
      <c r="AL89" s="22">
        <f t="shared" si="58"/>
        <v>652.63171873234603</v>
      </c>
      <c r="AM89" s="62">
        <f t="shared" si="59"/>
        <v>934.79203175358657</v>
      </c>
      <c r="AN89" s="62">
        <f ca="1">AVERAGE(OFFSET($AM$3,0,0,'Données projet'!$E$10+1,1))-AVERAGE(OFFSET($H$3,0,0,'Données projet'!$E$10+1,1))</f>
        <v>518.18933270904506</v>
      </c>
      <c r="AO89" s="62">
        <f t="shared" si="90"/>
        <v>272.44431899810411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66.952812642156502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11.5</v>
      </c>
      <c r="BD89" s="13">
        <f>IF('Données projet'!$A$88&gt;35,BD88+BC89-BL88,IF(A89&lt;'Données projet'!$A$88,$BA$205^A89,IF(A89='Données projet'!$A$88,'Données projet'!$B$88,BD88+BC89-BL88)))</f>
        <v>442.99999999999966</v>
      </c>
      <c r="BE89" s="14">
        <f>BD89*VLOOKUP('Données projet'!$B$11,Paramètres!$A$1:$I$89,3,0)*VLOOKUP('Données projet'!$B$11,Paramètres!$A$1:$I$89,5,0)</f>
        <v>380.09399999999977</v>
      </c>
      <c r="BF89" s="14">
        <f t="shared" si="91"/>
        <v>87.729118359210162</v>
      </c>
      <c r="BG89" s="22">
        <f t="shared" si="61"/>
        <v>814.79193114229065</v>
      </c>
      <c r="BH89" s="62">
        <f t="shared" si="62"/>
        <v>1096.9522441635311</v>
      </c>
      <c r="BI89" s="62">
        <f ca="1">AVERAGE(OFFSET($BH$3,0,0,'Données projet'!$E$11+1,1))-AVERAGE(OFFSET($H$3,0,0,'Données projet'!$E$11+1,1))</f>
        <v>464.73160475167867</v>
      </c>
      <c r="BJ89" s="62">
        <f t="shared" si="92"/>
        <v>241.31968359962227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66.952812642156502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3.6</v>
      </c>
      <c r="BY89" s="13">
        <f>IF('Données projet'!$A$114&gt;35,BY88+BX89-CG88,IF(A89&lt;'Données projet'!$A$114,$BV$205^A89,IF(A89='Données projet'!$A$114,'Données projet'!$B$114,BY88+BX89-CG88)))</f>
        <v>266.60000000000014</v>
      </c>
      <c r="BZ89" s="14">
        <f>BY89*VLOOKUP('Données projet'!$B$12,Paramètres!$A$1:$I$89,3,0)*VLOOKUP('Données projet'!$B$12,Paramètres!$A$1:$I$89,5,0)</f>
        <v>174.67632000000009</v>
      </c>
      <c r="CA89" s="14">
        <f t="shared" si="93"/>
        <v>44.135703881788153</v>
      </c>
      <c r="CB89" s="22">
        <f t="shared" si="64"/>
        <v>381.0976082607811</v>
      </c>
      <c r="CC89" s="62">
        <f t="shared" si="65"/>
        <v>663.25792128202158</v>
      </c>
      <c r="CD89" s="62">
        <f ca="1">AVERAGE(OFFSET($CC$3,0,0,'Données projet'!$E$12+1,1))-AVERAGE(OFFSET($H$3,0,0,'Données projet'!$E$12+1,1))</f>
        <v>292.13851489852607</v>
      </c>
      <c r="CE89" s="62">
        <f t="shared" si="94"/>
        <v>280.10866188737418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66.952812642156502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-1.1368683772161603E-13</v>
      </c>
      <c r="CU89" s="18">
        <f>CT89*VLOOKUP('Données projet'!$B$13,Paramètres!$A$1:$I$89,3,0)*VLOOKUP('Données projet'!$B$13,Paramètres!$A$1:$I$89,5,0)</f>
        <v>-9.2222762759774927E-14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265.25572936607409</v>
      </c>
      <c r="CZ89" s="62">
        <f t="shared" si="96"/>
        <v>307.96244316129071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66.952812642156502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3.8461538461538454</v>
      </c>
      <c r="DO89" s="13">
        <f>IF('Données projet'!$A$166&gt;35,DO88+DN89-DW88,IF(A89&lt;'Données projet'!$A$166,$DL$205^A89,IF(A89='Données projet'!$A$166,'Données projet'!$B$166,DO88+DN89-DW88)))</f>
        <v>233.33333333333329</v>
      </c>
      <c r="DP89" s="18">
        <f>DO89*VLOOKUP('Données projet'!$B$14,Paramètres!$A$1:$I$89,3,0)*VLOOKUP('Données projet'!$B$14,Paramètres!$A$1:$I$89,5,0)</f>
        <v>222.04</v>
      </c>
      <c r="DQ89" s="14">
        <f t="shared" si="97"/>
        <v>54.558031180803546</v>
      </c>
      <c r="DR89" s="22">
        <f t="shared" si="70"/>
        <v>481.74157097323285</v>
      </c>
      <c r="DS89" s="62">
        <f t="shared" si="71"/>
        <v>763.90188399447334</v>
      </c>
      <c r="DT89" s="62">
        <f ca="1">AVERAGE(OFFSET($DS$3,0,0,'Données projet'!$E$14+1,1))-AVERAGE(OFFSET($H$3,0,0,'Données projet'!$E$14+1,1))</f>
        <v>425.41154182732936</v>
      </c>
      <c r="DU89" s="62">
        <f t="shared" si="98"/>
        <v>306.44721925744591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66.952812642156502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-5.6843418860808015E-14</v>
      </c>
      <c r="EK89" s="18">
        <f>EJ89*VLOOKUP('Données projet'!$B$15,Paramètres!$A$1:$I$89,3,0)*VLOOKUP('Données projet'!$B$15,Paramètres!$A$1:$I$89,5,0)</f>
        <v>-4.1677594708744434E-14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357.57626046668958</v>
      </c>
      <c r="EP89" s="62">
        <f t="shared" si="100"/>
        <v>386.90439522046199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66.952812642156502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1.1368683772161603E-13</v>
      </c>
      <c r="FF89" s="18">
        <f>FE89*VLOOKUP('Données projet'!$B$16,Paramètres!$A$1:$I$89,3,0)*VLOOKUP('Données projet'!$B$16,Paramètres!$A$1:$I$89,5,0)</f>
        <v>8.8675733422860506E-14</v>
      </c>
      <c r="FG89" s="14">
        <f t="shared" si="101"/>
        <v>1.3509285393066301E-12</v>
      </c>
      <c r="FH89" s="22">
        <f t="shared" si="76"/>
        <v>2.5073107750038623E-12</v>
      </c>
      <c r="FI89" s="62">
        <f t="shared" si="77"/>
        <v>282.16031302124298</v>
      </c>
      <c r="FJ89" s="62">
        <f ca="1">AVERAGE(OFFSET($FI$3,0,0,'Données projet'!$E$16+1,1))-AVERAGE(OFFSET($H$3,0,0,'Données projet'!$E$16+1,1))</f>
        <v>303.56663121833833</v>
      </c>
      <c r="FK89" s="62">
        <f t="shared" si="102"/>
        <v>293.97736357938038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66.952812642156502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-5.6843418860808015E-14</v>
      </c>
      <c r="GA89" s="18">
        <f>FZ89*VLOOKUP('Données projet'!$B$17,Paramètres!$A$1:$I$89,3,0)*VLOOKUP('Données projet'!$B$17,Paramètres!$A$1:$I$89,5,0)</f>
        <v>-4.5224624045658861E-14</v>
      </c>
      <c r="GB89" s="14" t="e">
        <f t="shared" si="103"/>
        <v>#NUM!</v>
      </c>
      <c r="GC89" s="22" t="e">
        <f t="shared" si="79"/>
        <v>#NUM!</v>
      </c>
      <c r="GD89" s="62" t="e">
        <f t="shared" si="80"/>
        <v>#NUM!</v>
      </c>
      <c r="GE89" s="62">
        <f ca="1">AVERAGE(OFFSET($GD$3,0,0,'Données projet'!$E$17+1,1))-AVERAGE(OFFSET($H$3,0,0,'Données projet'!$E$17+1,1))</f>
        <v>383.71724511025587</v>
      </c>
      <c r="GF89" s="62">
        <f t="shared" si="104"/>
        <v>415.10774719533185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66.952812642156502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3.8461538461538454</v>
      </c>
      <c r="GU89" s="13">
        <f>IF('Données projet'!$A$270&gt;35,GU88+GT89-HC88,IF(A89&lt;'Données projet'!$A$270,$GR$205^A89,IF(A89='Données projet'!$A$270,'Données projet'!$B$270,GU88+GT89-HC88)))</f>
        <v>280.12820512820514</v>
      </c>
      <c r="GV89" s="18">
        <f>GU89*VLOOKUP('Données projet'!$B$18,Paramètres!$A$1:$I$89,3,0)*VLOOKUP('Données projet'!$B$18,Paramètres!$A$1:$I$89,5,0)</f>
        <v>187.91</v>
      </c>
      <c r="GW89" s="14">
        <f t="shared" si="105"/>
        <v>47.077586490700433</v>
      </c>
      <c r="GX89" s="22">
        <f t="shared" si="82"/>
        <v>409.27004647130326</v>
      </c>
      <c r="GY89" s="62">
        <f t="shared" si="83"/>
        <v>691.43035949254374</v>
      </c>
      <c r="GZ89" s="62">
        <f ca="1">AVERAGE(OFFSET($GY$3,0,0,'Données projet'!$E$18+1,1))-AVERAGE(OFFSET($H$3,0,0,'Données projet'!$E$18+1,1))</f>
        <v>329.93956600482801</v>
      </c>
      <c r="HA89" s="62">
        <f t="shared" si="106"/>
        <v>268.69186630599165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2.7450000000000001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10.065</v>
      </c>
      <c r="H90" s="70">
        <f t="shared" si="56"/>
        <v>216.40666666666667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67.00567453032474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6.6</v>
      </c>
      <c r="N90" s="14">
        <f>IF('Données projet'!$A$36&gt;35,N89+M90-V89,IF(A90&lt;'Données projet'!$A$36,$K$205^A90,IF(A90='Données projet'!$A$36,'Données projet'!$B$36,N89+M90-V89)))</f>
        <v>366.20000000000016</v>
      </c>
      <c r="O90" s="14">
        <f>N90*VLOOKUP('Données projet'!$B$9,Paramètres!$A$1:$I$89,3,0)*VLOOKUP('Données projet'!$B$9,Paramètres!$A$1:$I$89,5,0)</f>
        <v>331.33776000000012</v>
      </c>
      <c r="P90" s="14">
        <f t="shared" si="87"/>
        <v>77.707593612890619</v>
      </c>
      <c r="Q90" s="22">
        <f t="shared" si="54"/>
        <v>712.42065754245129</v>
      </c>
      <c r="R90" s="62">
        <f t="shared" si="55"/>
        <v>994.77479748697533</v>
      </c>
      <c r="S90" s="62">
        <f ca="1">AVERAGE(OFFSET($R$3,0,0,'Données projet'!$E$9+1,1))-AVERAGE(OFFSET($H$3,0,0,'Données projet'!$E$9+1,1))</f>
        <v>551.67307965706379</v>
      </c>
      <c r="T90" s="62">
        <f t="shared" si="88"/>
        <v>288.70738860523943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67.00567453032474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6.6</v>
      </c>
      <c r="AI90" s="14">
        <f>IF('Données projet'!$A$62&gt;35,AI89+AH90-AQ89,IF(A90&lt;'Données projet'!$A$62,$AF$205^A90,IF(A90='Données projet'!$A$62,'Données projet'!$B$62,AI89+AH90-AQ89)))</f>
        <v>366.20000000000016</v>
      </c>
      <c r="AJ90" s="14">
        <f>AI90*VLOOKUP('Données projet'!$B$10,Paramètres!$A$1:$I$89,3,0)*VLOOKUP('Données projet'!$B$10,Paramètres!$A$1:$I$89,5,0)</f>
        <v>308.48688000000016</v>
      </c>
      <c r="AK90" s="14">
        <f t="shared" si="89"/>
        <v>72.952740560520368</v>
      </c>
      <c r="AL90" s="22">
        <f t="shared" si="58"/>
        <v>664.34067247624</v>
      </c>
      <c r="AM90" s="62">
        <f t="shared" si="59"/>
        <v>946.69481242076404</v>
      </c>
      <c r="AN90" s="62">
        <f ca="1">AVERAGE(OFFSET($AM$3,0,0,'Données projet'!$E$10+1,1))-AVERAGE(OFFSET($H$3,0,0,'Données projet'!$E$10+1,1))</f>
        <v>518.18933270904506</v>
      </c>
      <c r="AO90" s="62">
        <f t="shared" si="90"/>
        <v>272.44431899810411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67.00567453032474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11.5</v>
      </c>
      <c r="BD90" s="13">
        <f>IF('Données projet'!$A$88&gt;35,BD89+BC90-BL89,IF(A90&lt;'Données projet'!$A$88,$BA$205^A90,IF(A90='Données projet'!$A$88,'Données projet'!$B$88,BD89+BC90-BL89)))</f>
        <v>454.49999999999966</v>
      </c>
      <c r="BE90" s="14">
        <f>BD90*VLOOKUP('Données projet'!$B$11,Paramètres!$A$1:$I$89,3,0)*VLOOKUP('Données projet'!$B$11,Paramètres!$A$1:$I$89,5,0)</f>
        <v>389.96099999999973</v>
      </c>
      <c r="BF90" s="14">
        <f t="shared" si="91"/>
        <v>89.738411052819643</v>
      </c>
      <c r="BG90" s="22">
        <f t="shared" si="61"/>
        <v>835.47647425032699</v>
      </c>
      <c r="BH90" s="62">
        <f t="shared" si="62"/>
        <v>1117.830614194851</v>
      </c>
      <c r="BI90" s="62">
        <f ca="1">AVERAGE(OFFSET($BH$3,0,0,'Données projet'!$E$11+1,1))-AVERAGE(OFFSET($H$3,0,0,'Données projet'!$E$11+1,1))</f>
        <v>464.73160475167867</v>
      </c>
      <c r="BJ90" s="62">
        <f t="shared" si="92"/>
        <v>241.31968359962227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67.00567453032474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3.6</v>
      </c>
      <c r="BY90" s="13">
        <f>IF('Données projet'!$A$114&gt;35,BY89+BX90-CG89,IF(A90&lt;'Données projet'!$A$114,$BV$205^A90,IF(A90='Données projet'!$A$114,'Données projet'!$B$114,BY89+BX90-CG89)))</f>
        <v>270.20000000000016</v>
      </c>
      <c r="BZ90" s="14">
        <f>BY90*VLOOKUP('Données projet'!$B$12,Paramètres!$A$1:$I$89,3,0)*VLOOKUP('Données projet'!$B$12,Paramètres!$A$1:$I$89,5,0)</f>
        <v>177.03504000000009</v>
      </c>
      <c r="CA90" s="14">
        <f t="shared" si="93"/>
        <v>44.661900896243402</v>
      </c>
      <c r="CB90" s="22">
        <f t="shared" si="64"/>
        <v>386.12217206095738</v>
      </c>
      <c r="CC90" s="62">
        <f t="shared" si="65"/>
        <v>668.47631200548142</v>
      </c>
      <c r="CD90" s="62">
        <f ca="1">AVERAGE(OFFSET($CC$3,0,0,'Données projet'!$E$12+1,1))-AVERAGE(OFFSET($H$3,0,0,'Données projet'!$E$12+1,1))</f>
        <v>292.13851489852607</v>
      </c>
      <c r="CE90" s="62">
        <f t="shared" si="94"/>
        <v>280.10866188737418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67.00567453032474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-1.1368683772161603E-13</v>
      </c>
      <c r="CU90" s="18">
        <f>CT90*VLOOKUP('Données projet'!$B$13,Paramètres!$A$1:$I$89,3,0)*VLOOKUP('Données projet'!$B$13,Paramètres!$A$1:$I$89,5,0)</f>
        <v>-9.2222762759774927E-14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265.25572936607409</v>
      </c>
      <c r="CZ90" s="62">
        <f t="shared" si="96"/>
        <v>307.96244316129071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67.00567453032474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3.8461538461538454</v>
      </c>
      <c r="DO90" s="13">
        <f>IF('Données projet'!$A$166&gt;35,DO89+DN90-DW89,IF(A90&lt;'Données projet'!$A$166,$DL$205^A90,IF(A90='Données projet'!$A$166,'Données projet'!$B$166,DO89+DN90-DW89)))</f>
        <v>237.17948717948713</v>
      </c>
      <c r="DP90" s="18">
        <f>DO90*VLOOKUP('Données projet'!$B$14,Paramètres!$A$1:$I$89,3,0)*VLOOKUP('Données projet'!$B$14,Paramètres!$A$1:$I$89,5,0)</f>
        <v>225.69999999999996</v>
      </c>
      <c r="DQ90" s="14">
        <f t="shared" si="97"/>
        <v>55.351902227970015</v>
      </c>
      <c r="DR90" s="22">
        <f t="shared" si="70"/>
        <v>489.49872971371445</v>
      </c>
      <c r="DS90" s="62">
        <f t="shared" si="71"/>
        <v>771.85286965823843</v>
      </c>
      <c r="DT90" s="62">
        <f ca="1">AVERAGE(OFFSET($DS$3,0,0,'Données projet'!$E$14+1,1))-AVERAGE(OFFSET($H$3,0,0,'Données projet'!$E$14+1,1))</f>
        <v>425.41154182732936</v>
      </c>
      <c r="DU90" s="62">
        <f t="shared" si="98"/>
        <v>306.44721925744591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67.00567453032474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-5.6843418860808015E-14</v>
      </c>
      <c r="EK90" s="18">
        <f>EJ90*VLOOKUP('Données projet'!$B$15,Paramètres!$A$1:$I$89,3,0)*VLOOKUP('Données projet'!$B$15,Paramètres!$A$1:$I$89,5,0)</f>
        <v>-4.1677594708744434E-14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357.57626046668958</v>
      </c>
      <c r="EP90" s="62">
        <f t="shared" si="100"/>
        <v>386.90439522046199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67.00567453032474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1.1368683772161603E-13</v>
      </c>
      <c r="FF90" s="18">
        <f>FE90*VLOOKUP('Données projet'!$B$16,Paramètres!$A$1:$I$89,3,0)*VLOOKUP('Données projet'!$B$16,Paramètres!$A$1:$I$89,5,0)</f>
        <v>8.8675733422860506E-14</v>
      </c>
      <c r="FG90" s="14">
        <f t="shared" si="101"/>
        <v>1.3509285393066301E-12</v>
      </c>
      <c r="FH90" s="22">
        <f t="shared" si="76"/>
        <v>2.5073107750038623E-12</v>
      </c>
      <c r="FI90" s="62">
        <f t="shared" si="77"/>
        <v>282.35413994452654</v>
      </c>
      <c r="FJ90" s="62">
        <f ca="1">AVERAGE(OFFSET($FI$3,0,0,'Données projet'!$E$16+1,1))-AVERAGE(OFFSET($H$3,0,0,'Données projet'!$E$16+1,1))</f>
        <v>303.56663121833833</v>
      </c>
      <c r="FK90" s="62">
        <f t="shared" si="102"/>
        <v>293.97736357938038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67.00567453032474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-5.6843418860808015E-14</v>
      </c>
      <c r="GA90" s="18">
        <f>FZ90*VLOOKUP('Données projet'!$B$17,Paramètres!$A$1:$I$89,3,0)*VLOOKUP('Données projet'!$B$17,Paramètres!$A$1:$I$89,5,0)</f>
        <v>-4.5224624045658861E-14</v>
      </c>
      <c r="GB90" s="14" t="e">
        <f t="shared" si="103"/>
        <v>#NUM!</v>
      </c>
      <c r="GC90" s="22" t="e">
        <f t="shared" si="79"/>
        <v>#NUM!</v>
      </c>
      <c r="GD90" s="62" t="e">
        <f t="shared" si="80"/>
        <v>#NUM!</v>
      </c>
      <c r="GE90" s="62">
        <f ca="1">AVERAGE(OFFSET($GD$3,0,0,'Données projet'!$E$17+1,1))-AVERAGE(OFFSET($H$3,0,0,'Données projet'!$E$17+1,1))</f>
        <v>383.71724511025587</v>
      </c>
      <c r="GF90" s="62">
        <f t="shared" si="104"/>
        <v>415.10774719533185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67.00567453032474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3.8461538461538454</v>
      </c>
      <c r="GU90" s="13">
        <f>IF('Données projet'!$A$270&gt;35,GU89+GT90-HC89,IF(A90&lt;'Données projet'!$A$270,$GR$205^A90,IF(A90='Données projet'!$A$270,'Données projet'!$B$270,GU89+GT90-HC89)))</f>
        <v>283.97435897435901</v>
      </c>
      <c r="GV90" s="18">
        <f>GU90*VLOOKUP('Données projet'!$B$18,Paramètres!$A$1:$I$89,3,0)*VLOOKUP('Données projet'!$B$18,Paramètres!$A$1:$I$89,5,0)</f>
        <v>190.49</v>
      </c>
      <c r="GW90" s="14">
        <f t="shared" si="105"/>
        <v>47.648268649617435</v>
      </c>
      <c r="GX90" s="22">
        <f t="shared" si="82"/>
        <v>414.75748456475031</v>
      </c>
      <c r="GY90" s="62">
        <f t="shared" si="83"/>
        <v>697.11162450927441</v>
      </c>
      <c r="GZ90" s="62">
        <f ca="1">AVERAGE(OFFSET($GY$3,0,0,'Données projet'!$E$18+1,1))-AVERAGE(OFFSET($H$3,0,0,'Données projet'!$E$18+1,1))</f>
        <v>329.93956600482801</v>
      </c>
      <c r="HA90" s="62">
        <f t="shared" si="106"/>
        <v>268.69186630599165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2.7450000000000001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10.065</v>
      </c>
      <c r="H91" s="70">
        <f t="shared" si="56"/>
        <v>216.40666666666667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67.057619382914737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6.6</v>
      </c>
      <c r="N91" s="14">
        <f>IF('Données projet'!$A$36&gt;35,N90+M91-V90,IF(A91&lt;'Données projet'!$A$36,$K$205^A91,IF(A91='Données projet'!$A$36,'Données projet'!$B$36,N90+M91-V90)))</f>
        <v>372.80000000000018</v>
      </c>
      <c r="O91" s="14">
        <f>N91*VLOOKUP('Données projet'!$B$9,Paramètres!$A$1:$I$89,3,0)*VLOOKUP('Données projet'!$B$9,Paramètres!$A$1:$I$89,5,0)</f>
        <v>337.30944000000017</v>
      </c>
      <c r="P91" s="14">
        <f t="shared" si="87"/>
        <v>78.943802914307284</v>
      </c>
      <c r="Q91" s="22">
        <f t="shared" si="54"/>
        <v>724.97439807575211</v>
      </c>
      <c r="R91" s="62">
        <f t="shared" si="55"/>
        <v>1007.5190024797728</v>
      </c>
      <c r="S91" s="62">
        <f ca="1">AVERAGE(OFFSET($R$3,0,0,'Données projet'!$E$9+1,1))-AVERAGE(OFFSET($H$3,0,0,'Données projet'!$E$9+1,1))</f>
        <v>551.67307965706379</v>
      </c>
      <c r="T91" s="62">
        <f t="shared" si="88"/>
        <v>288.70738860523943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67.057619382914737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6.6</v>
      </c>
      <c r="AI91" s="14">
        <f>IF('Données projet'!$A$62&gt;35,AI90+AH91-AQ90,IF(A91&lt;'Données projet'!$A$62,$AF$205^A91,IF(A91='Données projet'!$A$62,'Données projet'!$B$62,AI90+AH91-AQ90)))</f>
        <v>372.80000000000018</v>
      </c>
      <c r="AJ91" s="14">
        <f>AI91*VLOOKUP('Données projet'!$B$10,Paramètres!$A$1:$I$89,3,0)*VLOOKUP('Données projet'!$B$10,Paramètres!$A$1:$I$89,5,0)</f>
        <v>314.04672000000022</v>
      </c>
      <c r="AK91" s="14">
        <f t="shared" si="89"/>
        <v>74.113307401568349</v>
      </c>
      <c r="AL91" s="22">
        <f t="shared" si="58"/>
        <v>676.0453810577319</v>
      </c>
      <c r="AM91" s="62">
        <f t="shared" si="59"/>
        <v>958.58998546175258</v>
      </c>
      <c r="AN91" s="62">
        <f ca="1">AVERAGE(OFFSET($AM$3,0,0,'Données projet'!$E$10+1,1))-AVERAGE(OFFSET($H$3,0,0,'Données projet'!$E$10+1,1))</f>
        <v>518.18933270904506</v>
      </c>
      <c r="AO91" s="62">
        <f t="shared" si="90"/>
        <v>272.44431899810411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67.057619382914737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11.5</v>
      </c>
      <c r="BD91" s="13">
        <f>IF('Données projet'!$A$88&gt;35,BD90+BC91-BL90,IF(A91&lt;'Données projet'!$A$88,$BA$205^A91,IF(A91='Données projet'!$A$88,'Données projet'!$B$88,BD90+BC91-BL90)))</f>
        <v>465.99999999999966</v>
      </c>
      <c r="BE91" s="14">
        <f>BD91*VLOOKUP('Données projet'!$B$11,Paramètres!$A$1:$I$89,3,0)*VLOOKUP('Données projet'!$B$11,Paramètres!$A$1:$I$89,5,0)</f>
        <v>399.82799999999975</v>
      </c>
      <c r="BF91" s="14">
        <f t="shared" si="91"/>
        <v>91.741793988042701</v>
      </c>
      <c r="BG91" s="22">
        <f t="shared" si="61"/>
        <v>856.15072452917377</v>
      </c>
      <c r="BH91" s="62">
        <f t="shared" si="62"/>
        <v>1138.6953289331946</v>
      </c>
      <c r="BI91" s="62">
        <f ca="1">AVERAGE(OFFSET($BH$3,0,0,'Données projet'!$E$11+1,1))-AVERAGE(OFFSET($H$3,0,0,'Données projet'!$E$11+1,1))</f>
        <v>464.73160475167867</v>
      </c>
      <c r="BJ91" s="62">
        <f t="shared" si="92"/>
        <v>241.31968359962227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67.057619382914737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3.6</v>
      </c>
      <c r="BY91" s="13">
        <f>IF('Données projet'!$A$114&gt;35,BY90+BX91-CG90,IF(A91&lt;'Données projet'!$A$114,$BV$205^A91,IF(A91='Données projet'!$A$114,'Données projet'!$B$114,BY90+BX91-CG90)))</f>
        <v>273.80000000000018</v>
      </c>
      <c r="BZ91" s="14">
        <f>BY91*VLOOKUP('Données projet'!$B$12,Paramètres!$A$1:$I$89,3,0)*VLOOKUP('Données projet'!$B$12,Paramètres!$A$1:$I$89,5,0)</f>
        <v>179.3937600000001</v>
      </c>
      <c r="CA91" s="14">
        <f t="shared" si="93"/>
        <v>45.187282464366746</v>
      </c>
      <c r="CB91" s="22">
        <f t="shared" si="64"/>
        <v>391.14531562543885</v>
      </c>
      <c r="CC91" s="62">
        <f t="shared" si="65"/>
        <v>673.68992002945959</v>
      </c>
      <c r="CD91" s="62">
        <f ca="1">AVERAGE(OFFSET($CC$3,0,0,'Données projet'!$E$12+1,1))-AVERAGE(OFFSET($H$3,0,0,'Données projet'!$E$12+1,1))</f>
        <v>292.13851489852607</v>
      </c>
      <c r="CE91" s="62">
        <f t="shared" si="94"/>
        <v>280.10866188737418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67.057619382914737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-1.1368683772161603E-13</v>
      </c>
      <c r="CU91" s="18">
        <f>CT91*VLOOKUP('Données projet'!$B$13,Paramètres!$A$1:$I$89,3,0)*VLOOKUP('Données projet'!$B$13,Paramètres!$A$1:$I$89,5,0)</f>
        <v>-9.2222762759774927E-14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265.25572936607409</v>
      </c>
      <c r="CZ91" s="62">
        <f t="shared" si="96"/>
        <v>307.96244316129071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67.057619382914737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3.8461538461538454</v>
      </c>
      <c r="DO91" s="13">
        <f>IF('Données projet'!$A$166&gt;35,DO90+DN91-DW90,IF(A91&lt;'Données projet'!$A$166,$DL$205^A91,IF(A91='Données projet'!$A$166,'Données projet'!$B$166,DO90+DN91-DW90)))</f>
        <v>241.02564102564097</v>
      </c>
      <c r="DP91" s="18">
        <f>DO91*VLOOKUP('Données projet'!$B$14,Paramètres!$A$1:$I$89,3,0)*VLOOKUP('Données projet'!$B$14,Paramètres!$A$1:$I$89,5,0)</f>
        <v>229.35999999999996</v>
      </c>
      <c r="DQ91" s="14">
        <f t="shared" si="97"/>
        <v>56.144276133877753</v>
      </c>
      <c r="DR91" s="22">
        <f t="shared" si="70"/>
        <v>497.25328093317034</v>
      </c>
      <c r="DS91" s="62">
        <f t="shared" si="71"/>
        <v>779.79788533719102</v>
      </c>
      <c r="DT91" s="62">
        <f ca="1">AVERAGE(OFFSET($DS$3,0,0,'Données projet'!$E$14+1,1))-AVERAGE(OFFSET($H$3,0,0,'Données projet'!$E$14+1,1))</f>
        <v>425.41154182732936</v>
      </c>
      <c r="DU91" s="62">
        <f t="shared" si="98"/>
        <v>306.44721925744591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67.057619382914737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-5.6843418860808015E-14</v>
      </c>
      <c r="EK91" s="18">
        <f>EJ91*VLOOKUP('Données projet'!$B$15,Paramètres!$A$1:$I$89,3,0)*VLOOKUP('Données projet'!$B$15,Paramètres!$A$1:$I$89,5,0)</f>
        <v>-4.1677594708744434E-14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357.57626046668958</v>
      </c>
      <c r="EP91" s="62">
        <f t="shared" si="100"/>
        <v>386.90439522046199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67.057619382914737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1.1368683772161603E-13</v>
      </c>
      <c r="FF91" s="18">
        <f>FE91*VLOOKUP('Données projet'!$B$16,Paramètres!$A$1:$I$89,3,0)*VLOOKUP('Données projet'!$B$16,Paramètres!$A$1:$I$89,5,0)</f>
        <v>8.8675733422860506E-14</v>
      </c>
      <c r="FG91" s="14">
        <f t="shared" si="101"/>
        <v>1.3509285393066301E-12</v>
      </c>
      <c r="FH91" s="22">
        <f t="shared" si="76"/>
        <v>2.5073107750038623E-12</v>
      </c>
      <c r="FI91" s="62">
        <f t="shared" si="77"/>
        <v>282.54460440402323</v>
      </c>
      <c r="FJ91" s="62">
        <f ca="1">AVERAGE(OFFSET($FI$3,0,0,'Données projet'!$E$16+1,1))-AVERAGE(OFFSET($H$3,0,0,'Données projet'!$E$16+1,1))</f>
        <v>303.56663121833833</v>
      </c>
      <c r="FK91" s="62">
        <f t="shared" si="102"/>
        <v>293.97736357938038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67.057619382914737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-5.6843418860808015E-14</v>
      </c>
      <c r="GA91" s="18">
        <f>FZ91*VLOOKUP('Données projet'!$B$17,Paramètres!$A$1:$I$89,3,0)*VLOOKUP('Données projet'!$B$17,Paramètres!$A$1:$I$89,5,0)</f>
        <v>-4.5224624045658861E-14</v>
      </c>
      <c r="GB91" s="14" t="e">
        <f t="shared" si="103"/>
        <v>#NUM!</v>
      </c>
      <c r="GC91" s="22" t="e">
        <f t="shared" si="79"/>
        <v>#NUM!</v>
      </c>
      <c r="GD91" s="62" t="e">
        <f t="shared" si="80"/>
        <v>#NUM!</v>
      </c>
      <c r="GE91" s="62">
        <f ca="1">AVERAGE(OFFSET($GD$3,0,0,'Données projet'!$E$17+1,1))-AVERAGE(OFFSET($H$3,0,0,'Données projet'!$E$17+1,1))</f>
        <v>383.71724511025587</v>
      </c>
      <c r="GF91" s="62">
        <f t="shared" si="104"/>
        <v>415.10774719533185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67.057619382914737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3.8461538461538454</v>
      </c>
      <c r="GU91" s="13">
        <f>IF('Données projet'!$A$270&gt;35,GU90+GT91-HC90,IF(A91&lt;'Données projet'!$A$270,$GR$205^A91,IF(A91='Données projet'!$A$270,'Données projet'!$B$270,GU90+GT91-HC90)))</f>
        <v>287.82051282051287</v>
      </c>
      <c r="GV91" s="18">
        <f>GU91*VLOOKUP('Données projet'!$B$18,Paramètres!$A$1:$I$89,3,0)*VLOOKUP('Données projet'!$B$18,Paramètres!$A$1:$I$89,5,0)</f>
        <v>193.07000000000005</v>
      </c>
      <c r="GW91" s="14">
        <f t="shared" si="105"/>
        <v>48.218051794342536</v>
      </c>
      <c r="GX91" s="22">
        <f t="shared" si="82"/>
        <v>420.24335687514667</v>
      </c>
      <c r="GY91" s="62">
        <f t="shared" si="83"/>
        <v>702.78796127916735</v>
      </c>
      <c r="GZ91" s="62">
        <f ca="1">AVERAGE(OFFSET($GY$3,0,0,'Données projet'!$E$18+1,1))-AVERAGE(OFFSET($H$3,0,0,'Données projet'!$E$18+1,1))</f>
        <v>329.93956600482801</v>
      </c>
      <c r="HA91" s="62">
        <f t="shared" si="106"/>
        <v>268.69186630599165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2.7450000000000001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10.065</v>
      </c>
      <c r="H92" s="70">
        <f t="shared" si="56"/>
        <v>216.40666666666667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67.108663108443579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6.6</v>
      </c>
      <c r="N92" s="14">
        <f>IF('Données projet'!$A$36&gt;35,N91+M92-V91,IF(A92&lt;'Données projet'!$A$36,$K$205^A92,IF(A92='Données projet'!$A$36,'Données projet'!$B$36,N91+M92-V91)))</f>
        <v>379.4000000000002</v>
      </c>
      <c r="O92" s="14">
        <f>N92*VLOOKUP('Données projet'!$B$9,Paramètres!$A$1:$I$89,3,0)*VLOOKUP('Données projet'!$B$9,Paramètres!$A$1:$I$89,5,0)</f>
        <v>343.28112000000016</v>
      </c>
      <c r="P92" s="14">
        <f t="shared" si="87"/>
        <v>80.17746720510398</v>
      </c>
      <c r="Q92" s="22">
        <f t="shared" si="54"/>
        <v>737.52370604888972</v>
      </c>
      <c r="R92" s="62">
        <f t="shared" si="55"/>
        <v>1020.2554707798495</v>
      </c>
      <c r="S92" s="62">
        <f ca="1">AVERAGE(OFFSET($R$3,0,0,'Données projet'!$E$9+1,1))-AVERAGE(OFFSET($H$3,0,0,'Données projet'!$E$9+1,1))</f>
        <v>551.67307965706379</v>
      </c>
      <c r="T92" s="62">
        <f t="shared" si="88"/>
        <v>288.70738860523943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67.108663108443579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6.6</v>
      </c>
      <c r="AI92" s="14">
        <f>IF('Données projet'!$A$62&gt;35,AI91+AH92-AQ91,IF(A92&lt;'Données projet'!$A$62,$AF$205^A92,IF(A92='Données projet'!$A$62,'Données projet'!$B$62,AI91+AH92-AQ91)))</f>
        <v>379.4000000000002</v>
      </c>
      <c r="AJ92" s="14">
        <f>AI92*VLOOKUP('Données projet'!$B$10,Paramètres!$A$1:$I$89,3,0)*VLOOKUP('Données projet'!$B$10,Paramètres!$A$1:$I$89,5,0)</f>
        <v>319.60656000000017</v>
      </c>
      <c r="AK92" s="14">
        <f t="shared" si="89"/>
        <v>75.271484958752922</v>
      </c>
      <c r="AL92" s="22">
        <f t="shared" si="58"/>
        <v>687.74592830316158</v>
      </c>
      <c r="AM92" s="62">
        <f t="shared" si="59"/>
        <v>970.47769303412133</v>
      </c>
      <c r="AN92" s="62">
        <f ca="1">AVERAGE(OFFSET($AM$3,0,0,'Données projet'!$E$10+1,1))-AVERAGE(OFFSET($H$3,0,0,'Données projet'!$E$10+1,1))</f>
        <v>518.18933270904506</v>
      </c>
      <c r="AO92" s="62">
        <f t="shared" si="90"/>
        <v>272.44431899810411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67.108663108443579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11.5</v>
      </c>
      <c r="BD92" s="13">
        <f>IF('Données projet'!$A$88&gt;35,BD91+BC92-BL91,IF(A92&lt;'Données projet'!$A$88,$BA$205^A92,IF(A92='Données projet'!$A$88,'Données projet'!$B$88,BD91+BC92-BL91)))</f>
        <v>477.49999999999966</v>
      </c>
      <c r="BE92" s="14">
        <f>BD92*VLOOKUP('Données projet'!$B$11,Paramètres!$A$1:$I$89,3,0)*VLOOKUP('Données projet'!$B$11,Paramètres!$A$1:$I$89,5,0)</f>
        <v>409.69499999999977</v>
      </c>
      <c r="BF92" s="14">
        <f t="shared" si="91"/>
        <v>93.739429782288525</v>
      </c>
      <c r="BG92" s="22">
        <f t="shared" si="61"/>
        <v>876.81496520415214</v>
      </c>
      <c r="BH92" s="62">
        <f t="shared" si="62"/>
        <v>1159.5467299351119</v>
      </c>
      <c r="BI92" s="62">
        <f ca="1">AVERAGE(OFFSET($BH$3,0,0,'Données projet'!$E$11+1,1))-AVERAGE(OFFSET($H$3,0,0,'Données projet'!$E$11+1,1))</f>
        <v>464.73160475167867</v>
      </c>
      <c r="BJ92" s="62">
        <f t="shared" si="92"/>
        <v>241.31968359962227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67.108663108443579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3.6</v>
      </c>
      <c r="BY92" s="13">
        <f>IF('Données projet'!$A$114&gt;35,BY91+BX92-CG91,IF(A92&lt;'Données projet'!$A$114,$BV$205^A92,IF(A92='Données projet'!$A$114,'Données projet'!$B$114,BY91+BX92-CG91)))</f>
        <v>277.4000000000002</v>
      </c>
      <c r="BZ92" s="14">
        <f>BY92*VLOOKUP('Données projet'!$B$12,Paramètres!$A$1:$I$89,3,0)*VLOOKUP('Données projet'!$B$12,Paramètres!$A$1:$I$89,5,0)</f>
        <v>181.75248000000013</v>
      </c>
      <c r="CA92" s="14">
        <f t="shared" si="93"/>
        <v>45.711860547424223</v>
      </c>
      <c r="CB92" s="22">
        <f t="shared" si="64"/>
        <v>396.16705978676401</v>
      </c>
      <c r="CC92" s="62">
        <f t="shared" si="65"/>
        <v>678.89882451772382</v>
      </c>
      <c r="CD92" s="62">
        <f ca="1">AVERAGE(OFFSET($CC$3,0,0,'Données projet'!$E$12+1,1))-AVERAGE(OFFSET($H$3,0,0,'Données projet'!$E$12+1,1))</f>
        <v>292.13851489852607</v>
      </c>
      <c r="CE92" s="62">
        <f t="shared" si="94"/>
        <v>280.10866188737418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67.108663108443579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-1.1368683772161603E-13</v>
      </c>
      <c r="CU92" s="18">
        <f>CT92*VLOOKUP('Données projet'!$B$13,Paramètres!$A$1:$I$89,3,0)*VLOOKUP('Données projet'!$B$13,Paramètres!$A$1:$I$89,5,0)</f>
        <v>-9.2222762759774927E-14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265.25572936607409</v>
      </c>
      <c r="CZ92" s="62">
        <f t="shared" si="96"/>
        <v>307.96244316129071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67.108663108443579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3.8461538461538454</v>
      </c>
      <c r="DO92" s="13">
        <f>IF('Données projet'!$A$166&gt;35,DO91+DN92-DW91,IF(A92&lt;'Données projet'!$A$166,$DL$205^A92,IF(A92='Données projet'!$A$166,'Données projet'!$B$166,DO91+DN92-DW91)))</f>
        <v>244.8717948717948</v>
      </c>
      <c r="DP92" s="18">
        <f>DO92*VLOOKUP('Données projet'!$B$14,Paramètres!$A$1:$I$89,3,0)*VLOOKUP('Données projet'!$B$14,Paramètres!$A$1:$I$89,5,0)</f>
        <v>233.01999999999995</v>
      </c>
      <c r="DQ92" s="14">
        <f t="shared" si="97"/>
        <v>56.935179547462297</v>
      </c>
      <c r="DR92" s="22">
        <f t="shared" si="70"/>
        <v>505.00527104516345</v>
      </c>
      <c r="DS92" s="62">
        <f t="shared" si="71"/>
        <v>787.73703577612332</v>
      </c>
      <c r="DT92" s="62">
        <f ca="1">AVERAGE(OFFSET($DS$3,0,0,'Données projet'!$E$14+1,1))-AVERAGE(OFFSET($H$3,0,0,'Données projet'!$E$14+1,1))</f>
        <v>425.41154182732936</v>
      </c>
      <c r="DU92" s="62">
        <f t="shared" si="98"/>
        <v>306.44721925744591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67.108663108443579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-5.6843418860808015E-14</v>
      </c>
      <c r="EK92" s="18">
        <f>EJ92*VLOOKUP('Données projet'!$B$15,Paramètres!$A$1:$I$89,3,0)*VLOOKUP('Données projet'!$B$15,Paramètres!$A$1:$I$89,5,0)</f>
        <v>-4.1677594708744434E-14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357.57626046668958</v>
      </c>
      <c r="EP92" s="62">
        <f t="shared" si="100"/>
        <v>386.90439522046199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67.108663108443579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1.1368683772161603E-13</v>
      </c>
      <c r="FF92" s="18">
        <f>FE92*VLOOKUP('Données projet'!$B$16,Paramètres!$A$1:$I$89,3,0)*VLOOKUP('Données projet'!$B$16,Paramètres!$A$1:$I$89,5,0)</f>
        <v>8.8675733422860506E-14</v>
      </c>
      <c r="FG92" s="14">
        <f t="shared" si="101"/>
        <v>1.3509285393066301E-12</v>
      </c>
      <c r="FH92" s="22">
        <f t="shared" si="76"/>
        <v>2.5073107750038623E-12</v>
      </c>
      <c r="FI92" s="62">
        <f t="shared" si="77"/>
        <v>282.73176473096231</v>
      </c>
      <c r="FJ92" s="62">
        <f ca="1">AVERAGE(OFFSET($FI$3,0,0,'Données projet'!$E$16+1,1))-AVERAGE(OFFSET($H$3,0,0,'Données projet'!$E$16+1,1))</f>
        <v>303.56663121833833</v>
      </c>
      <c r="FK92" s="62">
        <f t="shared" si="102"/>
        <v>293.97736357938038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67.108663108443579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-5.6843418860808015E-14</v>
      </c>
      <c r="GA92" s="18">
        <f>FZ92*VLOOKUP('Données projet'!$B$17,Paramètres!$A$1:$I$89,3,0)*VLOOKUP('Données projet'!$B$17,Paramètres!$A$1:$I$89,5,0)</f>
        <v>-4.5224624045658861E-14</v>
      </c>
      <c r="GB92" s="14" t="e">
        <f t="shared" si="103"/>
        <v>#NUM!</v>
      </c>
      <c r="GC92" s="22" t="e">
        <f t="shared" si="79"/>
        <v>#NUM!</v>
      </c>
      <c r="GD92" s="62" t="e">
        <f t="shared" si="80"/>
        <v>#NUM!</v>
      </c>
      <c r="GE92" s="62">
        <f ca="1">AVERAGE(OFFSET($GD$3,0,0,'Données projet'!$E$17+1,1))-AVERAGE(OFFSET($H$3,0,0,'Données projet'!$E$17+1,1))</f>
        <v>383.71724511025587</v>
      </c>
      <c r="GF92" s="62">
        <f t="shared" si="104"/>
        <v>415.10774719533185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67.108663108443579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3.8461538461538454</v>
      </c>
      <c r="GU92" s="13">
        <f>IF('Données projet'!$A$270&gt;35,GU91+GT92-HC91,IF(A92&lt;'Données projet'!$A$270,$GR$205^A92,IF(A92='Données projet'!$A$270,'Données projet'!$B$270,GU91+GT92-HC91)))</f>
        <v>291.66666666666674</v>
      </c>
      <c r="GV92" s="18">
        <f>GU92*VLOOKUP('Données projet'!$B$18,Paramètres!$A$1:$I$89,3,0)*VLOOKUP('Données projet'!$B$18,Paramètres!$A$1:$I$89,5,0)</f>
        <v>195.65000000000006</v>
      </c>
      <c r="GW92" s="14">
        <f t="shared" si="105"/>
        <v>48.786949327182981</v>
      </c>
      <c r="GX92" s="22">
        <f t="shared" si="82"/>
        <v>425.72768674484382</v>
      </c>
      <c r="GY92" s="62">
        <f t="shared" si="83"/>
        <v>708.45945147580369</v>
      </c>
      <c r="GZ92" s="62">
        <f ca="1">AVERAGE(OFFSET($GY$3,0,0,'Données projet'!$E$18+1,1))-AVERAGE(OFFSET($H$3,0,0,'Données projet'!$E$18+1,1))</f>
        <v>329.93956600482801</v>
      </c>
      <c r="HA92" s="62">
        <f t="shared" si="106"/>
        <v>268.69186630599165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2.7450000000000001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10.065</v>
      </c>
      <c r="H93" s="70">
        <f t="shared" si="56"/>
        <v>216.40666666666667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67.15882133945118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386</v>
      </c>
      <c r="L93" s="13">
        <f>VLOOKUP(A93,'Données projet'!$A$35:$I$55,9,0)</f>
        <v>6.6</v>
      </c>
      <c r="M93" s="13">
        <f t="array" ref="M93">INDEX(L:L,MIN(IF(ISNUMBER(L93:L289),ROW(L93:L289),"")))</f>
        <v>6.6</v>
      </c>
      <c r="N93" s="14">
        <f>IF('Données projet'!$A$36&gt;35,N92+M93-V92,IF(A93&lt;'Données projet'!$A$36,$K$205^A93,IF(A93='Données projet'!$A$36,'Données projet'!$B$36,N92+M93-V92)))</f>
        <v>386.00000000000023</v>
      </c>
      <c r="O93" s="14">
        <f>N93*VLOOKUP('Données projet'!$B$9,Paramètres!$A$1:$I$89,3,0)*VLOOKUP('Données projet'!$B$9,Paramètres!$A$1:$I$89,5,0)</f>
        <v>349.25280000000021</v>
      </c>
      <c r="P93" s="14">
        <f t="shared" si="87"/>
        <v>81.408635866358992</v>
      </c>
      <c r="Q93" s="22">
        <f t="shared" si="54"/>
        <v>750.06866746724211</v>
      </c>
      <c r="R93" s="62">
        <f t="shared" si="55"/>
        <v>1032.9843457118964</v>
      </c>
      <c r="S93" s="62">
        <f ca="1">AVERAGE(OFFSET($R$3,0,0,'Données projet'!$E$9+1,1))-AVERAGE(OFFSET($H$3,0,0,'Données projet'!$E$9+1,1))</f>
        <v>551.67307965706379</v>
      </c>
      <c r="T93" s="62">
        <f t="shared" si="88"/>
        <v>288.70738860523943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84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67.15882133945118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386</v>
      </c>
      <c r="AG93" s="13">
        <f>VLOOKUP(A93,'Données projet'!$A$61:$I$81,9,0)</f>
        <v>6.6</v>
      </c>
      <c r="AH93" s="13">
        <f t="array" ref="AH93">INDEX(AG:AG,MIN(IF(ISNUMBER(AG93:AG289),ROW(AG93:AG289),"")))</f>
        <v>6.6</v>
      </c>
      <c r="AI93" s="14">
        <f>IF('Données projet'!$A$62&gt;35,AI92+AH93-AQ92,IF(A93&lt;'Données projet'!$A$62,$AF$205^A93,IF(A93='Données projet'!$A$62,'Données projet'!$B$62,AI92+AH93-AQ92)))</f>
        <v>386.00000000000023</v>
      </c>
      <c r="AJ93" s="14">
        <f>AI93*VLOOKUP('Données projet'!$B$10,Paramètres!$A$1:$I$89,3,0)*VLOOKUP('Données projet'!$B$10,Paramètres!$A$1:$I$89,5,0)</f>
        <v>325.16640000000024</v>
      </c>
      <c r="AK93" s="14">
        <f t="shared" si="89"/>
        <v>76.427319591571546</v>
      </c>
      <c r="AL93" s="22">
        <f t="shared" si="58"/>
        <v>699.44239495532099</v>
      </c>
      <c r="AM93" s="62">
        <f t="shared" si="59"/>
        <v>982.35807319997525</v>
      </c>
      <c r="AN93" s="62">
        <f ca="1">AVERAGE(OFFSET($AM$3,0,0,'Données projet'!$E$10+1,1))-AVERAGE(OFFSET($H$3,0,0,'Données projet'!$E$10+1,1))</f>
        <v>518.18933270904506</v>
      </c>
      <c r="AO93" s="62">
        <f t="shared" si="90"/>
        <v>272.44431899810411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84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67.15882133945118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489</v>
      </c>
      <c r="BB93" s="13">
        <f>VLOOKUP(A93,'Données projet'!$A$87:$I$107,9,0)</f>
        <v>11.5</v>
      </c>
      <c r="BC93" s="13">
        <f t="array" ref="BC93">INDEX(BB:BB,MIN(IF(ISNUMBER(BB93:BB289),ROW(BB93:BB289),"")))</f>
        <v>11.5</v>
      </c>
      <c r="BD93" s="13">
        <f>IF('Données projet'!$A$88&gt;35,BD92+BC93-BL92,IF(A93&lt;'Données projet'!$A$88,$BA$205^A93,IF(A93='Données projet'!$A$88,'Données projet'!$B$88,BD92+BC93-BL92)))</f>
        <v>488.99999999999966</v>
      </c>
      <c r="BE93" s="14">
        <f>BD93*VLOOKUP('Données projet'!$B$11,Paramètres!$A$1:$I$89,3,0)*VLOOKUP('Données projet'!$B$11,Paramètres!$A$1:$I$89,5,0)</f>
        <v>419.56199999999973</v>
      </c>
      <c r="BF93" s="14">
        <f t="shared" si="91"/>
        <v>95.731472773408413</v>
      </c>
      <c r="BG93" s="22">
        <f t="shared" si="61"/>
        <v>897.46946508035228</v>
      </c>
      <c r="BH93" s="62">
        <f t="shared" si="62"/>
        <v>1180.3851433250065</v>
      </c>
      <c r="BI93" s="62">
        <f ca="1">AVERAGE(OFFSET($BH$3,0,0,'Données projet'!$E$11+1,1))-AVERAGE(OFFSET($H$3,0,0,'Données projet'!$E$11+1,1))</f>
        <v>464.73160475167867</v>
      </c>
      <c r="BJ93" s="62">
        <f t="shared" si="92"/>
        <v>241.31968359962227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67.15882133945118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281</v>
      </c>
      <c r="BW93" s="13">
        <f>VLOOKUP(A93,'Données projet'!$A$113:$I$133,9,0)</f>
        <v>3.6</v>
      </c>
      <c r="BX93" s="13">
        <f t="array" ref="BX93">INDEX(BW:BW,MIN(IF(ISNUMBER(BW93:BW289),ROW(BW93:BW289),"")))</f>
        <v>3.6</v>
      </c>
      <c r="BY93" s="13">
        <f>IF('Données projet'!$A$114&gt;35,BY92+BX93-CG92,IF(A93&lt;'Données projet'!$A$114,$BV$205^A93,IF(A93='Données projet'!$A$114,'Données projet'!$B$114,BY92+BX93-CG92)))</f>
        <v>281.00000000000023</v>
      </c>
      <c r="BZ93" s="14">
        <f>BY93*VLOOKUP('Données projet'!$B$12,Paramètres!$A$1:$I$89,3,0)*VLOOKUP('Données projet'!$B$12,Paramètres!$A$1:$I$89,5,0)</f>
        <v>184.11120000000017</v>
      </c>
      <c r="CA93" s="14">
        <f t="shared" si="93"/>
        <v>46.23564677837556</v>
      </c>
      <c r="CB93" s="22">
        <f t="shared" si="64"/>
        <v>401.18742480567101</v>
      </c>
      <c r="CC93" s="62">
        <f t="shared" si="65"/>
        <v>684.10310305032533</v>
      </c>
      <c r="CD93" s="62">
        <f ca="1">AVERAGE(OFFSET($CC$3,0,0,'Données projet'!$E$12+1,1))-AVERAGE(OFFSET($H$3,0,0,'Données projet'!$E$12+1,1))</f>
        <v>292.13851489852607</v>
      </c>
      <c r="CE93" s="62">
        <f t="shared" si="94"/>
        <v>280.10866188737418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281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67.15882133945118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-1.1368683772161603E-13</v>
      </c>
      <c r="CU93" s="18">
        <f>CT93*VLOOKUP('Données projet'!$B$13,Paramètres!$A$1:$I$89,3,0)*VLOOKUP('Données projet'!$B$13,Paramètres!$A$1:$I$89,5,0)</f>
        <v>-9.2222762759774927E-14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265.25572936607409</v>
      </c>
      <c r="CZ93" s="62">
        <f t="shared" si="96"/>
        <v>307.96244316129071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67.15882133945118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248.7179487179487</v>
      </c>
      <c r="DM93" s="13">
        <f>VLOOKUP(A93,'Données projet'!$A$165:$I$185,9,0)</f>
        <v>3.8461538461538454</v>
      </c>
      <c r="DN93" s="13">
        <f t="array" ref="DN93">INDEX(DM:DM,MIN(IF(ISNUMBER(DM93:DM289),ROW(DM93:DM289),"")))</f>
        <v>3.8461538461538454</v>
      </c>
      <c r="DO93" s="13">
        <f>IF('Données projet'!$A$166&gt;35,DO92+DN93-DW92,IF(A93&lt;'Données projet'!$A$166,$DL$205^A93,IF(A93='Données projet'!$A$166,'Données projet'!$B$166,DO92+DN93-DW92)))</f>
        <v>248.71794871794864</v>
      </c>
      <c r="DP93" s="18">
        <f>DO93*VLOOKUP('Données projet'!$B$14,Paramètres!$A$1:$I$89,3,0)*VLOOKUP('Données projet'!$B$14,Paramètres!$A$1:$I$89,5,0)</f>
        <v>236.67999999999995</v>
      </c>
      <c r="DQ93" s="14">
        <f t="shared" si="97"/>
        <v>57.724638232498961</v>
      </c>
      <c r="DR93" s="22">
        <f t="shared" si="70"/>
        <v>512.7547449216022</v>
      </c>
      <c r="DS93" s="62">
        <f t="shared" si="71"/>
        <v>795.67042316625657</v>
      </c>
      <c r="DT93" s="62">
        <f ca="1">AVERAGE(OFFSET($DS$3,0,0,'Données projet'!$E$14+1,1))-AVERAGE(OFFSET($H$3,0,0,'Données projet'!$E$14+1,1))</f>
        <v>425.41154182732936</v>
      </c>
      <c r="DU93" s="62">
        <f t="shared" si="98"/>
        <v>306.44721925744591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67.15882133945118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-5.6843418860808015E-14</v>
      </c>
      <c r="EK93" s="18">
        <f>EJ93*VLOOKUP('Données projet'!$B$15,Paramètres!$A$1:$I$89,3,0)*VLOOKUP('Données projet'!$B$15,Paramètres!$A$1:$I$89,5,0)</f>
        <v>-4.1677594708744434E-14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357.57626046668958</v>
      </c>
      <c r="EP93" s="62">
        <f t="shared" si="100"/>
        <v>386.90439522046199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67.15882133945118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1.1368683772161603E-13</v>
      </c>
      <c r="FF93" s="18">
        <f>FE93*VLOOKUP('Données projet'!$B$16,Paramètres!$A$1:$I$89,3,0)*VLOOKUP('Données projet'!$B$16,Paramètres!$A$1:$I$89,5,0)</f>
        <v>8.8675733422860506E-14</v>
      </c>
      <c r="FG93" s="14">
        <f t="shared" si="101"/>
        <v>1.3509285393066301E-12</v>
      </c>
      <c r="FH93" s="22">
        <f t="shared" si="76"/>
        <v>2.5073107750038623E-12</v>
      </c>
      <c r="FI93" s="62">
        <f t="shared" si="77"/>
        <v>282.91567824465682</v>
      </c>
      <c r="FJ93" s="62">
        <f ca="1">AVERAGE(OFFSET($FI$3,0,0,'Données projet'!$E$16+1,1))-AVERAGE(OFFSET($H$3,0,0,'Données projet'!$E$16+1,1))</f>
        <v>303.56663121833833</v>
      </c>
      <c r="FK93" s="62">
        <f t="shared" si="102"/>
        <v>293.97736357938038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67.15882133945118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-5.6843418860808015E-14</v>
      </c>
      <c r="GA93" s="18">
        <f>FZ93*VLOOKUP('Données projet'!$B$17,Paramètres!$A$1:$I$89,3,0)*VLOOKUP('Données projet'!$B$17,Paramètres!$A$1:$I$89,5,0)</f>
        <v>-4.5224624045658861E-14</v>
      </c>
      <c r="GB93" s="14" t="e">
        <f t="shared" si="103"/>
        <v>#NUM!</v>
      </c>
      <c r="GC93" s="22" t="e">
        <f t="shared" si="79"/>
        <v>#NUM!</v>
      </c>
      <c r="GD93" s="62" t="e">
        <f t="shared" si="80"/>
        <v>#NUM!</v>
      </c>
      <c r="GE93" s="62">
        <f ca="1">AVERAGE(OFFSET($GD$3,0,0,'Données projet'!$E$17+1,1))-AVERAGE(OFFSET($H$3,0,0,'Données projet'!$E$17+1,1))</f>
        <v>383.71724511025587</v>
      </c>
      <c r="GF93" s="62">
        <f t="shared" si="104"/>
        <v>415.10774719533185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67.15882133945118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295.5128205128205</v>
      </c>
      <c r="GS93" s="13">
        <f>VLOOKUP(A93,'Données projet'!$A$269:$I$289,9,0)</f>
        <v>3.8461538461538454</v>
      </c>
      <c r="GT93" s="13">
        <f t="array" ref="GT93">INDEX(GS:GS,MIN(IF(ISNUMBER(GS93:GS289),ROW(GS93:GS289),"")))</f>
        <v>3.8461538461538454</v>
      </c>
      <c r="GU93" s="13">
        <f>IF('Données projet'!$A$270&gt;35,GU92+GT93-HC92,IF(A93&lt;'Données projet'!$A$270,$GR$205^A93,IF(A93='Données projet'!$A$270,'Données projet'!$B$270,GU92+GT93-HC92)))</f>
        <v>295.51282051282061</v>
      </c>
      <c r="GV93" s="18">
        <f>GU93*VLOOKUP('Données projet'!$B$18,Paramètres!$A$1:$I$89,3,0)*VLOOKUP('Données projet'!$B$18,Paramètres!$A$1:$I$89,5,0)</f>
        <v>198.23000000000008</v>
      </c>
      <c r="GW93" s="14">
        <f t="shared" si="105"/>
        <v>49.354974276661508</v>
      </c>
      <c r="GX93" s="22">
        <f t="shared" si="82"/>
        <v>431.21049686518558</v>
      </c>
      <c r="GY93" s="62">
        <f t="shared" si="83"/>
        <v>714.12617510983989</v>
      </c>
      <c r="GZ93" s="62">
        <f ca="1">AVERAGE(OFFSET($GY$3,0,0,'Données projet'!$E$18+1,1))-AVERAGE(OFFSET($H$3,0,0,'Données projet'!$E$18+1,1))</f>
        <v>329.93956600482801</v>
      </c>
      <c r="HA93" s="62">
        <f t="shared" si="106"/>
        <v>268.69186630599165</v>
      </c>
      <c r="HB93" s="16">
        <f>IF(ISNA(VLOOKUP(A93,'Données projet'!$A$269:$I$289,3,0)),0,VLOOKUP(A93,'Données projet'!$A$269:$I$289,3,0))</f>
        <v>8</v>
      </c>
      <c r="HC93" s="16">
        <f>IF(ISNA(VLOOKUP(A93,'Données projet'!$A$269:$I$289,4,0)),0,VLOOKUP(A93,'Données projet'!$A$269:$I$289,4,0))</f>
        <v>24.358974358974358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2.7450000000000001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10.065</v>
      </c>
      <c r="H94" s="70">
        <f t="shared" si="56"/>
        <v>216.40666666666667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67.208109437287817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307.9000000000002</v>
      </c>
      <c r="O94" s="14">
        <f>N94*VLOOKUP('Données projet'!$B$9,Paramètres!$A$1:$I$89,3,0)*VLOOKUP('Données projet'!$B$9,Paramètres!$A$1:$I$89,5,0)</f>
        <v>278.58792000000017</v>
      </c>
      <c r="P94" s="14">
        <f t="shared" si="87"/>
        <v>66.668508032294284</v>
      </c>
      <c r="Q94" s="22">
        <f t="shared" si="54"/>
        <v>601.32161215624615</v>
      </c>
      <c r="R94" s="62">
        <f t="shared" si="55"/>
        <v>884.41801342630151</v>
      </c>
      <c r="S94" s="62">
        <f ca="1">AVERAGE(OFFSET($R$3,0,0,'Données projet'!$E$9+1,1))-AVERAGE(OFFSET($H$3,0,0,'Données projet'!$E$9+1,1))</f>
        <v>551.67307965706379</v>
      </c>
      <c r="T94" s="62">
        <f t="shared" si="88"/>
        <v>288.70738860523943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67.208109437287817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5.9</v>
      </c>
      <c r="AI94" s="14">
        <f>IF('Données projet'!$A$62&gt;35,AI93+AH94-AQ93,IF(A94&lt;'Données projet'!$A$62,$AF$205^A94,IF(A94='Données projet'!$A$62,'Données projet'!$B$62,AI93+AH94-AQ93)))</f>
        <v>307.9000000000002</v>
      </c>
      <c r="AJ94" s="14">
        <f>AI94*VLOOKUP('Données projet'!$B$10,Paramètres!$A$1:$I$89,3,0)*VLOOKUP('Données projet'!$B$10,Paramètres!$A$1:$I$89,5,0)</f>
        <v>259.37496000000021</v>
      </c>
      <c r="AK94" s="14">
        <f t="shared" si="89"/>
        <v>62.589126028863618</v>
      </c>
      <c r="AL94" s="22">
        <f t="shared" si="58"/>
        <v>560.75411650027115</v>
      </c>
      <c r="AM94" s="62">
        <f t="shared" si="59"/>
        <v>843.85051777032641</v>
      </c>
      <c r="AN94" s="62">
        <f ca="1">AVERAGE(OFFSET($AM$3,0,0,'Données projet'!$E$10+1,1))-AVERAGE(OFFSET($H$3,0,0,'Données projet'!$E$10+1,1))</f>
        <v>518.18933270904506</v>
      </c>
      <c r="AO94" s="62">
        <f t="shared" si="90"/>
        <v>272.44431899810411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67.208109437287817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11.333333333333334</v>
      </c>
      <c r="BD94" s="13">
        <f>IF('Données projet'!$A$88&gt;35,BD93+BC94-BL93,IF(A94&lt;'Données projet'!$A$88,$BA$205^A94,IF(A94='Données projet'!$A$88,'Données projet'!$B$88,BD93+BC94-BL93)))</f>
        <v>500.33333333333297</v>
      </c>
      <c r="BE94" s="14">
        <f>BD94*VLOOKUP('Données projet'!$B$11,Paramètres!$A$1:$I$89,3,0)*VLOOKUP('Données projet'!$B$11,Paramètres!$A$1:$I$89,5,0)</f>
        <v>429.28599999999977</v>
      </c>
      <c r="BF94" s="14">
        <f t="shared" si="91"/>
        <v>97.689316592289586</v>
      </c>
      <c r="BG94" s="22">
        <f t="shared" si="61"/>
        <v>917.81534306490391</v>
      </c>
      <c r="BH94" s="62">
        <f t="shared" si="62"/>
        <v>1200.9117443349592</v>
      </c>
      <c r="BI94" s="62">
        <f ca="1">AVERAGE(OFFSET($BH$3,0,0,'Données projet'!$E$11+1,1))-AVERAGE(OFFSET($H$3,0,0,'Données projet'!$E$11+1,1))</f>
        <v>464.73160475167867</v>
      </c>
      <c r="BJ94" s="62">
        <f t="shared" si="92"/>
        <v>241.31968359962227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67.208109437287817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2.2737367544323206E-13</v>
      </c>
      <c r="BZ94" s="14">
        <f>BY94*VLOOKUP('Données projet'!$B$12,Paramètres!$A$1:$I$89,3,0)*VLOOKUP('Données projet'!$B$12,Paramètres!$A$1:$I$89,5,0)</f>
        <v>1.4897523215040565E-13</v>
      </c>
      <c r="CA94" s="14">
        <f t="shared" si="93"/>
        <v>2.136562777003313E-12</v>
      </c>
      <c r="CB94" s="22">
        <f t="shared" si="64"/>
        <v>3.9806453659427267E-12</v>
      </c>
      <c r="CC94" s="62">
        <f t="shared" si="65"/>
        <v>283.09640127005929</v>
      </c>
      <c r="CD94" s="62">
        <f ca="1">AVERAGE(OFFSET($CC$3,0,0,'Données projet'!$E$12+1,1))-AVERAGE(OFFSET($H$3,0,0,'Données projet'!$E$12+1,1))</f>
        <v>292.13851489852607</v>
      </c>
      <c r="CE94" s="62">
        <f t="shared" si="94"/>
        <v>280.10866188737418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67.208109437287817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-1.1368683772161603E-13</v>
      </c>
      <c r="CU94" s="18">
        <f>CT94*VLOOKUP('Données projet'!$B$13,Paramètres!$A$1:$I$89,3,0)*VLOOKUP('Données projet'!$B$13,Paramètres!$A$1:$I$89,5,0)</f>
        <v>-9.2222762759774927E-14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265.25572936607409</v>
      </c>
      <c r="CZ94" s="62">
        <f t="shared" si="96"/>
        <v>307.96244316129071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67.208109437287817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3.8461538461538511</v>
      </c>
      <c r="DO94" s="13">
        <f>IF('Données projet'!$A$166&gt;35,DO93+DN94-DW93,IF(A94&lt;'Données projet'!$A$166,$DL$205^A94,IF(A94='Données projet'!$A$166,'Données projet'!$B$166,DO93+DN94-DW93)))</f>
        <v>252.56410256410248</v>
      </c>
      <c r="DP94" s="18">
        <f>DO94*VLOOKUP('Données projet'!$B$14,Paramètres!$A$1:$I$89,3,0)*VLOOKUP('Données projet'!$B$14,Paramètres!$A$1:$I$89,5,0)</f>
        <v>240.33999999999992</v>
      </c>
      <c r="DQ94" s="14">
        <f t="shared" si="97"/>
        <v>58.512677110228594</v>
      </c>
      <c r="DR94" s="22">
        <f t="shared" si="70"/>
        <v>520.50174596698128</v>
      </c>
      <c r="DS94" s="62">
        <f t="shared" si="71"/>
        <v>803.59814723703653</v>
      </c>
      <c r="DT94" s="62">
        <f ca="1">AVERAGE(OFFSET($DS$3,0,0,'Données projet'!$E$14+1,1))-AVERAGE(OFFSET($H$3,0,0,'Données projet'!$E$14+1,1))</f>
        <v>425.41154182732936</v>
      </c>
      <c r="DU94" s="62">
        <f t="shared" si="98"/>
        <v>306.44721925744591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67.208109437287817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-5.6843418860808015E-14</v>
      </c>
      <c r="EK94" s="18">
        <f>EJ94*VLOOKUP('Données projet'!$B$15,Paramètres!$A$1:$I$89,3,0)*VLOOKUP('Données projet'!$B$15,Paramètres!$A$1:$I$89,5,0)</f>
        <v>-4.1677594708744434E-14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357.57626046668958</v>
      </c>
      <c r="EP94" s="62">
        <f t="shared" si="100"/>
        <v>386.90439522046199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67.208109437287817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1.1368683772161603E-13</v>
      </c>
      <c r="FF94" s="18">
        <f>FE94*VLOOKUP('Données projet'!$B$16,Paramètres!$A$1:$I$89,3,0)*VLOOKUP('Données projet'!$B$16,Paramètres!$A$1:$I$89,5,0)</f>
        <v>8.8675733422860506E-14</v>
      </c>
      <c r="FG94" s="14">
        <f t="shared" si="101"/>
        <v>1.3509285393066301E-12</v>
      </c>
      <c r="FH94" s="22">
        <f t="shared" si="76"/>
        <v>2.5073107750038623E-12</v>
      </c>
      <c r="FI94" s="62">
        <f t="shared" si="77"/>
        <v>283.09640127005781</v>
      </c>
      <c r="FJ94" s="62">
        <f ca="1">AVERAGE(OFFSET($FI$3,0,0,'Données projet'!$E$16+1,1))-AVERAGE(OFFSET($H$3,0,0,'Données projet'!$E$16+1,1))</f>
        <v>303.56663121833833</v>
      </c>
      <c r="FK94" s="62">
        <f t="shared" si="102"/>
        <v>293.97736357938038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67.208109437287817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-5.6843418860808015E-14</v>
      </c>
      <c r="GA94" s="18">
        <f>FZ94*VLOOKUP('Données projet'!$B$17,Paramètres!$A$1:$I$89,3,0)*VLOOKUP('Données projet'!$B$17,Paramètres!$A$1:$I$89,5,0)</f>
        <v>-4.5224624045658861E-14</v>
      </c>
      <c r="GB94" s="14" t="e">
        <f t="shared" si="103"/>
        <v>#NUM!</v>
      </c>
      <c r="GC94" s="22" t="e">
        <f t="shared" si="79"/>
        <v>#NUM!</v>
      </c>
      <c r="GD94" s="62" t="e">
        <f t="shared" si="80"/>
        <v>#NUM!</v>
      </c>
      <c r="GE94" s="62">
        <f ca="1">AVERAGE(OFFSET($GD$3,0,0,'Données projet'!$E$17+1,1))-AVERAGE(OFFSET($H$3,0,0,'Données projet'!$E$17+1,1))</f>
        <v>383.71724511025587</v>
      </c>
      <c r="GF94" s="62">
        <f t="shared" si="104"/>
        <v>415.10774719533185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67.208109437287817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3.7179487179487181</v>
      </c>
      <c r="GU94" s="13">
        <f>IF('Données projet'!$A$270&gt;35,GU93+GT94-HC93,IF(A94&lt;'Données projet'!$A$270,$GR$205^A94,IF(A94='Données projet'!$A$270,'Données projet'!$B$270,GU93+GT94-HC93)))</f>
        <v>274.87179487179498</v>
      </c>
      <c r="GV94" s="18">
        <f>GU94*VLOOKUP('Données projet'!$B$18,Paramètres!$A$1:$I$89,3,0)*VLOOKUP('Données projet'!$B$18,Paramètres!$A$1:$I$89,5,0)</f>
        <v>184.38400000000007</v>
      </c>
      <c r="GW94" s="14">
        <f t="shared" si="105"/>
        <v>46.296175202781576</v>
      </c>
      <c r="GX94" s="22">
        <f t="shared" si="82"/>
        <v>401.76797181151136</v>
      </c>
      <c r="GY94" s="62">
        <f t="shared" si="83"/>
        <v>684.86437308156667</v>
      </c>
      <c r="GZ94" s="62">
        <f ca="1">AVERAGE(OFFSET($GY$3,0,0,'Données projet'!$E$18+1,1))-AVERAGE(OFFSET($H$3,0,0,'Données projet'!$E$18+1,1))</f>
        <v>329.93956600482801</v>
      </c>
      <c r="HA94" s="62">
        <f t="shared" si="106"/>
        <v>268.69186630599165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2.7450000000000001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10.065</v>
      </c>
      <c r="H95" s="70">
        <f t="shared" si="56"/>
        <v>216.40666666666667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67.256542496818639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313.80000000000018</v>
      </c>
      <c r="O95" s="14">
        <f>N95*VLOOKUP('Données projet'!$B$9,Paramètres!$A$1:$I$89,3,0)*VLOOKUP('Données projet'!$B$9,Paramètres!$A$1:$I$89,5,0)</f>
        <v>283.92624000000018</v>
      </c>
      <c r="P95" s="14">
        <f t="shared" si="87"/>
        <v>67.796062628528361</v>
      </c>
      <c r="Q95" s="22">
        <f t="shared" si="54"/>
        <v>612.58301041135394</v>
      </c>
      <c r="R95" s="62">
        <f t="shared" si="55"/>
        <v>895.85699956635563</v>
      </c>
      <c r="S95" s="62">
        <f ca="1">AVERAGE(OFFSET($R$3,0,0,'Données projet'!$E$9+1,1))-AVERAGE(OFFSET($H$3,0,0,'Données projet'!$E$9+1,1))</f>
        <v>551.67307965706379</v>
      </c>
      <c r="T95" s="62">
        <f t="shared" si="88"/>
        <v>288.70738860523943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67.256542496818639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5.9</v>
      </c>
      <c r="AI95" s="14">
        <f>IF('Données projet'!$A$62&gt;35,AI94+AH95-AQ94,IF(A95&lt;'Données projet'!$A$62,$AF$205^A95,IF(A95='Données projet'!$A$62,'Données projet'!$B$62,AI94+AH95-AQ94)))</f>
        <v>313.80000000000018</v>
      </c>
      <c r="AJ95" s="14">
        <f>AI95*VLOOKUP('Données projet'!$B$10,Paramètres!$A$1:$I$89,3,0)*VLOOKUP('Données projet'!$B$10,Paramètres!$A$1:$I$89,5,0)</f>
        <v>264.34512000000018</v>
      </c>
      <c r="AK95" s="14">
        <f t="shared" si="89"/>
        <v>63.64768664182855</v>
      </c>
      <c r="AL95" s="22">
        <f t="shared" si="58"/>
        <v>571.25413823451834</v>
      </c>
      <c r="AM95" s="62">
        <f t="shared" si="59"/>
        <v>854.52812738952002</v>
      </c>
      <c r="AN95" s="62">
        <f ca="1">AVERAGE(OFFSET($AM$3,0,0,'Données projet'!$E$10+1,1))-AVERAGE(OFFSET($H$3,0,0,'Données projet'!$E$10+1,1))</f>
        <v>518.18933270904506</v>
      </c>
      <c r="AO95" s="62">
        <f t="shared" si="90"/>
        <v>272.44431899810411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67.256542496818639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11.333333333333334</v>
      </c>
      <c r="BD95" s="13">
        <f>IF('Données projet'!$A$88&gt;35,BD94+BC95-BL94,IF(A95&lt;'Données projet'!$A$88,$BA$205^A95,IF(A95='Données projet'!$A$88,'Données projet'!$B$88,BD94+BC95-BL94)))</f>
        <v>511.66666666666629</v>
      </c>
      <c r="BE95" s="14">
        <f>BD95*VLOOKUP('Données projet'!$B$11,Paramètres!$A$1:$I$89,3,0)*VLOOKUP('Données projet'!$B$11,Paramètres!$A$1:$I$89,5,0)</f>
        <v>439.00999999999971</v>
      </c>
      <c r="BF95" s="14">
        <f t="shared" si="91"/>
        <v>99.642004610829247</v>
      </c>
      <c r="BG95" s="22">
        <f t="shared" si="61"/>
        <v>938.15224136386041</v>
      </c>
      <c r="BH95" s="62">
        <f t="shared" si="62"/>
        <v>1221.4262305188622</v>
      </c>
      <c r="BI95" s="62">
        <f ca="1">AVERAGE(OFFSET($BH$3,0,0,'Données projet'!$E$11+1,1))-AVERAGE(OFFSET($H$3,0,0,'Données projet'!$E$11+1,1))</f>
        <v>464.73160475167867</v>
      </c>
      <c r="BJ95" s="62">
        <f t="shared" si="92"/>
        <v>241.31968359962227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67.256542496818639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2.2737367544323206E-13</v>
      </c>
      <c r="BZ95" s="14">
        <f>BY95*VLOOKUP('Données projet'!$B$12,Paramètres!$A$1:$I$89,3,0)*VLOOKUP('Données projet'!$B$12,Paramètres!$A$1:$I$89,5,0)</f>
        <v>1.4897523215040565E-13</v>
      </c>
      <c r="CA95" s="14">
        <f t="shared" si="93"/>
        <v>2.136562777003313E-12</v>
      </c>
      <c r="CB95" s="22">
        <f t="shared" si="64"/>
        <v>3.9806453659427267E-12</v>
      </c>
      <c r="CC95" s="62">
        <f t="shared" si="65"/>
        <v>283.27398915500567</v>
      </c>
      <c r="CD95" s="62">
        <f ca="1">AVERAGE(OFFSET($CC$3,0,0,'Données projet'!$E$12+1,1))-AVERAGE(OFFSET($H$3,0,0,'Données projet'!$E$12+1,1))</f>
        <v>292.13851489852607</v>
      </c>
      <c r="CE95" s="62">
        <f t="shared" si="94"/>
        <v>280.10866188737418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67.256542496818639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-1.1368683772161603E-13</v>
      </c>
      <c r="CU95" s="18">
        <f>CT95*VLOOKUP('Données projet'!$B$13,Paramètres!$A$1:$I$89,3,0)*VLOOKUP('Données projet'!$B$13,Paramètres!$A$1:$I$89,5,0)</f>
        <v>-9.2222762759774927E-14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265.25572936607409</v>
      </c>
      <c r="CZ95" s="62">
        <f t="shared" si="96"/>
        <v>307.96244316129071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67.256542496818639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3.8461538461538511</v>
      </c>
      <c r="DO95" s="13">
        <f>IF('Données projet'!$A$166&gt;35,DO94+DN95-DW94,IF(A95&lt;'Données projet'!$A$166,$DL$205^A95,IF(A95='Données projet'!$A$166,'Données projet'!$B$166,DO94+DN95-DW94)))</f>
        <v>256.41025641025635</v>
      </c>
      <c r="DP95" s="18">
        <f>DO95*VLOOKUP('Données projet'!$B$14,Paramètres!$A$1:$I$89,3,0)*VLOOKUP('Données projet'!$B$14,Paramètres!$A$1:$I$89,5,0)</f>
        <v>243.99999999999997</v>
      </c>
      <c r="DQ95" s="14">
        <f t="shared" si="97"/>
        <v>59.299320299313244</v>
      </c>
      <c r="DR95" s="22">
        <f t="shared" si="70"/>
        <v>528.24631618797048</v>
      </c>
      <c r="DS95" s="62">
        <f t="shared" si="71"/>
        <v>811.52030534297216</v>
      </c>
      <c r="DT95" s="62">
        <f ca="1">AVERAGE(OFFSET($DS$3,0,0,'Données projet'!$E$14+1,1))-AVERAGE(OFFSET($H$3,0,0,'Données projet'!$E$14+1,1))</f>
        <v>425.41154182732936</v>
      </c>
      <c r="DU95" s="62">
        <f t="shared" si="98"/>
        <v>306.44721925744591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67.256542496818639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-5.6843418860808015E-14</v>
      </c>
      <c r="EK95" s="18">
        <f>EJ95*VLOOKUP('Données projet'!$B$15,Paramètres!$A$1:$I$89,3,0)*VLOOKUP('Données projet'!$B$15,Paramètres!$A$1:$I$89,5,0)</f>
        <v>-4.1677594708744434E-14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357.57626046668958</v>
      </c>
      <c r="EP95" s="62">
        <f t="shared" si="100"/>
        <v>386.90439522046199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67.256542496818639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1.1368683772161603E-13</v>
      </c>
      <c r="FF95" s="18">
        <f>FE95*VLOOKUP('Données projet'!$B$16,Paramètres!$A$1:$I$89,3,0)*VLOOKUP('Données projet'!$B$16,Paramètres!$A$1:$I$89,5,0)</f>
        <v>8.8675733422860506E-14</v>
      </c>
      <c r="FG95" s="14">
        <f t="shared" si="101"/>
        <v>1.3509285393066301E-12</v>
      </c>
      <c r="FH95" s="22">
        <f t="shared" si="76"/>
        <v>2.5073107750038623E-12</v>
      </c>
      <c r="FI95" s="62">
        <f t="shared" si="77"/>
        <v>283.27398915500419</v>
      </c>
      <c r="FJ95" s="62">
        <f ca="1">AVERAGE(OFFSET($FI$3,0,0,'Données projet'!$E$16+1,1))-AVERAGE(OFFSET($H$3,0,0,'Données projet'!$E$16+1,1))</f>
        <v>303.56663121833833</v>
      </c>
      <c r="FK95" s="62">
        <f t="shared" si="102"/>
        <v>293.97736357938038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67.256542496818639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-5.6843418860808015E-14</v>
      </c>
      <c r="GA95" s="18">
        <f>FZ95*VLOOKUP('Données projet'!$B$17,Paramètres!$A$1:$I$89,3,0)*VLOOKUP('Données projet'!$B$17,Paramètres!$A$1:$I$89,5,0)</f>
        <v>-4.5224624045658861E-14</v>
      </c>
      <c r="GB95" s="14" t="e">
        <f t="shared" si="103"/>
        <v>#NUM!</v>
      </c>
      <c r="GC95" s="22" t="e">
        <f t="shared" si="79"/>
        <v>#NUM!</v>
      </c>
      <c r="GD95" s="62" t="e">
        <f t="shared" si="80"/>
        <v>#NUM!</v>
      </c>
      <c r="GE95" s="62">
        <f ca="1">AVERAGE(OFFSET($GD$3,0,0,'Données projet'!$E$17+1,1))-AVERAGE(OFFSET($H$3,0,0,'Données projet'!$E$17+1,1))</f>
        <v>383.71724511025587</v>
      </c>
      <c r="GF95" s="62">
        <f t="shared" si="104"/>
        <v>415.10774719533185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67.256542496818639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3.7179487179487181</v>
      </c>
      <c r="GU95" s="13">
        <f>IF('Données projet'!$A$270&gt;35,GU94+GT95-HC94,IF(A95&lt;'Données projet'!$A$270,$GR$205^A95,IF(A95='Données projet'!$A$270,'Données projet'!$B$270,GU94+GT95-HC94)))</f>
        <v>278.5897435897437</v>
      </c>
      <c r="GV95" s="18">
        <f>GU95*VLOOKUP('Données projet'!$B$18,Paramètres!$A$1:$I$89,3,0)*VLOOKUP('Données projet'!$B$18,Paramètres!$A$1:$I$89,5,0)</f>
        <v>186.87800000000007</v>
      </c>
      <c r="GW95" s="14">
        <f t="shared" si="105"/>
        <v>46.849058827207365</v>
      </c>
      <c r="GX95" s="22">
        <f t="shared" si="82"/>
        <v>407.07462745738621</v>
      </c>
      <c r="GY95" s="62">
        <f t="shared" si="83"/>
        <v>690.3486166123879</v>
      </c>
      <c r="GZ95" s="62">
        <f ca="1">AVERAGE(OFFSET($GY$3,0,0,'Données projet'!$E$18+1,1))-AVERAGE(OFFSET($H$3,0,0,'Données projet'!$E$18+1,1))</f>
        <v>329.93956600482801</v>
      </c>
      <c r="HA95" s="62">
        <f t="shared" si="106"/>
        <v>268.69186630599165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2.7450000000000001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10.065</v>
      </c>
      <c r="H96" s="70">
        <f t="shared" si="56"/>
        <v>216.40666666666667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67.30413535104671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319.70000000000016</v>
      </c>
      <c r="O96" s="14">
        <f>N96*VLOOKUP('Données projet'!$B$9,Paramètres!$A$1:$I$89,3,0)*VLOOKUP('Données projet'!$B$9,Paramètres!$A$1:$I$89,5,0)</f>
        <v>289.26456000000013</v>
      </c>
      <c r="P96" s="14">
        <f t="shared" si="87"/>
        <v>68.921152085057912</v>
      </c>
      <c r="Q96" s="22">
        <f t="shared" si="54"/>
        <v>623.84011521480943</v>
      </c>
      <c r="R96" s="62">
        <f t="shared" si="55"/>
        <v>907.28861150198077</v>
      </c>
      <c r="S96" s="62">
        <f ca="1">AVERAGE(OFFSET($R$3,0,0,'Données projet'!$E$9+1,1))-AVERAGE(OFFSET($H$3,0,0,'Données projet'!$E$9+1,1))</f>
        <v>551.67307965706379</v>
      </c>
      <c r="T96" s="62">
        <f t="shared" si="88"/>
        <v>288.70738860523943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67.30413535104671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5.9</v>
      </c>
      <c r="AI96" s="14">
        <f>IF('Données projet'!$A$62&gt;35,AI95+AH96-AQ95,IF(A96&lt;'Données projet'!$A$62,$AF$205^A96,IF(A96='Données projet'!$A$62,'Données projet'!$B$62,AI95+AH96-AQ95)))</f>
        <v>319.70000000000016</v>
      </c>
      <c r="AJ96" s="14">
        <f>AI96*VLOOKUP('Données projet'!$B$10,Paramètres!$A$1:$I$89,3,0)*VLOOKUP('Données projet'!$B$10,Paramètres!$A$1:$I$89,5,0)</f>
        <v>269.31528000000014</v>
      </c>
      <c r="AK96" s="14">
        <f t="shared" si="89"/>
        <v>64.703932954620839</v>
      </c>
      <c r="AL96" s="22">
        <f t="shared" si="58"/>
        <v>581.75012922929818</v>
      </c>
      <c r="AM96" s="62">
        <f t="shared" si="59"/>
        <v>865.19862551646952</v>
      </c>
      <c r="AN96" s="62">
        <f ca="1">AVERAGE(OFFSET($AM$3,0,0,'Données projet'!$E$10+1,1))-AVERAGE(OFFSET($H$3,0,0,'Données projet'!$E$10+1,1))</f>
        <v>518.18933270904506</v>
      </c>
      <c r="AO96" s="62">
        <f t="shared" si="90"/>
        <v>272.44431899810411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67.30413535104671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11.333333333333334</v>
      </c>
      <c r="BD96" s="13">
        <f>IF('Données projet'!$A$88&gt;35,BD95+BC96-BL95,IF(A96&lt;'Données projet'!$A$88,$BA$205^A96,IF(A96='Données projet'!$A$88,'Données projet'!$B$88,BD95+BC96-BL95)))</f>
        <v>522.99999999999966</v>
      </c>
      <c r="BE96" s="14">
        <f>BD96*VLOOKUP('Données projet'!$B$11,Paramètres!$A$1:$I$89,3,0)*VLOOKUP('Données projet'!$B$11,Paramètres!$A$1:$I$89,5,0)</f>
        <v>448.73399999999981</v>
      </c>
      <c r="BF96" s="14">
        <f t="shared" si="91"/>
        <v>101.58966417888674</v>
      </c>
      <c r="BG96" s="22">
        <f t="shared" si="61"/>
        <v>958.48038177822752</v>
      </c>
      <c r="BH96" s="62">
        <f t="shared" si="62"/>
        <v>1241.9288780653987</v>
      </c>
      <c r="BI96" s="62">
        <f ca="1">AVERAGE(OFFSET($BH$3,0,0,'Données projet'!$E$11+1,1))-AVERAGE(OFFSET($H$3,0,0,'Données projet'!$E$11+1,1))</f>
        <v>464.73160475167867</v>
      </c>
      <c r="BJ96" s="62">
        <f t="shared" si="92"/>
        <v>241.31968359962227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67.30413535104671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2.2737367544323206E-13</v>
      </c>
      <c r="BZ96" s="14">
        <f>BY96*VLOOKUP('Données projet'!$B$12,Paramètres!$A$1:$I$89,3,0)*VLOOKUP('Données projet'!$B$12,Paramètres!$A$1:$I$89,5,0)</f>
        <v>1.4897523215040565E-13</v>
      </c>
      <c r="CA96" s="14">
        <f t="shared" si="93"/>
        <v>2.136562777003313E-12</v>
      </c>
      <c r="CB96" s="22">
        <f t="shared" si="64"/>
        <v>3.9806453659427267E-12</v>
      </c>
      <c r="CC96" s="62">
        <f t="shared" si="65"/>
        <v>283.44849628717526</v>
      </c>
      <c r="CD96" s="62">
        <f ca="1">AVERAGE(OFFSET($CC$3,0,0,'Données projet'!$E$12+1,1))-AVERAGE(OFFSET($H$3,0,0,'Données projet'!$E$12+1,1))</f>
        <v>292.13851489852607</v>
      </c>
      <c r="CE96" s="62">
        <f t="shared" si="94"/>
        <v>280.10866188737418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67.30413535104671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-1.1368683772161603E-13</v>
      </c>
      <c r="CU96" s="18">
        <f>CT96*VLOOKUP('Données projet'!$B$13,Paramètres!$A$1:$I$89,3,0)*VLOOKUP('Données projet'!$B$13,Paramètres!$A$1:$I$89,5,0)</f>
        <v>-9.2222762759774927E-14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265.25572936607409</v>
      </c>
      <c r="CZ96" s="62">
        <f t="shared" si="96"/>
        <v>307.96244316129071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67.30413535104671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3.8461538461538511</v>
      </c>
      <c r="DO96" s="13">
        <f>IF('Données projet'!$A$166&gt;35,DO95+DN96-DW95,IF(A96&lt;'Données projet'!$A$166,$DL$205^A96,IF(A96='Données projet'!$A$166,'Données projet'!$B$166,DO95+DN96-DW95)))</f>
        <v>260.25641025641022</v>
      </c>
      <c r="DP96" s="18">
        <f>DO96*VLOOKUP('Données projet'!$B$14,Paramètres!$A$1:$I$89,3,0)*VLOOKUP('Données projet'!$B$14,Paramètres!$A$1:$I$89,5,0)</f>
        <v>247.65999999999994</v>
      </c>
      <c r="DQ96" s="14">
        <f t="shared" si="97"/>
        <v>60.084591153326222</v>
      </c>
      <c r="DR96" s="22">
        <f t="shared" si="70"/>
        <v>535.98849625870969</v>
      </c>
      <c r="DS96" s="62">
        <f t="shared" si="71"/>
        <v>819.43699254588091</v>
      </c>
      <c r="DT96" s="62">
        <f ca="1">AVERAGE(OFFSET($DS$3,0,0,'Données projet'!$E$14+1,1))-AVERAGE(OFFSET($H$3,0,0,'Données projet'!$E$14+1,1))</f>
        <v>425.41154182732936</v>
      </c>
      <c r="DU96" s="62">
        <f t="shared" si="98"/>
        <v>306.44721925744591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67.30413535104671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-5.6843418860808015E-14</v>
      </c>
      <c r="EK96" s="18">
        <f>EJ96*VLOOKUP('Données projet'!$B$15,Paramètres!$A$1:$I$89,3,0)*VLOOKUP('Données projet'!$B$15,Paramètres!$A$1:$I$89,5,0)</f>
        <v>-4.1677594708744434E-14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357.57626046668958</v>
      </c>
      <c r="EP96" s="62">
        <f t="shared" si="100"/>
        <v>386.90439522046199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67.30413535104671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1.1368683772161603E-13</v>
      </c>
      <c r="FF96" s="18">
        <f>FE96*VLOOKUP('Données projet'!$B$16,Paramètres!$A$1:$I$89,3,0)*VLOOKUP('Données projet'!$B$16,Paramètres!$A$1:$I$89,5,0)</f>
        <v>8.8675733422860506E-14</v>
      </c>
      <c r="FG96" s="14">
        <f t="shared" si="101"/>
        <v>1.3509285393066301E-12</v>
      </c>
      <c r="FH96" s="22">
        <f t="shared" si="76"/>
        <v>2.5073107750038623E-12</v>
      </c>
      <c r="FI96" s="62">
        <f t="shared" si="77"/>
        <v>283.44849628717378</v>
      </c>
      <c r="FJ96" s="62">
        <f ca="1">AVERAGE(OFFSET($FI$3,0,0,'Données projet'!$E$16+1,1))-AVERAGE(OFFSET($H$3,0,0,'Données projet'!$E$16+1,1))</f>
        <v>303.56663121833833</v>
      </c>
      <c r="FK96" s="62">
        <f t="shared" si="102"/>
        <v>293.97736357938038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67.30413535104671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-5.6843418860808015E-14</v>
      </c>
      <c r="GA96" s="18">
        <f>FZ96*VLOOKUP('Données projet'!$B$17,Paramètres!$A$1:$I$89,3,0)*VLOOKUP('Données projet'!$B$17,Paramètres!$A$1:$I$89,5,0)</f>
        <v>-4.5224624045658861E-14</v>
      </c>
      <c r="GB96" s="14" t="e">
        <f t="shared" si="103"/>
        <v>#NUM!</v>
      </c>
      <c r="GC96" s="22" t="e">
        <f t="shared" si="79"/>
        <v>#NUM!</v>
      </c>
      <c r="GD96" s="62" t="e">
        <f t="shared" si="80"/>
        <v>#NUM!</v>
      </c>
      <c r="GE96" s="62">
        <f ca="1">AVERAGE(OFFSET($GD$3,0,0,'Données projet'!$E$17+1,1))-AVERAGE(OFFSET($H$3,0,0,'Données projet'!$E$17+1,1))</f>
        <v>383.71724511025587</v>
      </c>
      <c r="GF96" s="62">
        <f t="shared" si="104"/>
        <v>415.10774719533185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67.30413535104671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3.7179487179487181</v>
      </c>
      <c r="GU96" s="13">
        <f>IF('Données projet'!$A$270&gt;35,GU95+GT96-HC95,IF(A96&lt;'Données projet'!$A$270,$GR$205^A96,IF(A96='Données projet'!$A$270,'Données projet'!$B$270,GU95+GT96-HC95)))</f>
        <v>282.30769230769243</v>
      </c>
      <c r="GV96" s="18">
        <f>GU96*VLOOKUP('Données projet'!$B$18,Paramètres!$A$1:$I$89,3,0)*VLOOKUP('Données projet'!$B$18,Paramètres!$A$1:$I$89,5,0)</f>
        <v>189.37200000000007</v>
      </c>
      <c r="GW96" s="14">
        <f t="shared" si="105"/>
        <v>47.401084226295815</v>
      </c>
      <c r="GX96" s="22">
        <f t="shared" si="82"/>
        <v>412.37978836079861</v>
      </c>
      <c r="GY96" s="62">
        <f t="shared" si="83"/>
        <v>695.82828464796989</v>
      </c>
      <c r="GZ96" s="62">
        <f ca="1">AVERAGE(OFFSET($GY$3,0,0,'Données projet'!$E$18+1,1))-AVERAGE(OFFSET($H$3,0,0,'Données projet'!$E$18+1,1))</f>
        <v>329.93956600482801</v>
      </c>
      <c r="HA96" s="62">
        <f t="shared" si="106"/>
        <v>268.69186630599165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2.7450000000000001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10.065</v>
      </c>
      <c r="H97" s="70">
        <f t="shared" si="56"/>
        <v>216.40666666666667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67.350902575655624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325.60000000000014</v>
      </c>
      <c r="O97" s="14">
        <f>N97*VLOOKUP('Données projet'!$B$9,Paramètres!$A$1:$I$89,3,0)*VLOOKUP('Données projet'!$B$9,Paramètres!$A$1:$I$89,5,0)</f>
        <v>294.60288000000014</v>
      </c>
      <c r="P97" s="14">
        <f t="shared" si="87"/>
        <v>70.043827142305744</v>
      </c>
      <c r="Q97" s="22">
        <f t="shared" si="54"/>
        <v>635.09301493951614</v>
      </c>
      <c r="R97" s="62">
        <f t="shared" si="55"/>
        <v>918.71299105025344</v>
      </c>
      <c r="S97" s="62">
        <f ca="1">AVERAGE(OFFSET($R$3,0,0,'Données projet'!$E$9+1,1))-AVERAGE(OFFSET($H$3,0,0,'Données projet'!$E$9+1,1))</f>
        <v>551.67307965706379</v>
      </c>
      <c r="T97" s="62">
        <f t="shared" si="88"/>
        <v>288.70738860523943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67.350902575655624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5.9</v>
      </c>
      <c r="AI97" s="14">
        <f>IF('Données projet'!$A$62&gt;35,AI96+AH97-AQ96,IF(A97&lt;'Données projet'!$A$62,$AF$205^A97,IF(A97='Données projet'!$A$62,'Données projet'!$B$62,AI96+AH97-AQ96)))</f>
        <v>325.60000000000014</v>
      </c>
      <c r="AJ97" s="14">
        <f>AI97*VLOOKUP('Données projet'!$B$10,Paramètres!$A$1:$I$89,3,0)*VLOOKUP('Données projet'!$B$10,Paramètres!$A$1:$I$89,5,0)</f>
        <v>274.28544000000016</v>
      </c>
      <c r="AK97" s="14">
        <f t="shared" si="89"/>
        <v>65.757912602905577</v>
      </c>
      <c r="AL97" s="22">
        <f t="shared" si="58"/>
        <v>592.24217245006082</v>
      </c>
      <c r="AM97" s="62">
        <f t="shared" si="59"/>
        <v>875.86214856079812</v>
      </c>
      <c r="AN97" s="62">
        <f ca="1">AVERAGE(OFFSET($AM$3,0,0,'Données projet'!$E$10+1,1))-AVERAGE(OFFSET($H$3,0,0,'Données projet'!$E$10+1,1))</f>
        <v>518.18933270904506</v>
      </c>
      <c r="AO97" s="62">
        <f t="shared" si="90"/>
        <v>272.44431899810411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67.350902575655624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11.333333333333334</v>
      </c>
      <c r="BD97" s="13">
        <f>IF('Données projet'!$A$88&gt;35,BD96+BC97-BL96,IF(A97&lt;'Données projet'!$A$88,$BA$205^A97,IF(A97='Données projet'!$A$88,'Données projet'!$B$88,BD96+BC97-BL96)))</f>
        <v>534.33333333333303</v>
      </c>
      <c r="BE97" s="14">
        <f>BD97*VLOOKUP('Données projet'!$B$11,Paramètres!$A$1:$I$89,3,0)*VLOOKUP('Données projet'!$B$11,Paramètres!$A$1:$I$89,5,0)</f>
        <v>458.4579999999998</v>
      </c>
      <c r="BF97" s="14">
        <f t="shared" si="91"/>
        <v>103.53241681177968</v>
      </c>
      <c r="BG97" s="22">
        <f t="shared" si="61"/>
        <v>978.79997594718259</v>
      </c>
      <c r="BH97" s="62">
        <f t="shared" si="62"/>
        <v>1262.41995205792</v>
      </c>
      <c r="BI97" s="62">
        <f ca="1">AVERAGE(OFFSET($BH$3,0,0,'Données projet'!$E$11+1,1))-AVERAGE(OFFSET($H$3,0,0,'Données projet'!$E$11+1,1))</f>
        <v>464.73160475167867</v>
      </c>
      <c r="BJ97" s="62">
        <f t="shared" si="92"/>
        <v>241.31968359962227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67.350902575655624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2.2737367544323206E-13</v>
      </c>
      <c r="BZ97" s="14">
        <f>BY97*VLOOKUP('Données projet'!$B$12,Paramètres!$A$1:$I$89,3,0)*VLOOKUP('Données projet'!$B$12,Paramètres!$A$1:$I$89,5,0)</f>
        <v>1.4897523215040565E-13</v>
      </c>
      <c r="CA97" s="14">
        <f t="shared" si="93"/>
        <v>2.136562777003313E-12</v>
      </c>
      <c r="CB97" s="22">
        <f t="shared" si="64"/>
        <v>3.9806453659427267E-12</v>
      </c>
      <c r="CC97" s="62">
        <f t="shared" si="65"/>
        <v>283.61997611074128</v>
      </c>
      <c r="CD97" s="62">
        <f ca="1">AVERAGE(OFFSET($CC$3,0,0,'Données projet'!$E$12+1,1))-AVERAGE(OFFSET($H$3,0,0,'Données projet'!$E$12+1,1))</f>
        <v>292.13851489852607</v>
      </c>
      <c r="CE97" s="62">
        <f t="shared" si="94"/>
        <v>280.10866188737418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67.350902575655624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-1.1368683772161603E-13</v>
      </c>
      <c r="CU97" s="18">
        <f>CT97*VLOOKUP('Données projet'!$B$13,Paramètres!$A$1:$I$89,3,0)*VLOOKUP('Données projet'!$B$13,Paramètres!$A$1:$I$89,5,0)</f>
        <v>-9.2222762759774927E-14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265.25572936607409</v>
      </c>
      <c r="CZ97" s="62">
        <f t="shared" si="96"/>
        <v>307.96244316129071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67.350902575655624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3.8461538461538511</v>
      </c>
      <c r="DO97" s="13">
        <f>IF('Données projet'!$A$166&gt;35,DO96+DN97-DW96,IF(A97&lt;'Données projet'!$A$166,$DL$205^A97,IF(A97='Données projet'!$A$166,'Données projet'!$B$166,DO96+DN97-DW96)))</f>
        <v>264.10256410256409</v>
      </c>
      <c r="DP97" s="18">
        <f>DO97*VLOOKUP('Données projet'!$B$14,Paramètres!$A$1:$I$89,3,0)*VLOOKUP('Données projet'!$B$14,Paramètres!$A$1:$I$89,5,0)</f>
        <v>251.32</v>
      </c>
      <c r="DQ97" s="14">
        <f t="shared" si="97"/>
        <v>60.868512295963441</v>
      </c>
      <c r="DR97" s="22">
        <f t="shared" si="70"/>
        <v>543.72832558213634</v>
      </c>
      <c r="DS97" s="62">
        <f t="shared" si="71"/>
        <v>827.34830169287363</v>
      </c>
      <c r="DT97" s="62">
        <f ca="1">AVERAGE(OFFSET($DS$3,0,0,'Données projet'!$E$14+1,1))-AVERAGE(OFFSET($H$3,0,0,'Données projet'!$E$14+1,1))</f>
        <v>425.41154182732936</v>
      </c>
      <c r="DU97" s="62">
        <f t="shared" si="98"/>
        <v>306.44721925744591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67.350902575655624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-5.6843418860808015E-14</v>
      </c>
      <c r="EK97" s="18">
        <f>EJ97*VLOOKUP('Données projet'!$B$15,Paramètres!$A$1:$I$89,3,0)*VLOOKUP('Données projet'!$B$15,Paramètres!$A$1:$I$89,5,0)</f>
        <v>-4.1677594708744434E-14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357.57626046668958</v>
      </c>
      <c r="EP97" s="62">
        <f t="shared" si="100"/>
        <v>386.90439522046199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67.350902575655624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1.1368683772161603E-13</v>
      </c>
      <c r="FF97" s="18">
        <f>FE97*VLOOKUP('Données projet'!$B$16,Paramètres!$A$1:$I$89,3,0)*VLOOKUP('Données projet'!$B$16,Paramètres!$A$1:$I$89,5,0)</f>
        <v>8.8675733422860506E-14</v>
      </c>
      <c r="FG97" s="14">
        <f t="shared" si="101"/>
        <v>1.3509285393066301E-12</v>
      </c>
      <c r="FH97" s="22">
        <f t="shared" si="76"/>
        <v>2.5073107750038623E-12</v>
      </c>
      <c r="FI97" s="62">
        <f t="shared" si="77"/>
        <v>283.6199761107398</v>
      </c>
      <c r="FJ97" s="62">
        <f ca="1">AVERAGE(OFFSET($FI$3,0,0,'Données projet'!$E$16+1,1))-AVERAGE(OFFSET($H$3,0,0,'Données projet'!$E$16+1,1))</f>
        <v>303.56663121833833</v>
      </c>
      <c r="FK97" s="62">
        <f t="shared" si="102"/>
        <v>293.97736357938038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67.350902575655624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-5.6843418860808015E-14</v>
      </c>
      <c r="GA97" s="18">
        <f>FZ97*VLOOKUP('Données projet'!$B$17,Paramètres!$A$1:$I$89,3,0)*VLOOKUP('Données projet'!$B$17,Paramètres!$A$1:$I$89,5,0)</f>
        <v>-4.5224624045658861E-14</v>
      </c>
      <c r="GB97" s="14" t="e">
        <f t="shared" si="103"/>
        <v>#NUM!</v>
      </c>
      <c r="GC97" s="22" t="e">
        <f t="shared" si="79"/>
        <v>#NUM!</v>
      </c>
      <c r="GD97" s="62" t="e">
        <f t="shared" si="80"/>
        <v>#NUM!</v>
      </c>
      <c r="GE97" s="62">
        <f ca="1">AVERAGE(OFFSET($GD$3,0,0,'Données projet'!$E$17+1,1))-AVERAGE(OFFSET($H$3,0,0,'Données projet'!$E$17+1,1))</f>
        <v>383.71724511025587</v>
      </c>
      <c r="GF97" s="62">
        <f t="shared" si="104"/>
        <v>415.10774719533185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67.350902575655624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3.7179487179487181</v>
      </c>
      <c r="GU97" s="13">
        <f>IF('Données projet'!$A$270&gt;35,GU96+GT97-HC96,IF(A97&lt;'Données projet'!$A$270,$GR$205^A97,IF(A97='Données projet'!$A$270,'Données projet'!$B$270,GU96+GT97-HC96)))</f>
        <v>286.02564102564116</v>
      </c>
      <c r="GV97" s="18">
        <f>GU97*VLOOKUP('Données projet'!$B$18,Paramètres!$A$1:$I$89,3,0)*VLOOKUP('Données projet'!$B$18,Paramètres!$A$1:$I$89,5,0)</f>
        <v>191.8660000000001</v>
      </c>
      <c r="GW97" s="14">
        <f t="shared" si="105"/>
        <v>47.952264009442366</v>
      </c>
      <c r="GX97" s="22">
        <f t="shared" si="82"/>
        <v>417.6834764831122</v>
      </c>
      <c r="GY97" s="62">
        <f t="shared" si="83"/>
        <v>701.30345259384944</v>
      </c>
      <c r="GZ97" s="62">
        <f ca="1">AVERAGE(OFFSET($GY$3,0,0,'Données projet'!$E$18+1,1))-AVERAGE(OFFSET($H$3,0,0,'Données projet'!$E$18+1,1))</f>
        <v>329.93956600482801</v>
      </c>
      <c r="HA97" s="62">
        <f t="shared" si="106"/>
        <v>268.69186630599165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2.7450000000000001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10.065</v>
      </c>
      <c r="H98" s="70">
        <f t="shared" si="56"/>
        <v>216.40666666666667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67.396858493473417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331.50000000000011</v>
      </c>
      <c r="O98" s="14">
        <f>N98*VLOOKUP('Données projet'!$B$9,Paramètres!$A$1:$I$89,3,0)*VLOOKUP('Données projet'!$B$9,Paramètres!$A$1:$I$89,5,0)</f>
        <v>299.94120000000009</v>
      </c>
      <c r="P98" s="14">
        <f t="shared" si="87"/>
        <v>71.164136596531577</v>
      </c>
      <c r="Q98" s="22">
        <f t="shared" si="54"/>
        <v>646.34179457229266</v>
      </c>
      <c r="R98" s="62">
        <f t="shared" si="55"/>
        <v>930.13027571502857</v>
      </c>
      <c r="S98" s="62">
        <f ca="1">AVERAGE(OFFSET($R$3,0,0,'Données projet'!$E$9+1,1))-AVERAGE(OFFSET($H$3,0,0,'Données projet'!$E$9+1,1))</f>
        <v>551.67307965706379</v>
      </c>
      <c r="T98" s="62">
        <f t="shared" si="88"/>
        <v>288.70738860523943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67.396858493473417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5.9</v>
      </c>
      <c r="AI98" s="14">
        <f>IF('Données projet'!$A$62&gt;35,AI97+AH98-AQ97,IF(A98&lt;'Données projet'!$A$62,$AF$205^A98,IF(A98='Données projet'!$A$62,'Données projet'!$B$62,AI97+AH98-AQ97)))</f>
        <v>331.50000000000011</v>
      </c>
      <c r="AJ98" s="14">
        <f>AI98*VLOOKUP('Données projet'!$B$10,Paramètres!$A$1:$I$89,3,0)*VLOOKUP('Données projet'!$B$10,Paramètres!$A$1:$I$89,5,0)</f>
        <v>279.25560000000013</v>
      </c>
      <c r="AK98" s="14">
        <f t="shared" si="89"/>
        <v>66.809671397146161</v>
      </c>
      <c r="AL98" s="22">
        <f t="shared" si="58"/>
        <v>602.73034768336299</v>
      </c>
      <c r="AM98" s="62">
        <f t="shared" si="59"/>
        <v>886.5188288260988</v>
      </c>
      <c r="AN98" s="62">
        <f ca="1">AVERAGE(OFFSET($AM$3,0,0,'Données projet'!$E$10+1,1))-AVERAGE(OFFSET($H$3,0,0,'Données projet'!$E$10+1,1))</f>
        <v>518.18933270904506</v>
      </c>
      <c r="AO98" s="62">
        <f t="shared" si="90"/>
        <v>272.44431899810411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67.396858493473417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11.333333333333334</v>
      </c>
      <c r="BD98" s="13">
        <f>IF('Données projet'!$A$88&gt;35,BD97+BC98-BL97,IF(A98&lt;'Données projet'!$A$88,$BA$205^A98,IF(A98='Données projet'!$A$88,'Données projet'!$B$88,BD97+BC98-BL97)))</f>
        <v>545.6666666666664</v>
      </c>
      <c r="BE98" s="14">
        <f>BD98*VLOOKUP('Données projet'!$B$11,Paramètres!$A$1:$I$89,3,0)*VLOOKUP('Données projet'!$B$11,Paramètres!$A$1:$I$89,5,0)</f>
        <v>468.18199999999985</v>
      </c>
      <c r="BF98" s="14">
        <f t="shared" si="91"/>
        <v>105.47037857558523</v>
      </c>
      <c r="BG98" s="22">
        <f t="shared" si="61"/>
        <v>999.11122601914394</v>
      </c>
      <c r="BH98" s="62">
        <f t="shared" si="62"/>
        <v>1282.8997071618799</v>
      </c>
      <c r="BI98" s="62">
        <f ca="1">AVERAGE(OFFSET($BH$3,0,0,'Données projet'!$E$11+1,1))-AVERAGE(OFFSET($H$3,0,0,'Données projet'!$E$11+1,1))</f>
        <v>464.73160475167867</v>
      </c>
      <c r="BJ98" s="62">
        <f t="shared" si="92"/>
        <v>241.31968359962227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67.396858493473417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2.2737367544323206E-13</v>
      </c>
      <c r="BZ98" s="14">
        <f>BY98*VLOOKUP('Données projet'!$B$12,Paramètres!$A$1:$I$89,3,0)*VLOOKUP('Données projet'!$B$12,Paramètres!$A$1:$I$89,5,0)</f>
        <v>1.4897523215040565E-13</v>
      </c>
      <c r="CA98" s="14">
        <f t="shared" si="93"/>
        <v>2.136562777003313E-12</v>
      </c>
      <c r="CB98" s="22">
        <f t="shared" si="64"/>
        <v>3.9806453659427267E-12</v>
      </c>
      <c r="CC98" s="62">
        <f t="shared" si="65"/>
        <v>283.78848114273984</v>
      </c>
      <c r="CD98" s="62">
        <f ca="1">AVERAGE(OFFSET($CC$3,0,0,'Données projet'!$E$12+1,1))-AVERAGE(OFFSET($H$3,0,0,'Données projet'!$E$12+1,1))</f>
        <v>292.13851489852607</v>
      </c>
      <c r="CE98" s="62">
        <f t="shared" si="94"/>
        <v>280.10866188737418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67.396858493473417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-1.1368683772161603E-13</v>
      </c>
      <c r="CU98" s="18">
        <f>CT98*VLOOKUP('Données projet'!$B$13,Paramètres!$A$1:$I$89,3,0)*VLOOKUP('Données projet'!$B$13,Paramètres!$A$1:$I$89,5,0)</f>
        <v>-9.2222762759774927E-14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265.25572936607409</v>
      </c>
      <c r="CZ98" s="62">
        <f t="shared" si="96"/>
        <v>307.96244316129071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67.396858493473417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267.94871794871796</v>
      </c>
      <c r="DM98" s="13">
        <f>VLOOKUP(A98,'Données projet'!$A$165:$I$185,9,0)</f>
        <v>3.8461538461538511</v>
      </c>
      <c r="DN98" s="13">
        <f t="array" ref="DN98">INDEX(DM:DM,MIN(IF(ISNUMBER(DM98:DM294),ROW(DM98:DM294),"")))</f>
        <v>3.8461538461538511</v>
      </c>
      <c r="DO98" s="13">
        <f>IF('Données projet'!$A$166&gt;35,DO97+DN98-DW97,IF(A98&lt;'Données projet'!$A$166,$DL$205^A98,IF(A98='Données projet'!$A$166,'Données projet'!$B$166,DO97+DN98-DW97)))</f>
        <v>267.94871794871796</v>
      </c>
      <c r="DP98" s="18">
        <f>DO98*VLOOKUP('Données projet'!$B$14,Paramètres!$A$1:$I$89,3,0)*VLOOKUP('Données projet'!$B$14,Paramètres!$A$1:$I$89,5,0)</f>
        <v>254.98000000000002</v>
      </c>
      <c r="DQ98" s="14">
        <f t="shared" si="97"/>
        <v>61.651105654144821</v>
      </c>
      <c r="DR98" s="22">
        <f t="shared" si="70"/>
        <v>551.46584234763566</v>
      </c>
      <c r="DS98" s="62">
        <f t="shared" si="71"/>
        <v>835.25432349037146</v>
      </c>
      <c r="DT98" s="62">
        <f ca="1">AVERAGE(OFFSET($DS$3,0,0,'Données projet'!$E$14+1,1))-AVERAGE(OFFSET($H$3,0,0,'Données projet'!$E$14+1,1))</f>
        <v>425.41154182732936</v>
      </c>
      <c r="DU98" s="62">
        <f t="shared" si="98"/>
        <v>306.44721925744591</v>
      </c>
      <c r="DV98" s="16">
        <f>IF(ISNA(VLOOKUP(A98,'Données projet'!$A$165:$I$185,3,0)),0,VLOOKUP(A98,'Données projet'!$A$165:$I$185,3,0))</f>
        <v>8</v>
      </c>
      <c r="DW98" s="16">
        <f>IF(ISNA(VLOOKUP(A98,'Données projet'!$A$165:$I$185,4,0)),0,VLOOKUP(A98,'Données projet'!$A$165:$I$185,4,0))</f>
        <v>27.564102564102562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67.396858493473417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-5.6843418860808015E-14</v>
      </c>
      <c r="EK98" s="18">
        <f>EJ98*VLOOKUP('Données projet'!$B$15,Paramètres!$A$1:$I$89,3,0)*VLOOKUP('Données projet'!$B$15,Paramètres!$A$1:$I$89,5,0)</f>
        <v>-4.1677594708744434E-14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357.57626046668958</v>
      </c>
      <c r="EP98" s="62">
        <f t="shared" si="100"/>
        <v>386.90439522046199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67.396858493473417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1.1368683772161603E-13</v>
      </c>
      <c r="FF98" s="18">
        <f>FE98*VLOOKUP('Données projet'!$B$16,Paramètres!$A$1:$I$89,3,0)*VLOOKUP('Données projet'!$B$16,Paramètres!$A$1:$I$89,5,0)</f>
        <v>8.8675733422860506E-14</v>
      </c>
      <c r="FG98" s="14">
        <f t="shared" si="101"/>
        <v>1.3509285393066301E-12</v>
      </c>
      <c r="FH98" s="22">
        <f t="shared" si="76"/>
        <v>2.5073107750038623E-12</v>
      </c>
      <c r="FI98" s="62">
        <f t="shared" si="77"/>
        <v>283.78848114273836</v>
      </c>
      <c r="FJ98" s="62">
        <f ca="1">AVERAGE(OFFSET($FI$3,0,0,'Données projet'!$E$16+1,1))-AVERAGE(OFFSET($H$3,0,0,'Données projet'!$E$16+1,1))</f>
        <v>303.56663121833833</v>
      </c>
      <c r="FK98" s="62">
        <f t="shared" si="102"/>
        <v>293.97736357938038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67.396858493473417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-5.6843418860808015E-14</v>
      </c>
      <c r="GA98" s="18">
        <f>FZ98*VLOOKUP('Données projet'!$B$17,Paramètres!$A$1:$I$89,3,0)*VLOOKUP('Données projet'!$B$17,Paramètres!$A$1:$I$89,5,0)</f>
        <v>-4.5224624045658861E-14</v>
      </c>
      <c r="GB98" s="14" t="e">
        <f t="shared" si="103"/>
        <v>#NUM!</v>
      </c>
      <c r="GC98" s="22" t="e">
        <f t="shared" si="79"/>
        <v>#NUM!</v>
      </c>
      <c r="GD98" s="62" t="e">
        <f t="shared" si="80"/>
        <v>#NUM!</v>
      </c>
      <c r="GE98" s="62">
        <f ca="1">AVERAGE(OFFSET($GD$3,0,0,'Données projet'!$E$17+1,1))-AVERAGE(OFFSET($H$3,0,0,'Données projet'!$E$17+1,1))</f>
        <v>383.71724511025587</v>
      </c>
      <c r="GF98" s="62">
        <f t="shared" si="104"/>
        <v>415.10774719533185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67.396858493473417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>
        <f>VLOOKUP(A98,'Données projet'!$A$269:$I$289,2,0)</f>
        <v>289.74358974358972</v>
      </c>
      <c r="GS98" s="13">
        <f>VLOOKUP(A98,'Données projet'!$A$269:$I$289,9,0)</f>
        <v>3.7179487179487181</v>
      </c>
      <c r="GT98" s="13">
        <f t="array" ref="GT98">INDEX(GS:GS,MIN(IF(ISNUMBER(GS98:GS294),ROW(GS98:GS294),"")))</f>
        <v>3.7179487179487181</v>
      </c>
      <c r="GU98" s="13">
        <f>IF('Données projet'!$A$270&gt;35,GU97+GT98-HC97,IF(A98&lt;'Données projet'!$A$270,$GR$205^A98,IF(A98='Données projet'!$A$270,'Données projet'!$B$270,GU97+GT98-HC97)))</f>
        <v>289.74358974358989</v>
      </c>
      <c r="GV98" s="18">
        <f>GU98*VLOOKUP('Données projet'!$B$18,Paramètres!$A$1:$I$89,3,0)*VLOOKUP('Données projet'!$B$18,Paramètres!$A$1:$I$89,5,0)</f>
        <v>194.3600000000001</v>
      </c>
      <c r="GW98" s="14">
        <f t="shared" si="105"/>
        <v>48.502610439386679</v>
      </c>
      <c r="GX98" s="22">
        <f t="shared" si="82"/>
        <v>422.98571318193194</v>
      </c>
      <c r="GY98" s="62">
        <f t="shared" si="83"/>
        <v>706.77419432466786</v>
      </c>
      <c r="GZ98" s="62">
        <f ca="1">AVERAGE(OFFSET($GY$3,0,0,'Données projet'!$E$18+1,1))-AVERAGE(OFFSET($H$3,0,0,'Données projet'!$E$18+1,1))</f>
        <v>329.93956600482801</v>
      </c>
      <c r="HA98" s="62">
        <f t="shared" si="106"/>
        <v>268.69186630599165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2.7450000000000001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10.065</v>
      </c>
      <c r="H99" s="70">
        <f t="shared" si="56"/>
        <v>216.40666666666667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67.442017178859103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</v>
      </c>
      <c r="N99" s="14">
        <f>IF('Données projet'!$A$36&gt;35,N98+M99-V98,IF(A99&lt;'Données projet'!$A$36,$K$205^A99,IF(A99='Données projet'!$A$36,'Données projet'!$B$36,N98+M99-V98)))</f>
        <v>337.40000000000009</v>
      </c>
      <c r="O99" s="14">
        <f>N99*VLOOKUP('Données projet'!$B$9,Paramètres!$A$1:$I$89,3,0)*VLOOKUP('Données projet'!$B$9,Paramètres!$A$1:$I$89,5,0)</f>
        <v>305.27952000000005</v>
      </c>
      <c r="P99" s="14">
        <f t="shared" si="87"/>
        <v>72.282127407576866</v>
      </c>
      <c r="Q99" s="22">
        <f t="shared" ref="Q99:Q130" si="107">(O99+P99)*0.475*44/12</f>
        <v>657.58653590152971</v>
      </c>
      <c r="R99" s="62">
        <f t="shared" si="55"/>
        <v>941.5405988906798</v>
      </c>
      <c r="S99" s="62">
        <f ca="1">AVERAGE(OFFSET($R$3,0,0,'Données projet'!$E$9+1,1))-AVERAGE(OFFSET($H$3,0,0,'Données projet'!$E$9+1,1))</f>
        <v>551.67307965706379</v>
      </c>
      <c r="T99" s="62">
        <f t="shared" si="88"/>
        <v>288.70738860523943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67.442017178859103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5.9</v>
      </c>
      <c r="AI99" s="14">
        <f>IF('Données projet'!$A$62&gt;35,AI98+AH99-AQ98,IF(A99&lt;'Données projet'!$A$62,$AF$205^A99,IF(A99='Données projet'!$A$62,'Données projet'!$B$62,AI98+AH99-AQ98)))</f>
        <v>337.40000000000009</v>
      </c>
      <c r="AJ99" s="14">
        <f>AI99*VLOOKUP('Données projet'!$B$10,Paramètres!$A$1:$I$89,3,0)*VLOOKUP('Données projet'!$B$10,Paramètres!$A$1:$I$89,5,0)</f>
        <v>284.22576000000009</v>
      </c>
      <c r="AK99" s="14">
        <f t="shared" si="89"/>
        <v>67.859253423756542</v>
      </c>
      <c r="AL99" s="22">
        <f t="shared" si="58"/>
        <v>613.21473171304285</v>
      </c>
      <c r="AM99" s="62">
        <f t="shared" si="59"/>
        <v>897.16879470219283</v>
      </c>
      <c r="AN99" s="62">
        <f ca="1">AVERAGE(OFFSET($AM$3,0,0,'Données projet'!$E$10+1,1))-AVERAGE(OFFSET($H$3,0,0,'Données projet'!$E$10+1,1))</f>
        <v>518.18933270904506</v>
      </c>
      <c r="AO99" s="62">
        <f t="shared" si="90"/>
        <v>272.44431899810411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67.442017178859103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>
        <f>VLOOKUP(A99,'Données projet'!$A$87:$I$107,2,0)</f>
        <v>557</v>
      </c>
      <c r="BB99" s="13">
        <f>VLOOKUP(A99,'Données projet'!$A$87:$I$107,9,0)</f>
        <v>11.333333333333334</v>
      </c>
      <c r="BC99" s="13">
        <f t="array" ref="BC99">INDEX(BB:BB,MIN(IF(ISNUMBER(BB99:BB295),ROW(BB99:BB295),"")))</f>
        <v>11.333333333333334</v>
      </c>
      <c r="BD99" s="13">
        <f>IF('Données projet'!$A$88&gt;35,BD98+BC99-BL98,IF(A99&lt;'Données projet'!$A$88,$BA$205^A99,IF(A99='Données projet'!$A$88,'Données projet'!$B$88,BD98+BC99-BL98)))</f>
        <v>556.99999999999977</v>
      </c>
      <c r="BE99" s="14">
        <f>BD99*VLOOKUP('Données projet'!$B$11,Paramètres!$A$1:$I$89,3,0)*VLOOKUP('Données projet'!$B$11,Paramètres!$A$1:$I$89,5,0)</f>
        <v>477.90599999999989</v>
      </c>
      <c r="BF99" s="14">
        <f t="shared" si="91"/>
        <v>107.4036604395269</v>
      </c>
      <c r="BG99" s="22">
        <f t="shared" si="61"/>
        <v>1019.4143252655093</v>
      </c>
      <c r="BH99" s="62">
        <f t="shared" si="62"/>
        <v>1303.3683882546593</v>
      </c>
      <c r="BI99" s="62">
        <f ca="1">AVERAGE(OFFSET($BH$3,0,0,'Données projet'!$E$11+1,1))-AVERAGE(OFFSET($H$3,0,0,'Données projet'!$E$11+1,1))</f>
        <v>464.73160475167867</v>
      </c>
      <c r="BJ99" s="62">
        <f t="shared" si="92"/>
        <v>241.31968359962227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67.442017178859103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2.2737367544323206E-13</v>
      </c>
      <c r="BZ99" s="14">
        <f>BY99*VLOOKUP('Données projet'!$B$12,Paramètres!$A$1:$I$89,3,0)*VLOOKUP('Données projet'!$B$12,Paramètres!$A$1:$I$89,5,0)</f>
        <v>1.4897523215040565E-13</v>
      </c>
      <c r="CA99" s="14">
        <f t="shared" si="93"/>
        <v>2.136562777003313E-12</v>
      </c>
      <c r="CB99" s="22">
        <f t="shared" si="64"/>
        <v>3.9806453659427267E-12</v>
      </c>
      <c r="CC99" s="62">
        <f t="shared" si="65"/>
        <v>283.95406298915401</v>
      </c>
      <c r="CD99" s="62">
        <f ca="1">AVERAGE(OFFSET($CC$3,0,0,'Données projet'!$E$12+1,1))-AVERAGE(OFFSET($H$3,0,0,'Données projet'!$E$12+1,1))</f>
        <v>292.13851489852607</v>
      </c>
      <c r="CE99" s="62">
        <f t="shared" si="94"/>
        <v>280.10866188737418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67.442017178859103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-1.1368683772161603E-13</v>
      </c>
      <c r="CU99" s="18">
        <f>CT99*VLOOKUP('Données projet'!$B$13,Paramètres!$A$1:$I$89,3,0)*VLOOKUP('Données projet'!$B$13,Paramètres!$A$1:$I$89,5,0)</f>
        <v>-9.2222762759774927E-14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265.25572936607409</v>
      </c>
      <c r="CZ99" s="62">
        <f t="shared" si="96"/>
        <v>307.96244316129071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67.442017178859103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3.5897435897435854</v>
      </c>
      <c r="DO99" s="13">
        <f>IF('Données projet'!$A$166&gt;35,DO98+DN99-DW98,IF(A99&lt;'Données projet'!$A$166,$DL$205^A99,IF(A99='Données projet'!$A$166,'Données projet'!$B$166,DO98+DN99-DW98)))</f>
        <v>243.97435897435898</v>
      </c>
      <c r="DP99" s="18">
        <f>DO99*VLOOKUP('Données projet'!$B$14,Paramètres!$A$1:$I$89,3,0)*VLOOKUP('Données projet'!$B$14,Paramètres!$A$1:$I$89,5,0)</f>
        <v>232.166</v>
      </c>
      <c r="DQ99" s="14">
        <f t="shared" si="97"/>
        <v>56.750765573960223</v>
      </c>
      <c r="DR99" s="22">
        <f t="shared" si="70"/>
        <v>503.19670004131399</v>
      </c>
      <c r="DS99" s="62">
        <f t="shared" si="71"/>
        <v>787.15076303046408</v>
      </c>
      <c r="DT99" s="62">
        <f ca="1">AVERAGE(OFFSET($DS$3,0,0,'Données projet'!$E$14+1,1))-AVERAGE(OFFSET($H$3,0,0,'Données projet'!$E$14+1,1))</f>
        <v>425.41154182732936</v>
      </c>
      <c r="DU99" s="62">
        <f t="shared" si="98"/>
        <v>306.44721925744591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67.442017178859103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-5.6843418860808015E-14</v>
      </c>
      <c r="EK99" s="18">
        <f>EJ99*VLOOKUP('Données projet'!$B$15,Paramètres!$A$1:$I$89,3,0)*VLOOKUP('Données projet'!$B$15,Paramètres!$A$1:$I$89,5,0)</f>
        <v>-4.1677594708744434E-14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357.57626046668958</v>
      </c>
      <c r="EP99" s="62">
        <f t="shared" si="100"/>
        <v>386.90439522046199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67.442017178859103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1.1368683772161603E-13</v>
      </c>
      <c r="FF99" s="18">
        <f>FE99*VLOOKUP('Données projet'!$B$16,Paramètres!$A$1:$I$89,3,0)*VLOOKUP('Données projet'!$B$16,Paramètres!$A$1:$I$89,5,0)</f>
        <v>8.8675733422860506E-14</v>
      </c>
      <c r="FG99" s="14">
        <f t="shared" si="101"/>
        <v>1.3509285393066301E-12</v>
      </c>
      <c r="FH99" s="22">
        <f t="shared" si="76"/>
        <v>2.5073107750038623E-12</v>
      </c>
      <c r="FI99" s="62">
        <f t="shared" si="77"/>
        <v>283.95406298915253</v>
      </c>
      <c r="FJ99" s="62">
        <f ca="1">AVERAGE(OFFSET($FI$3,0,0,'Données projet'!$E$16+1,1))-AVERAGE(OFFSET($H$3,0,0,'Données projet'!$E$16+1,1))</f>
        <v>303.56663121833833</v>
      </c>
      <c r="FK99" s="62">
        <f t="shared" si="102"/>
        <v>293.97736357938038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67.442017178859103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-5.6843418860808015E-14</v>
      </c>
      <c r="GA99" s="18">
        <f>FZ99*VLOOKUP('Données projet'!$B$17,Paramètres!$A$1:$I$89,3,0)*VLOOKUP('Données projet'!$B$17,Paramètres!$A$1:$I$89,5,0)</f>
        <v>-4.5224624045658861E-14</v>
      </c>
      <c r="GB99" s="14" t="e">
        <f t="shared" si="103"/>
        <v>#NUM!</v>
      </c>
      <c r="GC99" s="22" t="e">
        <f t="shared" si="79"/>
        <v>#NUM!</v>
      </c>
      <c r="GD99" s="62" t="e">
        <f t="shared" si="80"/>
        <v>#NUM!</v>
      </c>
      <c r="GE99" s="62">
        <f ca="1">AVERAGE(OFFSET($GD$3,0,0,'Données projet'!$E$17+1,1))-AVERAGE(OFFSET($H$3,0,0,'Données projet'!$E$17+1,1))</f>
        <v>383.71724511025587</v>
      </c>
      <c r="GF99" s="62">
        <f t="shared" si="104"/>
        <v>415.10774719533185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67.442017178859103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3.5897435897435912</v>
      </c>
      <c r="GU99" s="13">
        <f>IF('Données projet'!$A$270&gt;35,GU98+GT99-HC98,IF(A99&lt;'Données projet'!$A$270,$GR$205^A99,IF(A99='Données projet'!$A$270,'Données projet'!$B$270,GU98+GT99-HC98)))</f>
        <v>293.33333333333348</v>
      </c>
      <c r="GV99" s="18">
        <f>GU99*VLOOKUP('Données projet'!$B$18,Paramètres!$A$1:$I$89,3,0)*VLOOKUP('Données projet'!$B$18,Paramètres!$A$1:$I$89,5,0)</f>
        <v>196.76800000000011</v>
      </c>
      <c r="GW99" s="14">
        <f t="shared" si="105"/>
        <v>49.033199854505597</v>
      </c>
      <c r="GX99" s="22">
        <f t="shared" si="82"/>
        <v>428.10375641326408</v>
      </c>
      <c r="GY99" s="62">
        <f t="shared" si="83"/>
        <v>712.05781940241411</v>
      </c>
      <c r="GZ99" s="62">
        <f ca="1">AVERAGE(OFFSET($GY$3,0,0,'Données projet'!$E$18+1,1))-AVERAGE(OFFSET($H$3,0,0,'Données projet'!$E$18+1,1))</f>
        <v>329.93956600482801</v>
      </c>
      <c r="HA99" s="62">
        <f t="shared" si="106"/>
        <v>268.69186630599165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2.7450000000000001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10.065</v>
      </c>
      <c r="H100" s="70">
        <f t="shared" si="56"/>
        <v>216.40666666666667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67.486392462013043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</v>
      </c>
      <c r="N100" s="14">
        <f>IF('Données projet'!$A$36&gt;35,N99+M100-V99,IF(A100&lt;'Données projet'!$A$36,$K$205^A100,IF(A100='Données projet'!$A$36,'Données projet'!$B$36,N99+M100-V99)))</f>
        <v>343.30000000000007</v>
      </c>
      <c r="O100" s="14">
        <f>N100*VLOOKUP('Données projet'!$B$9,Paramètres!$A$1:$I$89,3,0)*VLOOKUP('Données projet'!$B$9,Paramètres!$A$1:$I$89,5,0)</f>
        <v>310.61784000000006</v>
      </c>
      <c r="P100" s="14">
        <f t="shared" si="87"/>
        <v>73.397844798859666</v>
      </c>
      <c r="Q100" s="22">
        <f t="shared" si="107"/>
        <v>668.82731769134739</v>
      </c>
      <c r="R100" s="62">
        <f t="shared" si="55"/>
        <v>952.94409005206194</v>
      </c>
      <c r="S100" s="62">
        <f ca="1">AVERAGE(OFFSET($R$3,0,0,'Données projet'!$E$9+1,1))-AVERAGE(OFFSET($H$3,0,0,'Données projet'!$E$9+1,1))</f>
        <v>551.67307965706379</v>
      </c>
      <c r="T100" s="62">
        <f t="shared" si="88"/>
        <v>288.70738860523943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67.486392462013043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5.9</v>
      </c>
      <c r="AI100" s="14">
        <f>IF('Données projet'!$A$62&gt;35,AI99+AH100-AQ99,IF(A100&lt;'Données projet'!$A$62,$AF$205^A100,IF(A100='Données projet'!$A$62,'Données projet'!$B$62,AI99+AH100-AQ99)))</f>
        <v>343.30000000000007</v>
      </c>
      <c r="AJ100" s="14">
        <f>AI100*VLOOKUP('Données projet'!$B$10,Paramètres!$A$1:$I$89,3,0)*VLOOKUP('Données projet'!$B$10,Paramètres!$A$1:$I$89,5,0)</f>
        <v>289.19592000000011</v>
      </c>
      <c r="AK100" s="14">
        <f t="shared" si="89"/>
        <v>68.906701138977212</v>
      </c>
      <c r="AL100" s="22">
        <f t="shared" si="58"/>
        <v>623.6953984837188</v>
      </c>
      <c r="AM100" s="62">
        <f t="shared" si="59"/>
        <v>907.81217084443324</v>
      </c>
      <c r="AN100" s="62">
        <f ca="1">AVERAGE(OFFSET($AM$3,0,0,'Données projet'!$E$10+1,1))-AVERAGE(OFFSET($H$3,0,0,'Données projet'!$E$10+1,1))</f>
        <v>518.18933270904506</v>
      </c>
      <c r="AO100" s="62">
        <f t="shared" si="90"/>
        <v>272.44431899810411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67.486392462013043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11.333333333333334</v>
      </c>
      <c r="BD100" s="13">
        <f>IF('Données projet'!$A$88&gt;35,BD99+BC100-BL99,IF(A100&lt;'Données projet'!$A$88,$BA$205^A100,IF(A100='Données projet'!$A$88,'Données projet'!$B$88,BD99+BC100-BL99)))</f>
        <v>568.33333333333314</v>
      </c>
      <c r="BE100" s="14">
        <f>BD100*VLOOKUP('Données projet'!$B$11,Paramètres!$A$1:$I$89,3,0)*VLOOKUP('Données projet'!$B$11,Paramètres!$A$1:$I$89,5,0)</f>
        <v>487.62999999999988</v>
      </c>
      <c r="BF100" s="14">
        <f t="shared" si="91"/>
        <v>109.33236859887117</v>
      </c>
      <c r="BG100" s="22">
        <f t="shared" si="61"/>
        <v>1039.7094586430337</v>
      </c>
      <c r="BH100" s="62">
        <f t="shared" si="62"/>
        <v>1323.8262310037483</v>
      </c>
      <c r="BI100" s="62">
        <f ca="1">AVERAGE(OFFSET($BH$3,0,0,'Données projet'!$E$11+1,1))-AVERAGE(OFFSET($H$3,0,0,'Données projet'!$E$11+1,1))</f>
        <v>464.73160475167867</v>
      </c>
      <c r="BJ100" s="62">
        <f t="shared" si="92"/>
        <v>241.31968359962227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67.486392462013043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2.2737367544323206E-13</v>
      </c>
      <c r="BZ100" s="14">
        <f>BY100*VLOOKUP('Données projet'!$B$12,Paramètres!$A$1:$I$89,3,0)*VLOOKUP('Données projet'!$B$12,Paramètres!$A$1:$I$89,5,0)</f>
        <v>1.4897523215040565E-13</v>
      </c>
      <c r="CA100" s="14">
        <f t="shared" si="93"/>
        <v>2.136562777003313E-12</v>
      </c>
      <c r="CB100" s="22">
        <f t="shared" si="64"/>
        <v>3.9806453659427267E-12</v>
      </c>
      <c r="CC100" s="62">
        <f t="shared" si="65"/>
        <v>284.11677236071847</v>
      </c>
      <c r="CD100" s="62">
        <f ca="1">AVERAGE(OFFSET($CC$3,0,0,'Données projet'!$E$12+1,1))-AVERAGE(OFFSET($H$3,0,0,'Données projet'!$E$12+1,1))</f>
        <v>292.13851489852607</v>
      </c>
      <c r="CE100" s="62">
        <f t="shared" si="94"/>
        <v>280.10866188737418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67.486392462013043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-1.1368683772161603E-13</v>
      </c>
      <c r="CU100" s="18">
        <f>CT100*VLOOKUP('Données projet'!$B$13,Paramètres!$A$1:$I$89,3,0)*VLOOKUP('Données projet'!$B$13,Paramètres!$A$1:$I$89,5,0)</f>
        <v>-9.2222762759774927E-14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265.25572936607409</v>
      </c>
      <c r="CZ100" s="62">
        <f t="shared" si="96"/>
        <v>307.96244316129071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67.486392462013043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3.5897435897435854</v>
      </c>
      <c r="DO100" s="13">
        <f>IF('Données projet'!$A$166&gt;35,DO99+DN100-DW99,IF(A100&lt;'Données projet'!$A$166,$DL$205^A100,IF(A100='Données projet'!$A$166,'Données projet'!$B$166,DO99+DN100-DW99)))</f>
        <v>247.56410256410257</v>
      </c>
      <c r="DP100" s="18">
        <f>DO100*VLOOKUP('Données projet'!$B$14,Paramètres!$A$1:$I$89,3,0)*VLOOKUP('Données projet'!$B$14,Paramètres!$A$1:$I$89,5,0)</f>
        <v>235.58199999999999</v>
      </c>
      <c r="DQ100" s="14">
        <f t="shared" si="97"/>
        <v>57.487950824806624</v>
      </c>
      <c r="DR100" s="22">
        <f t="shared" si="70"/>
        <v>510.4301643532047</v>
      </c>
      <c r="DS100" s="62">
        <f t="shared" si="71"/>
        <v>794.54693671391919</v>
      </c>
      <c r="DT100" s="62">
        <f ca="1">AVERAGE(OFFSET($DS$3,0,0,'Données projet'!$E$14+1,1))-AVERAGE(OFFSET($H$3,0,0,'Données projet'!$E$14+1,1))</f>
        <v>425.41154182732936</v>
      </c>
      <c r="DU100" s="62">
        <f t="shared" si="98"/>
        <v>306.44721925744591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67.486392462013043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-5.6843418860808015E-14</v>
      </c>
      <c r="EK100" s="18">
        <f>EJ100*VLOOKUP('Données projet'!$B$15,Paramètres!$A$1:$I$89,3,0)*VLOOKUP('Données projet'!$B$15,Paramètres!$A$1:$I$89,5,0)</f>
        <v>-4.1677594708744434E-14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357.57626046668958</v>
      </c>
      <c r="EP100" s="62">
        <f t="shared" si="100"/>
        <v>386.90439522046199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67.486392462013043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1.1368683772161603E-13</v>
      </c>
      <c r="FF100" s="18">
        <f>FE100*VLOOKUP('Données projet'!$B$16,Paramètres!$A$1:$I$89,3,0)*VLOOKUP('Données projet'!$B$16,Paramètres!$A$1:$I$89,5,0)</f>
        <v>8.8675733422860506E-14</v>
      </c>
      <c r="FG100" s="14">
        <f t="shared" si="101"/>
        <v>1.3509285393066301E-12</v>
      </c>
      <c r="FH100" s="22">
        <f t="shared" si="76"/>
        <v>2.5073107750038623E-12</v>
      </c>
      <c r="FI100" s="62">
        <f t="shared" si="77"/>
        <v>284.11677236071699</v>
      </c>
      <c r="FJ100" s="62">
        <f ca="1">AVERAGE(OFFSET($FI$3,0,0,'Données projet'!$E$16+1,1))-AVERAGE(OFFSET($H$3,0,0,'Données projet'!$E$16+1,1))</f>
        <v>303.56663121833833</v>
      </c>
      <c r="FK100" s="62">
        <f t="shared" si="102"/>
        <v>293.97736357938038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67.486392462013043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-5.6843418860808015E-14</v>
      </c>
      <c r="GA100" s="18">
        <f>FZ100*VLOOKUP('Données projet'!$B$17,Paramètres!$A$1:$I$89,3,0)*VLOOKUP('Données projet'!$B$17,Paramètres!$A$1:$I$89,5,0)</f>
        <v>-4.5224624045658861E-14</v>
      </c>
      <c r="GB100" s="14" t="e">
        <f t="shared" si="103"/>
        <v>#NUM!</v>
      </c>
      <c r="GC100" s="22" t="e">
        <f t="shared" si="79"/>
        <v>#NUM!</v>
      </c>
      <c r="GD100" s="62" t="e">
        <f t="shared" si="80"/>
        <v>#NUM!</v>
      </c>
      <c r="GE100" s="62">
        <f ca="1">AVERAGE(OFFSET($GD$3,0,0,'Données projet'!$E$17+1,1))-AVERAGE(OFFSET($H$3,0,0,'Données projet'!$E$17+1,1))</f>
        <v>383.71724511025587</v>
      </c>
      <c r="GF100" s="62">
        <f t="shared" si="104"/>
        <v>415.10774719533185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67.486392462013043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3.5897435897435912</v>
      </c>
      <c r="GU100" s="13">
        <f>IF('Données projet'!$A$270&gt;35,GU99+GT100-HC99,IF(A100&lt;'Données projet'!$A$270,$GR$205^A100,IF(A100='Données projet'!$A$270,'Données projet'!$B$270,GU99+GT100-HC99)))</f>
        <v>296.92307692307708</v>
      </c>
      <c r="GV100" s="18">
        <f>GU100*VLOOKUP('Données projet'!$B$18,Paramètres!$A$1:$I$89,3,0)*VLOOKUP('Données projet'!$B$18,Paramètres!$A$1:$I$89,5,0)</f>
        <v>199.1760000000001</v>
      </c>
      <c r="GW100" s="14">
        <f t="shared" si="105"/>
        <v>49.563033976114944</v>
      </c>
      <c r="GX100" s="22">
        <f t="shared" si="82"/>
        <v>433.22048417506704</v>
      </c>
      <c r="GY100" s="62">
        <f t="shared" si="83"/>
        <v>717.33725653578153</v>
      </c>
      <c r="GZ100" s="62">
        <f ca="1">AVERAGE(OFFSET($GY$3,0,0,'Données projet'!$E$18+1,1))-AVERAGE(OFFSET($H$3,0,0,'Données projet'!$E$18+1,1))</f>
        <v>329.93956600482801</v>
      </c>
      <c r="HA100" s="62">
        <f t="shared" si="106"/>
        <v>268.69186630599165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2.7450000000000001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10.065</v>
      </c>
      <c r="H101" s="70">
        <f t="shared" si="56"/>
        <v>216.40666666666667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67.529997933212542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</v>
      </c>
      <c r="N101" s="14">
        <f>IF('Données projet'!$A$36&gt;35,N100+M101-V100,IF(A101&lt;'Données projet'!$A$36,$K$205^A101,IF(A101='Données projet'!$A$36,'Données projet'!$B$36,N100+M101-V100)))</f>
        <v>349.20000000000005</v>
      </c>
      <c r="O101" s="14">
        <f>N101*VLOOKUP('Données projet'!$B$9,Paramètres!$A$1:$I$89,3,0)*VLOOKUP('Données projet'!$B$9,Paramètres!$A$1:$I$89,5,0)</f>
        <v>315.95616000000001</v>
      </c>
      <c r="P101" s="14">
        <f t="shared" si="87"/>
        <v>74.511332350301046</v>
      </c>
      <c r="Q101" s="22">
        <f t="shared" si="107"/>
        <v>680.06421584344105</v>
      </c>
      <c r="R101" s="62">
        <f t="shared" si="55"/>
        <v>964.34087493188702</v>
      </c>
      <c r="S101" s="62">
        <f ca="1">AVERAGE(OFFSET($R$3,0,0,'Données projet'!$E$9+1,1))-AVERAGE(OFFSET($H$3,0,0,'Données projet'!$E$9+1,1))</f>
        <v>551.67307965706379</v>
      </c>
      <c r="T101" s="62">
        <f t="shared" si="88"/>
        <v>288.70738860523943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67.529997933212542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5.9</v>
      </c>
      <c r="AI101" s="14">
        <f>IF('Données projet'!$A$62&gt;35,AI100+AH101-AQ100,IF(A101&lt;'Données projet'!$A$62,$AF$205^A101,IF(A101='Données projet'!$A$62,'Données projet'!$B$62,AI100+AH101-AQ100)))</f>
        <v>349.20000000000005</v>
      </c>
      <c r="AJ101" s="14">
        <f>AI101*VLOOKUP('Données projet'!$B$10,Paramètres!$A$1:$I$89,3,0)*VLOOKUP('Données projet'!$B$10,Paramètres!$A$1:$I$89,5,0)</f>
        <v>294.16608000000008</v>
      </c>
      <c r="AK101" s="14">
        <f t="shared" si="89"/>
        <v>69.952055456115559</v>
      </c>
      <c r="AL101" s="22">
        <f t="shared" si="58"/>
        <v>634.1724192527347</v>
      </c>
      <c r="AM101" s="62">
        <f t="shared" si="59"/>
        <v>918.44907834118067</v>
      </c>
      <c r="AN101" s="62">
        <f ca="1">AVERAGE(OFFSET($AM$3,0,0,'Données projet'!$E$10+1,1))-AVERAGE(OFFSET($H$3,0,0,'Données projet'!$E$10+1,1))</f>
        <v>518.18933270904506</v>
      </c>
      <c r="AO101" s="62">
        <f t="shared" si="90"/>
        <v>272.44431899810411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67.529997933212542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11.333333333333334</v>
      </c>
      <c r="BD101" s="13">
        <f>IF('Données projet'!$A$88&gt;35,BD100+BC101-BL100,IF(A101&lt;'Données projet'!$A$88,$BA$205^A101,IF(A101='Données projet'!$A$88,'Données projet'!$B$88,BD100+BC101-BL100)))</f>
        <v>579.66666666666652</v>
      </c>
      <c r="BE101" s="14">
        <f>BD101*VLOOKUP('Données projet'!$B$11,Paramètres!$A$1:$I$89,3,0)*VLOOKUP('Données projet'!$B$11,Paramètres!$A$1:$I$89,5,0)</f>
        <v>497.35399999999993</v>
      </c>
      <c r="BF101" s="14">
        <f t="shared" si="91"/>
        <v>111.25660477134088</v>
      </c>
      <c r="BG101" s="22">
        <f t="shared" si="61"/>
        <v>1059.9968033100852</v>
      </c>
      <c r="BH101" s="62">
        <f t="shared" si="62"/>
        <v>1344.2734623985311</v>
      </c>
      <c r="BI101" s="62">
        <f ca="1">AVERAGE(OFFSET($BH$3,0,0,'Données projet'!$E$11+1,1))-AVERAGE(OFFSET($H$3,0,0,'Données projet'!$E$11+1,1))</f>
        <v>464.73160475167867</v>
      </c>
      <c r="BJ101" s="62">
        <f t="shared" si="92"/>
        <v>241.31968359962227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67.529997933212542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2.2737367544323206E-13</v>
      </c>
      <c r="BZ101" s="14">
        <f>BY101*VLOOKUP('Données projet'!$B$12,Paramètres!$A$1:$I$89,3,0)*VLOOKUP('Données projet'!$B$12,Paramètres!$A$1:$I$89,5,0)</f>
        <v>1.4897523215040565E-13</v>
      </c>
      <c r="CA101" s="14">
        <f t="shared" si="93"/>
        <v>2.136562777003313E-12</v>
      </c>
      <c r="CB101" s="22">
        <f t="shared" si="64"/>
        <v>3.9806453659427267E-12</v>
      </c>
      <c r="CC101" s="62">
        <f t="shared" si="65"/>
        <v>284.27665908844995</v>
      </c>
      <c r="CD101" s="62">
        <f ca="1">AVERAGE(OFFSET($CC$3,0,0,'Données projet'!$E$12+1,1))-AVERAGE(OFFSET($H$3,0,0,'Données projet'!$E$12+1,1))</f>
        <v>292.13851489852607</v>
      </c>
      <c r="CE101" s="62">
        <f t="shared" si="94"/>
        <v>280.10866188737418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67.529997933212542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-1.1368683772161603E-13</v>
      </c>
      <c r="CU101" s="18">
        <f>CT101*VLOOKUP('Données projet'!$B$13,Paramètres!$A$1:$I$89,3,0)*VLOOKUP('Données projet'!$B$13,Paramètres!$A$1:$I$89,5,0)</f>
        <v>-9.2222762759774927E-14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265.25572936607409</v>
      </c>
      <c r="CZ101" s="62">
        <f t="shared" si="96"/>
        <v>307.96244316129071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67.529997933212542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3.5897435897435854</v>
      </c>
      <c r="DO101" s="13">
        <f>IF('Données projet'!$A$166&gt;35,DO100+DN101-DW100,IF(A101&lt;'Données projet'!$A$166,$DL$205^A101,IF(A101='Données projet'!$A$166,'Données projet'!$B$166,DO100+DN101-DW100)))</f>
        <v>251.15384615384616</v>
      </c>
      <c r="DP101" s="18">
        <f>DO101*VLOOKUP('Données projet'!$B$14,Paramètres!$A$1:$I$89,3,0)*VLOOKUP('Données projet'!$B$14,Paramètres!$A$1:$I$89,5,0)</f>
        <v>238.99799999999999</v>
      </c>
      <c r="DQ101" s="14">
        <f t="shared" si="97"/>
        <v>58.223892835547517</v>
      </c>
      <c r="DR101" s="22">
        <f t="shared" si="70"/>
        <v>517.66146335524525</v>
      </c>
      <c r="DS101" s="62">
        <f t="shared" si="71"/>
        <v>801.93812244369121</v>
      </c>
      <c r="DT101" s="62">
        <f ca="1">AVERAGE(OFFSET($DS$3,0,0,'Données projet'!$E$14+1,1))-AVERAGE(OFFSET($H$3,0,0,'Données projet'!$E$14+1,1))</f>
        <v>425.41154182732936</v>
      </c>
      <c r="DU101" s="62">
        <f t="shared" si="98"/>
        <v>306.44721925744591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67.529997933212542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-5.6843418860808015E-14</v>
      </c>
      <c r="EK101" s="18">
        <f>EJ101*VLOOKUP('Données projet'!$B$15,Paramètres!$A$1:$I$89,3,0)*VLOOKUP('Données projet'!$B$15,Paramètres!$A$1:$I$89,5,0)</f>
        <v>-4.1677594708744434E-14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357.57626046668958</v>
      </c>
      <c r="EP101" s="62">
        <f t="shared" si="100"/>
        <v>386.90439522046199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67.529997933212542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1.1368683772161603E-13</v>
      </c>
      <c r="FF101" s="18">
        <f>FE101*VLOOKUP('Données projet'!$B$16,Paramètres!$A$1:$I$89,3,0)*VLOOKUP('Données projet'!$B$16,Paramètres!$A$1:$I$89,5,0)</f>
        <v>8.8675733422860506E-14</v>
      </c>
      <c r="FG101" s="14">
        <f t="shared" si="101"/>
        <v>1.3509285393066301E-12</v>
      </c>
      <c r="FH101" s="22">
        <f t="shared" si="76"/>
        <v>2.5073107750038623E-12</v>
      </c>
      <c r="FI101" s="62">
        <f t="shared" si="77"/>
        <v>284.27665908844847</v>
      </c>
      <c r="FJ101" s="62">
        <f ca="1">AVERAGE(OFFSET($FI$3,0,0,'Données projet'!$E$16+1,1))-AVERAGE(OFFSET($H$3,0,0,'Données projet'!$E$16+1,1))</f>
        <v>303.56663121833833</v>
      </c>
      <c r="FK101" s="62">
        <f t="shared" si="102"/>
        <v>293.97736357938038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67.529997933212542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-5.6843418860808015E-14</v>
      </c>
      <c r="GA101" s="18">
        <f>FZ101*VLOOKUP('Données projet'!$B$17,Paramètres!$A$1:$I$89,3,0)*VLOOKUP('Données projet'!$B$17,Paramètres!$A$1:$I$89,5,0)</f>
        <v>-4.5224624045658861E-14</v>
      </c>
      <c r="GB101" s="14" t="e">
        <f t="shared" si="103"/>
        <v>#NUM!</v>
      </c>
      <c r="GC101" s="22" t="e">
        <f t="shared" si="79"/>
        <v>#NUM!</v>
      </c>
      <c r="GD101" s="62" t="e">
        <f t="shared" si="80"/>
        <v>#NUM!</v>
      </c>
      <c r="GE101" s="62">
        <f ca="1">AVERAGE(OFFSET($GD$3,0,0,'Données projet'!$E$17+1,1))-AVERAGE(OFFSET($H$3,0,0,'Données projet'!$E$17+1,1))</f>
        <v>383.71724511025587</v>
      </c>
      <c r="GF101" s="62">
        <f t="shared" si="104"/>
        <v>415.10774719533185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67.529997933212542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3.5897435897435912</v>
      </c>
      <c r="GU101" s="13">
        <f>IF('Données projet'!$A$270&gt;35,GU100+GT101-HC100,IF(A101&lt;'Données projet'!$A$270,$GR$205^A101,IF(A101='Données projet'!$A$270,'Données projet'!$B$270,GU100+GT101-HC100)))</f>
        <v>300.51282051282067</v>
      </c>
      <c r="GV101" s="18">
        <f>GU101*VLOOKUP('Données projet'!$B$18,Paramètres!$A$1:$I$89,3,0)*VLOOKUP('Données projet'!$B$18,Paramètres!$A$1:$I$89,5,0)</f>
        <v>201.58400000000009</v>
      </c>
      <c r="GW101" s="14">
        <f t="shared" si="105"/>
        <v>50.092122991789054</v>
      </c>
      <c r="GX101" s="22">
        <f t="shared" si="82"/>
        <v>438.33591421069946</v>
      </c>
      <c r="GY101" s="62">
        <f t="shared" si="83"/>
        <v>722.61257329914542</v>
      </c>
      <c r="GZ101" s="62">
        <f ca="1">AVERAGE(OFFSET($GY$3,0,0,'Données projet'!$E$18+1,1))-AVERAGE(OFFSET($H$3,0,0,'Données projet'!$E$18+1,1))</f>
        <v>329.93956600482801</v>
      </c>
      <c r="HA101" s="62">
        <f t="shared" si="106"/>
        <v>268.69186630599165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2.7450000000000001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10.065</v>
      </c>
      <c r="H102" s="70">
        <f t="shared" si="56"/>
        <v>216.40666666666667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67.572846946973954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</v>
      </c>
      <c r="N102" s="14">
        <f>IF('Données projet'!$A$36&gt;35,N101+M102-V101,IF(A102&lt;'Données projet'!$A$36,$K$205^A102,IF(A102='Données projet'!$A$36,'Données projet'!$B$36,N101+M102-V101)))</f>
        <v>355.1</v>
      </c>
      <c r="O102" s="14">
        <f>N102*VLOOKUP('Données projet'!$B$9,Paramètres!$A$1:$I$89,3,0)*VLOOKUP('Données projet'!$B$9,Paramètres!$A$1:$I$89,5,0)</f>
        <v>321.29448000000002</v>
      </c>
      <c r="P102" s="14">
        <f t="shared" si="87"/>
        <v>75.622632084792471</v>
      </c>
      <c r="Q102" s="22">
        <f t="shared" si="107"/>
        <v>691.29730354768026</v>
      </c>
      <c r="R102" s="62">
        <f t="shared" si="55"/>
        <v>975.73107568658475</v>
      </c>
      <c r="S102" s="62">
        <f ca="1">AVERAGE(OFFSET($R$3,0,0,'Données projet'!$E$9+1,1))-AVERAGE(OFFSET($H$3,0,0,'Données projet'!$E$9+1,1))</f>
        <v>551.67307965706379</v>
      </c>
      <c r="T102" s="62">
        <f t="shared" si="88"/>
        <v>288.70738860523943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67.572846946973954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5.9</v>
      </c>
      <c r="AI102" s="14">
        <f>IF('Données projet'!$A$62&gt;35,AI101+AH102-AQ101,IF(A102&lt;'Données projet'!$A$62,$AF$205^A102,IF(A102='Données projet'!$A$62,'Données projet'!$B$62,AI101+AH102-AQ101)))</f>
        <v>355.1</v>
      </c>
      <c r="AJ102" s="14">
        <f>AI102*VLOOKUP('Données projet'!$B$10,Paramètres!$A$1:$I$89,3,0)*VLOOKUP('Données projet'!$B$10,Paramètres!$A$1:$I$89,5,0)</f>
        <v>299.13624000000004</v>
      </c>
      <c r="AK102" s="14">
        <f t="shared" si="89"/>
        <v>70.995355826722886</v>
      </c>
      <c r="AL102" s="22">
        <f t="shared" si="58"/>
        <v>644.64586273154237</v>
      </c>
      <c r="AM102" s="62">
        <f t="shared" si="59"/>
        <v>929.07963487044685</v>
      </c>
      <c r="AN102" s="62">
        <f ca="1">AVERAGE(OFFSET($AM$3,0,0,'Données projet'!$E$10+1,1))-AVERAGE(OFFSET($H$3,0,0,'Données projet'!$E$10+1,1))</f>
        <v>518.18933270904506</v>
      </c>
      <c r="AO102" s="62">
        <f t="shared" si="90"/>
        <v>272.44431899810411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67.572846946973954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>
        <f>VLOOKUP(A102,'Données projet'!$A$87:$I$107,2,0)</f>
        <v>591</v>
      </c>
      <c r="BB102" s="13">
        <f>VLOOKUP(A102,'Données projet'!$A$87:$I$107,9,0)</f>
        <v>11.333333333333334</v>
      </c>
      <c r="BC102" s="13">
        <f t="array" ref="BC102">INDEX(BB:BB,MIN(IF(ISNUMBER(BB102:BB298),ROW(BB102:BB298),"")))</f>
        <v>11.333333333333334</v>
      </c>
      <c r="BD102" s="13">
        <f>IF('Données projet'!$A$88&gt;35,BD101+BC102-BL101,IF(A102&lt;'Données projet'!$A$88,$BA$205^A102,IF(A102='Données projet'!$A$88,'Données projet'!$B$88,BD101+BC102-BL101)))</f>
        <v>590.99999999999989</v>
      </c>
      <c r="BE102" s="14">
        <f>BD102*VLOOKUP('Données projet'!$B$11,Paramètres!$A$1:$I$89,3,0)*VLOOKUP('Données projet'!$B$11,Paramètres!$A$1:$I$89,5,0)</f>
        <v>507.07799999999997</v>
      </c>
      <c r="BF102" s="14">
        <f t="shared" si="91"/>
        <v>113.17646646969149</v>
      </c>
      <c r="BG102" s="22">
        <f t="shared" si="61"/>
        <v>1080.2765291013793</v>
      </c>
      <c r="BH102" s="62">
        <f t="shared" si="62"/>
        <v>1364.7103012402838</v>
      </c>
      <c r="BI102" s="62">
        <f ca="1">AVERAGE(OFFSET($BH$3,0,0,'Données projet'!$E$11+1,1))-AVERAGE(OFFSET($H$3,0,0,'Données projet'!$E$11+1,1))</f>
        <v>464.73160475167867</v>
      </c>
      <c r="BJ102" s="62">
        <f t="shared" si="92"/>
        <v>241.31968359962227</v>
      </c>
      <c r="BK102" s="16">
        <f>IF(ISNA(VLOOKUP(A102,'Données projet'!$A$87:$I$107,3,0)),0,VLOOKUP(A102,'Données projet'!$A$87:$I$107,3,0))</f>
        <v>10</v>
      </c>
      <c r="BL102" s="16">
        <f>IF(ISNA(VLOOKUP(A102,'Données projet'!$A$87:$I$107,4,0)),0,VLOOKUP(A102,'Données projet'!$A$87:$I$107,4,0))</f>
        <v>591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67.572846946973954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2.2737367544323206E-13</v>
      </c>
      <c r="BZ102" s="14">
        <f>BY102*VLOOKUP('Données projet'!$B$12,Paramètres!$A$1:$I$89,3,0)*VLOOKUP('Données projet'!$B$12,Paramètres!$A$1:$I$89,5,0)</f>
        <v>1.4897523215040565E-13</v>
      </c>
      <c r="CA102" s="14">
        <f t="shared" si="93"/>
        <v>2.136562777003313E-12</v>
      </c>
      <c r="CB102" s="22">
        <f t="shared" si="64"/>
        <v>3.9806453659427267E-12</v>
      </c>
      <c r="CC102" s="62">
        <f t="shared" si="65"/>
        <v>284.43377213890847</v>
      </c>
      <c r="CD102" s="62">
        <f ca="1">AVERAGE(OFFSET($CC$3,0,0,'Données projet'!$E$12+1,1))-AVERAGE(OFFSET($H$3,0,0,'Données projet'!$E$12+1,1))</f>
        <v>292.13851489852607</v>
      </c>
      <c r="CE102" s="62">
        <f t="shared" si="94"/>
        <v>280.10866188737418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67.572846946973954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-1.1368683772161603E-13</v>
      </c>
      <c r="CU102" s="18">
        <f>CT102*VLOOKUP('Données projet'!$B$13,Paramètres!$A$1:$I$89,3,0)*VLOOKUP('Données projet'!$B$13,Paramètres!$A$1:$I$89,5,0)</f>
        <v>-9.2222762759774927E-14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265.25572936607409</v>
      </c>
      <c r="CZ102" s="62">
        <f t="shared" si="96"/>
        <v>307.96244316129071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67.572846946973954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3.5897435897435854</v>
      </c>
      <c r="DO102" s="13">
        <f>IF('Données projet'!$A$166&gt;35,DO101+DN102-DW101,IF(A102&lt;'Données projet'!$A$166,$DL$205^A102,IF(A102='Données projet'!$A$166,'Données projet'!$B$166,DO101+DN102-DW101)))</f>
        <v>254.74358974358975</v>
      </c>
      <c r="DP102" s="18">
        <f>DO102*VLOOKUP('Données projet'!$B$14,Paramètres!$A$1:$I$89,3,0)*VLOOKUP('Données projet'!$B$14,Paramètres!$A$1:$I$89,5,0)</f>
        <v>242.41400000000002</v>
      </c>
      <c r="DQ102" s="14">
        <f t="shared" si="97"/>
        <v>58.958611429073422</v>
      </c>
      <c r="DR102" s="22">
        <f t="shared" si="70"/>
        <v>524.89063157230294</v>
      </c>
      <c r="DS102" s="62">
        <f t="shared" si="71"/>
        <v>809.32440371120742</v>
      </c>
      <c r="DT102" s="62">
        <f ca="1">AVERAGE(OFFSET($DS$3,0,0,'Données projet'!$E$14+1,1))-AVERAGE(OFFSET($H$3,0,0,'Données projet'!$E$14+1,1))</f>
        <v>425.41154182732936</v>
      </c>
      <c r="DU102" s="62">
        <f t="shared" si="98"/>
        <v>306.44721925744591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67.572846946973954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-5.6843418860808015E-14</v>
      </c>
      <c r="EK102" s="18">
        <f>EJ102*VLOOKUP('Données projet'!$B$15,Paramètres!$A$1:$I$89,3,0)*VLOOKUP('Données projet'!$B$15,Paramètres!$A$1:$I$89,5,0)</f>
        <v>-4.1677594708744434E-14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357.57626046668958</v>
      </c>
      <c r="EP102" s="62">
        <f t="shared" si="100"/>
        <v>386.90439522046199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67.572846946973954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1.1368683772161603E-13</v>
      </c>
      <c r="FF102" s="18">
        <f>FE102*VLOOKUP('Données projet'!$B$16,Paramètres!$A$1:$I$89,3,0)*VLOOKUP('Données projet'!$B$16,Paramètres!$A$1:$I$89,5,0)</f>
        <v>8.8675733422860506E-14</v>
      </c>
      <c r="FG102" s="14">
        <f t="shared" si="101"/>
        <v>1.3509285393066301E-12</v>
      </c>
      <c r="FH102" s="22">
        <f t="shared" si="76"/>
        <v>2.5073107750038623E-12</v>
      </c>
      <c r="FI102" s="62">
        <f t="shared" si="77"/>
        <v>284.43377213890699</v>
      </c>
      <c r="FJ102" s="62">
        <f ca="1">AVERAGE(OFFSET($FI$3,0,0,'Données projet'!$E$16+1,1))-AVERAGE(OFFSET($H$3,0,0,'Données projet'!$E$16+1,1))</f>
        <v>303.56663121833833</v>
      </c>
      <c r="FK102" s="62">
        <f t="shared" si="102"/>
        <v>293.97736357938038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67.572846946973954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-5.6843418860808015E-14</v>
      </c>
      <c r="GA102" s="18">
        <f>FZ102*VLOOKUP('Données projet'!$B$17,Paramètres!$A$1:$I$89,3,0)*VLOOKUP('Données projet'!$B$17,Paramètres!$A$1:$I$89,5,0)</f>
        <v>-4.5224624045658861E-14</v>
      </c>
      <c r="GB102" s="14" t="e">
        <f t="shared" si="103"/>
        <v>#NUM!</v>
      </c>
      <c r="GC102" s="22" t="e">
        <f t="shared" si="79"/>
        <v>#NUM!</v>
      </c>
      <c r="GD102" s="62" t="e">
        <f t="shared" si="80"/>
        <v>#NUM!</v>
      </c>
      <c r="GE102" s="62">
        <f ca="1">AVERAGE(OFFSET($GD$3,0,0,'Données projet'!$E$17+1,1))-AVERAGE(OFFSET($H$3,0,0,'Données projet'!$E$17+1,1))</f>
        <v>383.71724511025587</v>
      </c>
      <c r="GF102" s="62">
        <f t="shared" si="104"/>
        <v>415.10774719533185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67.572846946973954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3.5897435897435912</v>
      </c>
      <c r="GU102" s="13">
        <f>IF('Données projet'!$A$270&gt;35,GU101+GT102-HC101,IF(A102&lt;'Données projet'!$A$270,$GR$205^A102,IF(A102='Données projet'!$A$270,'Données projet'!$B$270,GU101+GT102-HC101)))</f>
        <v>304.10256410256426</v>
      </c>
      <c r="GV102" s="18">
        <f>GU102*VLOOKUP('Données projet'!$B$18,Paramètres!$A$1:$I$89,3,0)*VLOOKUP('Données projet'!$B$18,Paramètres!$A$1:$I$89,5,0)</f>
        <v>203.99200000000013</v>
      </c>
      <c r="GW102" s="14">
        <f t="shared" si="105"/>
        <v>50.620476831708423</v>
      </c>
      <c r="GX102" s="22">
        <f t="shared" si="82"/>
        <v>443.45006381522575</v>
      </c>
      <c r="GY102" s="62">
        <f t="shared" si="83"/>
        <v>727.88383595413029</v>
      </c>
      <c r="GZ102" s="62">
        <f ca="1">AVERAGE(OFFSET($GY$3,0,0,'Données projet'!$E$18+1,1))-AVERAGE(OFFSET($H$3,0,0,'Données projet'!$E$18+1,1))</f>
        <v>329.93956600482801</v>
      </c>
      <c r="HA102" s="62">
        <f t="shared" si="106"/>
        <v>268.69186630599165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2.7450000000000001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10.065</v>
      </c>
      <c r="H103" s="70">
        <f t="shared" si="56"/>
        <v>216.40666666666667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67.614952626142639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5.9</v>
      </c>
      <c r="M103" s="13">
        <f t="array" ref="M103">INDEX(L:L,MIN(IF(ISNUMBER(L103:L299),ROW(L103:L299),"")))</f>
        <v>5.9</v>
      </c>
      <c r="N103" s="14">
        <f>IF('Données projet'!$A$36&gt;35,N102+M103-V102,IF(A103&lt;'Données projet'!$A$36,$K$205^A103,IF(A103='Données projet'!$A$36,'Données projet'!$B$36,N102+M103-V102)))</f>
        <v>361</v>
      </c>
      <c r="O103" s="14">
        <f>N103*VLOOKUP('Données projet'!$B$9,Paramètres!$A$1:$I$89,3,0)*VLOOKUP('Données projet'!$B$9,Paramètres!$A$1:$I$89,5,0)</f>
        <v>326.63280000000003</v>
      </c>
      <c r="P103" s="14">
        <f t="shared" si="87"/>
        <v>76.731784548754845</v>
      </c>
      <c r="Q103" s="22">
        <f t="shared" si="107"/>
        <v>702.52665142241483</v>
      </c>
      <c r="R103" s="62">
        <f t="shared" si="55"/>
        <v>987.11481105160442</v>
      </c>
      <c r="S103" s="62">
        <f ca="1">AVERAGE(OFFSET($R$3,0,0,'Données projet'!$E$9+1,1))-AVERAGE(OFFSET($H$3,0,0,'Données projet'!$E$9+1,1))</f>
        <v>551.67307965706379</v>
      </c>
      <c r="T103" s="62">
        <f t="shared" si="88"/>
        <v>288.70738860523943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67.614952626142639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361</v>
      </c>
      <c r="AG103" s="13">
        <f>VLOOKUP(A103,'Données projet'!$A$61:$I$81,9,0)</f>
        <v>5.9</v>
      </c>
      <c r="AH103" s="13">
        <f t="array" ref="AH103">INDEX(AG:AG,MIN(IF(ISNUMBER(AG103:AG299),ROW(AG103:AG299),"")))</f>
        <v>5.9</v>
      </c>
      <c r="AI103" s="14">
        <f>IF('Données projet'!$A$62&gt;35,AI102+AH103-AQ102,IF(A103&lt;'Données projet'!$A$62,$AF$205^A103,IF(A103='Données projet'!$A$62,'Données projet'!$B$62,AI102+AH103-AQ102)))</f>
        <v>361</v>
      </c>
      <c r="AJ103" s="14">
        <f>AI103*VLOOKUP('Données projet'!$B$10,Paramètres!$A$1:$I$89,3,0)*VLOOKUP('Données projet'!$B$10,Paramètres!$A$1:$I$89,5,0)</f>
        <v>304.10640000000006</v>
      </c>
      <c r="AK103" s="14">
        <f t="shared" si="89"/>
        <v>72.036640316223298</v>
      </c>
      <c r="AL103" s="22">
        <f t="shared" si="58"/>
        <v>655.11579521742237</v>
      </c>
      <c r="AM103" s="62">
        <f t="shared" si="59"/>
        <v>939.70395484661208</v>
      </c>
      <c r="AN103" s="62">
        <f ca="1">AVERAGE(OFFSET($AM$3,0,0,'Données projet'!$E$10+1,1))-AVERAGE(OFFSET($H$3,0,0,'Données projet'!$E$10+1,1))</f>
        <v>518.18933270904506</v>
      </c>
      <c r="AO103" s="62">
        <f t="shared" si="90"/>
        <v>272.44431899810411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67.614952626142639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-9.7543306765146564E-14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464.73160475167867</v>
      </c>
      <c r="BJ103" s="62">
        <f t="shared" si="92"/>
        <v>241.31968359962227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67.614952626142639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2.2737367544323206E-13</v>
      </c>
      <c r="BZ103" s="14">
        <f>BY103*VLOOKUP('Données projet'!$B$12,Paramètres!$A$1:$I$89,3,0)*VLOOKUP('Données projet'!$B$12,Paramètres!$A$1:$I$89,5,0)</f>
        <v>1.4897523215040565E-13</v>
      </c>
      <c r="CA103" s="14">
        <f t="shared" si="93"/>
        <v>2.136562777003313E-12</v>
      </c>
      <c r="CB103" s="22">
        <f t="shared" si="64"/>
        <v>3.9806453659427267E-12</v>
      </c>
      <c r="CC103" s="62">
        <f t="shared" si="65"/>
        <v>284.58815962919363</v>
      </c>
      <c r="CD103" s="62">
        <f ca="1">AVERAGE(OFFSET($CC$3,0,0,'Données projet'!$E$12+1,1))-AVERAGE(OFFSET($H$3,0,0,'Données projet'!$E$12+1,1))</f>
        <v>292.13851489852607</v>
      </c>
      <c r="CE103" s="62">
        <f t="shared" si="94"/>
        <v>280.10866188737418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67.614952626142639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-1.1368683772161603E-13</v>
      </c>
      <c r="CU103" s="18">
        <f>CT103*VLOOKUP('Données projet'!$B$13,Paramètres!$A$1:$I$89,3,0)*VLOOKUP('Données projet'!$B$13,Paramètres!$A$1:$I$89,5,0)</f>
        <v>-9.2222762759774927E-14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265.25572936607409</v>
      </c>
      <c r="CZ103" s="62">
        <f t="shared" si="96"/>
        <v>307.96244316129071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67.614952626142639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258.33333333333331</v>
      </c>
      <c r="DM103" s="13">
        <f>VLOOKUP(A103,'Données projet'!$A$165:$I$185,9,0)</f>
        <v>3.5897435897435854</v>
      </c>
      <c r="DN103" s="13">
        <f t="array" ref="DN103">INDEX(DM:DM,MIN(IF(ISNUMBER(DM103:DM299),ROW(DM103:DM299),"")))</f>
        <v>3.5897435897435854</v>
      </c>
      <c r="DO103" s="13">
        <f>IF('Données projet'!$A$166&gt;35,DO102+DN103-DW102,IF(A103&lt;'Données projet'!$A$166,$DL$205^A103,IF(A103='Données projet'!$A$166,'Données projet'!$B$166,DO102+DN103-DW102)))</f>
        <v>258.33333333333331</v>
      </c>
      <c r="DP103" s="18">
        <f>DO103*VLOOKUP('Données projet'!$B$14,Paramètres!$A$1:$I$89,3,0)*VLOOKUP('Données projet'!$B$14,Paramètres!$A$1:$I$89,5,0)</f>
        <v>245.82999999999998</v>
      </c>
      <c r="DQ103" s="14">
        <f t="shared" si="97"/>
        <v>59.692125837514034</v>
      </c>
      <c r="DR103" s="22">
        <f t="shared" si="70"/>
        <v>532.11770250033692</v>
      </c>
      <c r="DS103" s="62">
        <f t="shared" si="71"/>
        <v>816.70586212952662</v>
      </c>
      <c r="DT103" s="62">
        <f ca="1">AVERAGE(OFFSET($DS$3,0,0,'Données projet'!$E$14+1,1))-AVERAGE(OFFSET($H$3,0,0,'Données projet'!$E$14+1,1))</f>
        <v>425.41154182732936</v>
      </c>
      <c r="DU103" s="62">
        <f t="shared" si="98"/>
        <v>306.44721925744591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67.614952626142639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-5.6843418860808015E-14</v>
      </c>
      <c r="EK103" s="18">
        <f>EJ103*VLOOKUP('Données projet'!$B$15,Paramètres!$A$1:$I$89,3,0)*VLOOKUP('Données projet'!$B$15,Paramètres!$A$1:$I$89,5,0)</f>
        <v>-4.1677594708744434E-14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357.57626046668958</v>
      </c>
      <c r="EP103" s="62">
        <f t="shared" si="100"/>
        <v>386.90439522046199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67.614952626142639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1.1368683772161603E-13</v>
      </c>
      <c r="FF103" s="18">
        <f>FE103*VLOOKUP('Données projet'!$B$16,Paramètres!$A$1:$I$89,3,0)*VLOOKUP('Données projet'!$B$16,Paramètres!$A$1:$I$89,5,0)</f>
        <v>8.8675733422860506E-14</v>
      </c>
      <c r="FG103" s="14">
        <f t="shared" si="101"/>
        <v>1.3509285393066301E-12</v>
      </c>
      <c r="FH103" s="22">
        <f t="shared" si="76"/>
        <v>2.5073107750038623E-12</v>
      </c>
      <c r="FI103" s="62">
        <f t="shared" si="77"/>
        <v>284.58815962919215</v>
      </c>
      <c r="FJ103" s="62">
        <f ca="1">AVERAGE(OFFSET($FI$3,0,0,'Données projet'!$E$16+1,1))-AVERAGE(OFFSET($H$3,0,0,'Données projet'!$E$16+1,1))</f>
        <v>303.56663121833833</v>
      </c>
      <c r="FK103" s="62">
        <f t="shared" si="102"/>
        <v>293.97736357938038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67.614952626142639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-5.6843418860808015E-14</v>
      </c>
      <c r="GA103" s="18">
        <f>FZ103*VLOOKUP('Données projet'!$B$17,Paramètres!$A$1:$I$89,3,0)*VLOOKUP('Données projet'!$B$17,Paramètres!$A$1:$I$89,5,0)</f>
        <v>-4.5224624045658861E-14</v>
      </c>
      <c r="GB103" s="14" t="e">
        <f t="shared" si="103"/>
        <v>#NUM!</v>
      </c>
      <c r="GC103" s="22" t="e">
        <f t="shared" si="79"/>
        <v>#NUM!</v>
      </c>
      <c r="GD103" s="62" t="e">
        <f t="shared" si="80"/>
        <v>#NUM!</v>
      </c>
      <c r="GE103" s="62">
        <f ca="1">AVERAGE(OFFSET($GD$3,0,0,'Données projet'!$E$17+1,1))-AVERAGE(OFFSET($H$3,0,0,'Données projet'!$E$17+1,1))</f>
        <v>383.71724511025587</v>
      </c>
      <c r="GF103" s="62">
        <f t="shared" si="104"/>
        <v>415.10774719533185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67.614952626142639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307.69230769230768</v>
      </c>
      <c r="GS103" s="13">
        <f>VLOOKUP(A103,'Données projet'!$A$269:$I$289,9,0)</f>
        <v>3.5897435897435912</v>
      </c>
      <c r="GT103" s="13">
        <f t="array" ref="GT103">INDEX(GS:GS,MIN(IF(ISNUMBER(GS103:GS299),ROW(GS103:GS299),"")))</f>
        <v>3.5897435897435912</v>
      </c>
      <c r="GU103" s="13">
        <f>IF('Données projet'!$A$270&gt;35,GU102+GT103-HC102,IF(A103&lt;'Données projet'!$A$270,$GR$205^A103,IF(A103='Données projet'!$A$270,'Données projet'!$B$270,GU102+GT103-HC102)))</f>
        <v>307.69230769230785</v>
      </c>
      <c r="GV103" s="18">
        <f>GU103*VLOOKUP('Données projet'!$B$18,Paramètres!$A$1:$I$89,3,0)*VLOOKUP('Données projet'!$B$18,Paramètres!$A$1:$I$89,5,0)</f>
        <v>206.40000000000012</v>
      </c>
      <c r="GW103" s="14">
        <f t="shared" si="105"/>
        <v>51.148105178123259</v>
      </c>
      <c r="GX103" s="22">
        <f t="shared" si="82"/>
        <v>448.56294985189817</v>
      </c>
      <c r="GY103" s="62">
        <f t="shared" si="83"/>
        <v>733.15110948108781</v>
      </c>
      <c r="GZ103" s="62">
        <f ca="1">AVERAGE(OFFSET($GY$3,0,0,'Données projet'!$E$18+1,1))-AVERAGE(OFFSET($H$3,0,0,'Données projet'!$E$18+1,1))</f>
        <v>329.93956600482801</v>
      </c>
      <c r="HA103" s="62">
        <f t="shared" si="106"/>
        <v>268.69186630599165</v>
      </c>
      <c r="HB103" s="16">
        <f>IF(ISNA(VLOOKUP(A103,'Données projet'!$A$269:$I$289,3,0)),0,VLOOKUP(A103,'Données projet'!$A$269:$I$289,3,0))</f>
        <v>9</v>
      </c>
      <c r="HC103" s="16">
        <f>IF(ISNA(VLOOKUP(A103,'Données projet'!$A$269:$I$289,4,0)),0,VLOOKUP(A103,'Données projet'!$A$269:$I$289,4,0))</f>
        <v>22.435897435897434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2.7450000000000001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10.065</v>
      </c>
      <c r="H104" s="70">
        <f t="shared" si="56"/>
        <v>216.40666666666667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67.656327865911962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366.2</v>
      </c>
      <c r="O104" s="14">
        <f>N104*VLOOKUP('Données projet'!$B$9,Paramètres!$A$1:$I$89,3,0)*VLOOKUP('Données projet'!$B$9,Paramètres!$A$1:$I$89,5,0)</f>
        <v>331.33776</v>
      </c>
      <c r="P104" s="14">
        <f t="shared" si="87"/>
        <v>77.707593612890619</v>
      </c>
      <c r="Q104" s="22">
        <f t="shared" si="107"/>
        <v>712.42065754245107</v>
      </c>
      <c r="R104" s="62">
        <f t="shared" si="55"/>
        <v>997.16052638412827</v>
      </c>
      <c r="S104" s="62">
        <f ca="1">AVERAGE(OFFSET($R$3,0,0,'Données projet'!$E$9+1,1))-AVERAGE(OFFSET($H$3,0,0,'Données projet'!$E$9+1,1))</f>
        <v>551.67307965706379</v>
      </c>
      <c r="T104" s="62">
        <f t="shared" si="88"/>
        <v>288.70738860523943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67.656327865911962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5.2</v>
      </c>
      <c r="AI104" s="14">
        <f>IF('Données projet'!$A$62&gt;35,AI103+AH104-AQ103,IF(A104&lt;'Données projet'!$A$62,$AF$205^A104,IF(A104='Données projet'!$A$62,'Données projet'!$B$62,AI103+AH104-AQ103)))</f>
        <v>366.2</v>
      </c>
      <c r="AJ104" s="14">
        <f>AI104*VLOOKUP('Données projet'!$B$10,Paramètres!$A$1:$I$89,3,0)*VLOOKUP('Données projet'!$B$10,Paramètres!$A$1:$I$89,5,0)</f>
        <v>308.48688000000004</v>
      </c>
      <c r="AK104" s="14">
        <f t="shared" si="89"/>
        <v>72.952740560520297</v>
      </c>
      <c r="AL104" s="22">
        <f t="shared" si="58"/>
        <v>664.34067247623955</v>
      </c>
      <c r="AM104" s="62">
        <f t="shared" si="59"/>
        <v>949.08054131791675</v>
      </c>
      <c r="AN104" s="62">
        <f ca="1">AVERAGE(OFFSET($AM$3,0,0,'Données projet'!$E$10+1,1))-AVERAGE(OFFSET($H$3,0,0,'Données projet'!$E$10+1,1))</f>
        <v>518.18933270904506</v>
      </c>
      <c r="AO104" s="62">
        <f t="shared" si="90"/>
        <v>272.44431899810411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67.656327865911962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-9.7543306765146564E-14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464.73160475167867</v>
      </c>
      <c r="BJ104" s="62">
        <f t="shared" si="92"/>
        <v>241.31968359962227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67.656327865911962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2.2737367544323206E-13</v>
      </c>
      <c r="BZ104" s="14">
        <f>BY104*VLOOKUP('Données projet'!$B$12,Paramètres!$A$1:$I$89,3,0)*VLOOKUP('Données projet'!$B$12,Paramètres!$A$1:$I$89,5,0)</f>
        <v>1.4897523215040565E-13</v>
      </c>
      <c r="CA104" s="14">
        <f t="shared" si="93"/>
        <v>2.136562777003313E-12</v>
      </c>
      <c r="CB104" s="22">
        <f t="shared" si="64"/>
        <v>3.9806453659427267E-12</v>
      </c>
      <c r="CC104" s="62">
        <f t="shared" si="65"/>
        <v>284.73986884168119</v>
      </c>
      <c r="CD104" s="62">
        <f ca="1">AVERAGE(OFFSET($CC$3,0,0,'Données projet'!$E$12+1,1))-AVERAGE(OFFSET($H$3,0,0,'Données projet'!$E$12+1,1))</f>
        <v>292.13851489852607</v>
      </c>
      <c r="CE104" s="62">
        <f t="shared" si="94"/>
        <v>280.10866188737418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67.656327865911962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-1.1368683772161603E-13</v>
      </c>
      <c r="CU104" s="18">
        <f>CT104*VLOOKUP('Données projet'!$B$13,Paramètres!$A$1:$I$89,3,0)*VLOOKUP('Données projet'!$B$13,Paramètres!$A$1:$I$89,5,0)</f>
        <v>-9.2222762759774927E-14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265.25572936607409</v>
      </c>
      <c r="CZ104" s="62">
        <f t="shared" si="96"/>
        <v>307.96244316129071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67.656327865911962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3.3974358974359005</v>
      </c>
      <c r="DO104" s="13">
        <f>IF('Données projet'!$A$166&gt;35,DO103+DN104-DW103,IF(A104&lt;'Données projet'!$A$166,$DL$205^A104,IF(A104='Données projet'!$A$166,'Données projet'!$B$166,DO103+DN104-DW103)))</f>
        <v>261.73076923076923</v>
      </c>
      <c r="DP104" s="18">
        <f>DO104*VLOOKUP('Données projet'!$B$14,Paramètres!$A$1:$I$89,3,0)*VLOOKUP('Données projet'!$B$14,Paramètres!$A$1:$I$89,5,0)</f>
        <v>249.06300000000002</v>
      </c>
      <c r="DQ104" s="14">
        <f t="shared" si="97"/>
        <v>60.385252576343511</v>
      </c>
      <c r="DR104" s="22">
        <f t="shared" si="70"/>
        <v>538.95570657046494</v>
      </c>
      <c r="DS104" s="62">
        <f t="shared" si="71"/>
        <v>823.69557541214215</v>
      </c>
      <c r="DT104" s="62">
        <f ca="1">AVERAGE(OFFSET($DS$3,0,0,'Données projet'!$E$14+1,1))-AVERAGE(OFFSET($H$3,0,0,'Données projet'!$E$14+1,1))</f>
        <v>425.41154182732936</v>
      </c>
      <c r="DU104" s="62">
        <f t="shared" si="98"/>
        <v>306.44721925744591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67.656327865911962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-5.6843418860808015E-14</v>
      </c>
      <c r="EK104" s="18">
        <f>EJ104*VLOOKUP('Données projet'!$B$15,Paramètres!$A$1:$I$89,3,0)*VLOOKUP('Données projet'!$B$15,Paramètres!$A$1:$I$89,5,0)</f>
        <v>-4.1677594708744434E-14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357.57626046668958</v>
      </c>
      <c r="EP104" s="62">
        <f t="shared" si="100"/>
        <v>386.90439522046199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67.656327865911962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1.1368683772161603E-13</v>
      </c>
      <c r="FF104" s="18">
        <f>FE104*VLOOKUP('Données projet'!$B$16,Paramètres!$A$1:$I$89,3,0)*VLOOKUP('Données projet'!$B$16,Paramètres!$A$1:$I$89,5,0)</f>
        <v>8.8675733422860506E-14</v>
      </c>
      <c r="FG104" s="14">
        <f t="shared" si="101"/>
        <v>1.3509285393066301E-12</v>
      </c>
      <c r="FH104" s="22">
        <f t="shared" si="76"/>
        <v>2.5073107750038623E-12</v>
      </c>
      <c r="FI104" s="62">
        <f t="shared" si="77"/>
        <v>284.73986884167971</v>
      </c>
      <c r="FJ104" s="62">
        <f ca="1">AVERAGE(OFFSET($FI$3,0,0,'Données projet'!$E$16+1,1))-AVERAGE(OFFSET($H$3,0,0,'Données projet'!$E$16+1,1))</f>
        <v>303.56663121833833</v>
      </c>
      <c r="FK104" s="62">
        <f t="shared" si="102"/>
        <v>293.97736357938038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67.656327865911962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-5.6843418860808015E-14</v>
      </c>
      <c r="GA104" s="18">
        <f>FZ104*VLOOKUP('Données projet'!$B$17,Paramètres!$A$1:$I$89,3,0)*VLOOKUP('Données projet'!$B$17,Paramètres!$A$1:$I$89,5,0)</f>
        <v>-4.5224624045658861E-14</v>
      </c>
      <c r="GB104" s="14" t="e">
        <f t="shared" si="103"/>
        <v>#NUM!</v>
      </c>
      <c r="GC104" s="22" t="e">
        <f t="shared" si="79"/>
        <v>#NUM!</v>
      </c>
      <c r="GD104" s="62" t="e">
        <f t="shared" si="80"/>
        <v>#NUM!</v>
      </c>
      <c r="GE104" s="62">
        <f ca="1">AVERAGE(OFFSET($GD$3,0,0,'Données projet'!$E$17+1,1))-AVERAGE(OFFSET($H$3,0,0,'Données projet'!$E$17+1,1))</f>
        <v>383.71724511025587</v>
      </c>
      <c r="GF104" s="62">
        <f t="shared" si="104"/>
        <v>415.10774719533185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67.656327865911962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3.2051282051282102</v>
      </c>
      <c r="GU104" s="13">
        <f>IF('Données projet'!$A$270&gt;35,GU103+GT104-HC103,IF(A104&lt;'Données projet'!$A$270,$GR$205^A104,IF(A104='Données projet'!$A$270,'Données projet'!$B$270,GU103+GT104-HC103)))</f>
        <v>288.46153846153862</v>
      </c>
      <c r="GV104" s="18">
        <f>GU104*VLOOKUP('Données projet'!$B$18,Paramètres!$A$1:$I$89,3,0)*VLOOKUP('Données projet'!$B$18,Paramètres!$A$1:$I$89,5,0)</f>
        <v>193.50000000000011</v>
      </c>
      <c r="GW104" s="14">
        <f t="shared" si="105"/>
        <v>48.312929194247467</v>
      </c>
      <c r="GX104" s="22">
        <f t="shared" si="82"/>
        <v>421.15751834664781</v>
      </c>
      <c r="GY104" s="62">
        <f t="shared" si="83"/>
        <v>705.89738718832496</v>
      </c>
      <c r="GZ104" s="62">
        <f ca="1">AVERAGE(OFFSET($GY$3,0,0,'Données projet'!$E$18+1,1))-AVERAGE(OFFSET($H$3,0,0,'Données projet'!$E$18+1,1))</f>
        <v>329.93956600482801</v>
      </c>
      <c r="HA104" s="62">
        <f t="shared" si="106"/>
        <v>268.69186630599165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2.7450000000000001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10.065</v>
      </c>
      <c r="H105" s="70">
        <f t="shared" si="56"/>
        <v>216.40666666666667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67.696985337772446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371.4</v>
      </c>
      <c r="O105" s="14">
        <f>N105*VLOOKUP('Données projet'!$B$9,Paramètres!$A$1:$I$89,3,0)*VLOOKUP('Données projet'!$B$9,Paramètres!$A$1:$I$89,5,0)</f>
        <v>336.04271999999997</v>
      </c>
      <c r="P105" s="14">
        <f t="shared" si="87"/>
        <v>78.681791069086316</v>
      </c>
      <c r="Q105" s="22">
        <f t="shared" si="107"/>
        <v>722.31185677865858</v>
      </c>
      <c r="R105" s="62">
        <f t="shared" si="55"/>
        <v>1007.2008030171576</v>
      </c>
      <c r="S105" s="62">
        <f ca="1">AVERAGE(OFFSET($R$3,0,0,'Données projet'!$E$9+1,1))-AVERAGE(OFFSET($H$3,0,0,'Données projet'!$E$9+1,1))</f>
        <v>551.67307965706379</v>
      </c>
      <c r="T105" s="62">
        <f t="shared" si="88"/>
        <v>288.70738860523943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67.696985337772446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5.2</v>
      </c>
      <c r="AI105" s="14">
        <f>IF('Données projet'!$A$62&gt;35,AI104+AH105-AQ104,IF(A105&lt;'Données projet'!$A$62,$AF$205^A105,IF(A105='Données projet'!$A$62,'Données projet'!$B$62,AI104+AH105-AQ104)))</f>
        <v>371.4</v>
      </c>
      <c r="AJ105" s="14">
        <f>AI105*VLOOKUP('Données projet'!$B$10,Paramètres!$A$1:$I$89,3,0)*VLOOKUP('Données projet'!$B$10,Paramètres!$A$1:$I$89,5,0)</f>
        <v>312.86736000000002</v>
      </c>
      <c r="AK105" s="14">
        <f t="shared" si="89"/>
        <v>73.867327809619979</v>
      </c>
      <c r="AL105" s="22">
        <f t="shared" si="58"/>
        <v>673.56291460175487</v>
      </c>
      <c r="AM105" s="62">
        <f t="shared" si="59"/>
        <v>958.45186084025386</v>
      </c>
      <c r="AN105" s="62">
        <f ca="1">AVERAGE(OFFSET($AM$3,0,0,'Données projet'!$E$10+1,1))-AVERAGE(OFFSET($H$3,0,0,'Données projet'!$E$10+1,1))</f>
        <v>518.18933270904506</v>
      </c>
      <c r="AO105" s="62">
        <f t="shared" si="90"/>
        <v>272.44431899810411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67.696985337772446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-9.7543306765146564E-14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464.73160475167867</v>
      </c>
      <c r="BJ105" s="62">
        <f t="shared" si="92"/>
        <v>241.31968359962227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67.696985337772446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2.2737367544323206E-13</v>
      </c>
      <c r="BZ105" s="14">
        <f>BY105*VLOOKUP('Données projet'!$B$12,Paramètres!$A$1:$I$89,3,0)*VLOOKUP('Données projet'!$B$12,Paramètres!$A$1:$I$89,5,0)</f>
        <v>1.4897523215040565E-13</v>
      </c>
      <c r="CA105" s="14">
        <f t="shared" si="93"/>
        <v>2.136562777003313E-12</v>
      </c>
      <c r="CB105" s="22">
        <f t="shared" si="64"/>
        <v>3.9806453659427267E-12</v>
      </c>
      <c r="CC105" s="62">
        <f t="shared" si="65"/>
        <v>284.88894623850291</v>
      </c>
      <c r="CD105" s="62">
        <f ca="1">AVERAGE(OFFSET($CC$3,0,0,'Données projet'!$E$12+1,1))-AVERAGE(OFFSET($H$3,0,0,'Données projet'!$E$12+1,1))</f>
        <v>292.13851489852607</v>
      </c>
      <c r="CE105" s="62">
        <f t="shared" si="94"/>
        <v>280.10866188737418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67.696985337772446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-1.1368683772161603E-13</v>
      </c>
      <c r="CU105" s="18">
        <f>CT105*VLOOKUP('Données projet'!$B$13,Paramètres!$A$1:$I$89,3,0)*VLOOKUP('Données projet'!$B$13,Paramètres!$A$1:$I$89,5,0)</f>
        <v>-9.2222762759774927E-14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265.25572936607409</v>
      </c>
      <c r="CZ105" s="62">
        <f t="shared" si="96"/>
        <v>307.96244316129071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67.696985337772446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3.3974358974359005</v>
      </c>
      <c r="DO105" s="13">
        <f>IF('Données projet'!$A$166&gt;35,DO104+DN105-DW104,IF(A105&lt;'Données projet'!$A$166,$DL$205^A105,IF(A105='Données projet'!$A$166,'Données projet'!$B$166,DO104+DN105-DW104)))</f>
        <v>265.12820512820514</v>
      </c>
      <c r="DP105" s="18">
        <f>DO105*VLOOKUP('Données projet'!$B$14,Paramètres!$A$1:$I$89,3,0)*VLOOKUP('Données projet'!$B$14,Paramètres!$A$1:$I$89,5,0)</f>
        <v>252.29600000000002</v>
      </c>
      <c r="DQ105" s="14">
        <f t="shared" si="97"/>
        <v>61.077332796544965</v>
      </c>
      <c r="DR105" s="22">
        <f t="shared" si="70"/>
        <v>545.7918879539825</v>
      </c>
      <c r="DS105" s="62">
        <f t="shared" si="71"/>
        <v>830.68083419248137</v>
      </c>
      <c r="DT105" s="62">
        <f ca="1">AVERAGE(OFFSET($DS$3,0,0,'Données projet'!$E$14+1,1))-AVERAGE(OFFSET($H$3,0,0,'Données projet'!$E$14+1,1))</f>
        <v>425.41154182732936</v>
      </c>
      <c r="DU105" s="62">
        <f t="shared" si="98"/>
        <v>306.44721925744591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67.696985337772446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-5.6843418860808015E-14</v>
      </c>
      <c r="EK105" s="18">
        <f>EJ105*VLOOKUP('Données projet'!$B$15,Paramètres!$A$1:$I$89,3,0)*VLOOKUP('Données projet'!$B$15,Paramètres!$A$1:$I$89,5,0)</f>
        <v>-4.1677594708744434E-14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357.57626046668958</v>
      </c>
      <c r="EP105" s="62">
        <f t="shared" si="100"/>
        <v>386.90439522046199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67.696985337772446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1.1368683772161603E-13</v>
      </c>
      <c r="FF105" s="18">
        <f>FE105*VLOOKUP('Données projet'!$B$16,Paramètres!$A$1:$I$89,3,0)*VLOOKUP('Données projet'!$B$16,Paramètres!$A$1:$I$89,5,0)</f>
        <v>8.8675733422860506E-14</v>
      </c>
      <c r="FG105" s="14">
        <f t="shared" si="101"/>
        <v>1.3509285393066301E-12</v>
      </c>
      <c r="FH105" s="22">
        <f t="shared" si="76"/>
        <v>2.5073107750038623E-12</v>
      </c>
      <c r="FI105" s="62">
        <f t="shared" si="77"/>
        <v>284.88894623850143</v>
      </c>
      <c r="FJ105" s="62">
        <f ca="1">AVERAGE(OFFSET($FI$3,0,0,'Données projet'!$E$16+1,1))-AVERAGE(OFFSET($H$3,0,0,'Données projet'!$E$16+1,1))</f>
        <v>303.56663121833833</v>
      </c>
      <c r="FK105" s="62">
        <f t="shared" si="102"/>
        <v>293.97736357938038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67.696985337772446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-5.6843418860808015E-14</v>
      </c>
      <c r="GA105" s="18">
        <f>FZ105*VLOOKUP('Données projet'!$B$17,Paramètres!$A$1:$I$89,3,0)*VLOOKUP('Données projet'!$B$17,Paramètres!$A$1:$I$89,5,0)</f>
        <v>-4.5224624045658861E-14</v>
      </c>
      <c r="GB105" s="14" t="e">
        <f t="shared" si="103"/>
        <v>#NUM!</v>
      </c>
      <c r="GC105" s="22" t="e">
        <f t="shared" si="79"/>
        <v>#NUM!</v>
      </c>
      <c r="GD105" s="62" t="e">
        <f t="shared" si="80"/>
        <v>#NUM!</v>
      </c>
      <c r="GE105" s="62">
        <f ca="1">AVERAGE(OFFSET($GD$3,0,0,'Données projet'!$E$17+1,1))-AVERAGE(OFFSET($H$3,0,0,'Données projet'!$E$17+1,1))</f>
        <v>383.71724511025587</v>
      </c>
      <c r="GF105" s="62">
        <f t="shared" si="104"/>
        <v>415.10774719533185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67.696985337772446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3.2051282051282102</v>
      </c>
      <c r="GU105" s="13">
        <f>IF('Données projet'!$A$270&gt;35,GU104+GT105-HC104,IF(A105&lt;'Données projet'!$A$270,$GR$205^A105,IF(A105='Données projet'!$A$270,'Données projet'!$B$270,GU104+GT105-HC104)))</f>
        <v>291.66666666666686</v>
      </c>
      <c r="GV105" s="18">
        <f>GU105*VLOOKUP('Données projet'!$B$18,Paramètres!$A$1:$I$89,3,0)*VLOOKUP('Données projet'!$B$18,Paramètres!$A$1:$I$89,5,0)</f>
        <v>195.65000000000012</v>
      </c>
      <c r="GW105" s="14">
        <f t="shared" si="105"/>
        <v>48.786949327182981</v>
      </c>
      <c r="GX105" s="22">
        <f t="shared" si="82"/>
        <v>425.72768674484382</v>
      </c>
      <c r="GY105" s="62">
        <f t="shared" si="83"/>
        <v>710.6166329833427</v>
      </c>
      <c r="GZ105" s="62">
        <f ca="1">AVERAGE(OFFSET($GY$3,0,0,'Données projet'!$E$18+1,1))-AVERAGE(OFFSET($H$3,0,0,'Données projet'!$E$18+1,1))</f>
        <v>329.93956600482801</v>
      </c>
      <c r="HA105" s="62">
        <f t="shared" si="106"/>
        <v>268.69186630599165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2.7450000000000001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10.065</v>
      </c>
      <c r="H106" s="70">
        <f t="shared" si="56"/>
        <v>216.40666666666667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67.736937493392659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376.59999999999997</v>
      </c>
      <c r="O106" s="14">
        <f>N106*VLOOKUP('Données projet'!$B$9,Paramètres!$A$1:$I$89,3,0)*VLOOKUP('Données projet'!$B$9,Paramètres!$A$1:$I$89,5,0)</f>
        <v>340.74767999999995</v>
      </c>
      <c r="P106" s="14">
        <f t="shared" si="87"/>
        <v>79.654402089206556</v>
      </c>
      <c r="Q106" s="22">
        <f t="shared" si="107"/>
        <v>732.20029297203462</v>
      </c>
      <c r="R106" s="62">
        <f t="shared" si="55"/>
        <v>1017.2357304478078</v>
      </c>
      <c r="S106" s="62">
        <f ca="1">AVERAGE(OFFSET($R$3,0,0,'Données projet'!$E$9+1,1))-AVERAGE(OFFSET($H$3,0,0,'Données projet'!$E$9+1,1))</f>
        <v>551.67307965706379</v>
      </c>
      <c r="T106" s="62">
        <f t="shared" si="88"/>
        <v>288.70738860523943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67.736937493392659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5.2</v>
      </c>
      <c r="AI106" s="14">
        <f>IF('Données projet'!$A$62&gt;35,AI105+AH106-AQ105,IF(A106&lt;'Données projet'!$A$62,$AF$205^A106,IF(A106='Données projet'!$A$62,'Données projet'!$B$62,AI105+AH106-AQ105)))</f>
        <v>376.59999999999997</v>
      </c>
      <c r="AJ106" s="14">
        <f>AI106*VLOOKUP('Données projet'!$B$10,Paramètres!$A$1:$I$89,3,0)*VLOOKUP('Données projet'!$B$10,Paramètres!$A$1:$I$89,5,0)</f>
        <v>317.24784</v>
      </c>
      <c r="AK106" s="14">
        <f t="shared" si="89"/>
        <v>74.780425695144572</v>
      </c>
      <c r="AL106" s="22">
        <f t="shared" si="58"/>
        <v>682.78256275237675</v>
      </c>
      <c r="AM106" s="62">
        <f t="shared" si="59"/>
        <v>967.81800022814991</v>
      </c>
      <c r="AN106" s="62">
        <f ca="1">AVERAGE(OFFSET($AM$3,0,0,'Données projet'!$E$10+1,1))-AVERAGE(OFFSET($H$3,0,0,'Données projet'!$E$10+1,1))</f>
        <v>518.18933270904506</v>
      </c>
      <c r="AO106" s="62">
        <f t="shared" si="90"/>
        <v>272.44431899810411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67.736937493392659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-9.7543306765146564E-14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464.73160475167867</v>
      </c>
      <c r="BJ106" s="62">
        <f t="shared" si="92"/>
        <v>241.31968359962227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67.736937493392659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2.2737367544323206E-13</v>
      </c>
      <c r="BZ106" s="14">
        <f>BY106*VLOOKUP('Données projet'!$B$12,Paramètres!$A$1:$I$89,3,0)*VLOOKUP('Données projet'!$B$12,Paramètres!$A$1:$I$89,5,0)</f>
        <v>1.4897523215040565E-13</v>
      </c>
      <c r="CA106" s="14">
        <f t="shared" si="93"/>
        <v>2.136562777003313E-12</v>
      </c>
      <c r="CB106" s="22">
        <f t="shared" si="64"/>
        <v>3.9806453659427267E-12</v>
      </c>
      <c r="CC106" s="62">
        <f t="shared" si="65"/>
        <v>285.03543747577709</v>
      </c>
      <c r="CD106" s="62">
        <f ca="1">AVERAGE(OFFSET($CC$3,0,0,'Données projet'!$E$12+1,1))-AVERAGE(OFFSET($H$3,0,0,'Données projet'!$E$12+1,1))</f>
        <v>292.13851489852607</v>
      </c>
      <c r="CE106" s="62">
        <f t="shared" si="94"/>
        <v>280.10866188737418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67.736937493392659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-1.1368683772161603E-13</v>
      </c>
      <c r="CU106" s="18">
        <f>CT106*VLOOKUP('Données projet'!$B$13,Paramètres!$A$1:$I$89,3,0)*VLOOKUP('Données projet'!$B$13,Paramètres!$A$1:$I$89,5,0)</f>
        <v>-9.2222762759774927E-14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265.25572936607409</v>
      </c>
      <c r="CZ106" s="62">
        <f t="shared" si="96"/>
        <v>307.96244316129071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67.736937493392659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3.3974358974359005</v>
      </c>
      <c r="DO106" s="13">
        <f>IF('Données projet'!$A$166&gt;35,DO105+DN106-DW105,IF(A106&lt;'Données projet'!$A$166,$DL$205^A106,IF(A106='Données projet'!$A$166,'Données projet'!$B$166,DO105+DN106-DW105)))</f>
        <v>268.52564102564105</v>
      </c>
      <c r="DP106" s="18">
        <f>DO106*VLOOKUP('Données projet'!$B$14,Paramètres!$A$1:$I$89,3,0)*VLOOKUP('Données projet'!$B$14,Paramètres!$A$1:$I$89,5,0)</f>
        <v>255.52900000000002</v>
      </c>
      <c r="DQ106" s="14">
        <f t="shared" si="97"/>
        <v>61.768381459172247</v>
      </c>
      <c r="DR106" s="22">
        <f t="shared" si="70"/>
        <v>552.62627270805831</v>
      </c>
      <c r="DS106" s="62">
        <f t="shared" si="71"/>
        <v>837.66171018383147</v>
      </c>
      <c r="DT106" s="62">
        <f ca="1">AVERAGE(OFFSET($DS$3,0,0,'Données projet'!$E$14+1,1))-AVERAGE(OFFSET($H$3,0,0,'Données projet'!$E$14+1,1))</f>
        <v>425.41154182732936</v>
      </c>
      <c r="DU106" s="62">
        <f t="shared" si="98"/>
        <v>306.44721925744591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67.736937493392659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-5.6843418860808015E-14</v>
      </c>
      <c r="EK106" s="18">
        <f>EJ106*VLOOKUP('Données projet'!$B$15,Paramètres!$A$1:$I$89,3,0)*VLOOKUP('Données projet'!$B$15,Paramètres!$A$1:$I$89,5,0)</f>
        <v>-4.1677594708744434E-14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357.57626046668958</v>
      </c>
      <c r="EP106" s="62">
        <f t="shared" si="100"/>
        <v>386.90439522046199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67.736937493392659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1.1368683772161603E-13</v>
      </c>
      <c r="FF106" s="18">
        <f>FE106*VLOOKUP('Données projet'!$B$16,Paramètres!$A$1:$I$89,3,0)*VLOOKUP('Données projet'!$B$16,Paramètres!$A$1:$I$89,5,0)</f>
        <v>8.8675733422860506E-14</v>
      </c>
      <c r="FG106" s="14">
        <f t="shared" si="101"/>
        <v>1.3509285393066301E-12</v>
      </c>
      <c r="FH106" s="22">
        <f t="shared" si="76"/>
        <v>2.5073107750038623E-12</v>
      </c>
      <c r="FI106" s="62">
        <f t="shared" si="77"/>
        <v>285.03543747577561</v>
      </c>
      <c r="FJ106" s="62">
        <f ca="1">AVERAGE(OFFSET($FI$3,0,0,'Données projet'!$E$16+1,1))-AVERAGE(OFFSET($H$3,0,0,'Données projet'!$E$16+1,1))</f>
        <v>303.56663121833833</v>
      </c>
      <c r="FK106" s="62">
        <f t="shared" si="102"/>
        <v>293.97736357938038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67.736937493392659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-5.6843418860808015E-14</v>
      </c>
      <c r="GA106" s="18">
        <f>FZ106*VLOOKUP('Données projet'!$B$17,Paramètres!$A$1:$I$89,3,0)*VLOOKUP('Données projet'!$B$17,Paramètres!$A$1:$I$89,5,0)</f>
        <v>-4.5224624045658861E-14</v>
      </c>
      <c r="GB106" s="14" t="e">
        <f t="shared" si="103"/>
        <v>#NUM!</v>
      </c>
      <c r="GC106" s="22" t="e">
        <f t="shared" si="79"/>
        <v>#NUM!</v>
      </c>
      <c r="GD106" s="62" t="e">
        <f t="shared" si="80"/>
        <v>#NUM!</v>
      </c>
      <c r="GE106" s="62">
        <f ca="1">AVERAGE(OFFSET($GD$3,0,0,'Données projet'!$E$17+1,1))-AVERAGE(OFFSET($H$3,0,0,'Données projet'!$E$17+1,1))</f>
        <v>383.71724511025587</v>
      </c>
      <c r="GF106" s="62">
        <f t="shared" si="104"/>
        <v>415.10774719533185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67.736937493392659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3.2051282051282102</v>
      </c>
      <c r="GU106" s="13">
        <f>IF('Données projet'!$A$270&gt;35,GU105+GT106-HC105,IF(A106&lt;'Données projet'!$A$270,$GR$205^A106,IF(A106='Données projet'!$A$270,'Données projet'!$B$270,GU105+GT106-HC105)))</f>
        <v>294.87179487179509</v>
      </c>
      <c r="GV106" s="18">
        <f>GU106*VLOOKUP('Données projet'!$B$18,Paramètres!$A$1:$I$89,3,0)*VLOOKUP('Données projet'!$B$18,Paramètres!$A$1:$I$89,5,0)</f>
        <v>197.80000000000015</v>
      </c>
      <c r="GW106" s="14">
        <f t="shared" si="105"/>
        <v>49.260363505790551</v>
      </c>
      <c r="GX106" s="22">
        <f t="shared" si="82"/>
        <v>430.29679977258542</v>
      </c>
      <c r="GY106" s="62">
        <f t="shared" si="83"/>
        <v>715.33223724835852</v>
      </c>
      <c r="GZ106" s="62">
        <f ca="1">AVERAGE(OFFSET($GY$3,0,0,'Données projet'!$E$18+1,1))-AVERAGE(OFFSET($H$3,0,0,'Données projet'!$E$18+1,1))</f>
        <v>329.93956600482801</v>
      </c>
      <c r="HA106" s="62">
        <f t="shared" si="106"/>
        <v>268.69186630599165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2.7450000000000001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10.065</v>
      </c>
      <c r="H107" s="70">
        <f t="shared" si="56"/>
        <v>216.40666666666667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67.776196568432482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381.79999999999995</v>
      </c>
      <c r="O107" s="14">
        <f>N107*VLOOKUP('Données projet'!$B$9,Paramètres!$A$1:$I$89,3,0)*VLOOKUP('Données projet'!$B$9,Paramètres!$A$1:$I$89,5,0)</f>
        <v>345.45263999999997</v>
      </c>
      <c r="P107" s="14">
        <f t="shared" si="87"/>
        <v>80.625451110046569</v>
      </c>
      <c r="Q107" s="22">
        <f t="shared" si="107"/>
        <v>742.08600868333099</v>
      </c>
      <c r="R107" s="62">
        <f t="shared" si="55"/>
        <v>1027.2653961009169</v>
      </c>
      <c r="S107" s="62">
        <f ca="1">AVERAGE(OFFSET($R$3,0,0,'Données projet'!$E$9+1,1))-AVERAGE(OFFSET($H$3,0,0,'Données projet'!$E$9+1,1))</f>
        <v>551.67307965706379</v>
      </c>
      <c r="T107" s="62">
        <f t="shared" si="88"/>
        <v>288.70738860523943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67.776196568432482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5.2</v>
      </c>
      <c r="AI107" s="14">
        <f>IF('Données projet'!$A$62&gt;35,AI106+AH107-AQ106,IF(A107&lt;'Données projet'!$A$62,$AF$205^A107,IF(A107='Données projet'!$A$62,'Données projet'!$B$62,AI106+AH107-AQ106)))</f>
        <v>381.79999999999995</v>
      </c>
      <c r="AJ107" s="14">
        <f>AI107*VLOOKUP('Données projet'!$B$10,Paramètres!$A$1:$I$89,3,0)*VLOOKUP('Données projet'!$B$10,Paramètres!$A$1:$I$89,5,0)</f>
        <v>321.62832000000003</v>
      </c>
      <c r="AK107" s="14">
        <f t="shared" si="89"/>
        <v>75.692057158625346</v>
      </c>
      <c r="AL107" s="22">
        <f t="shared" si="58"/>
        <v>691.99965688460588</v>
      </c>
      <c r="AM107" s="62">
        <f t="shared" si="59"/>
        <v>977.17904430219164</v>
      </c>
      <c r="AN107" s="62">
        <f ca="1">AVERAGE(OFFSET($AM$3,0,0,'Données projet'!$E$10+1,1))-AVERAGE(OFFSET($H$3,0,0,'Données projet'!$E$10+1,1))</f>
        <v>518.18933270904506</v>
      </c>
      <c r="AO107" s="62">
        <f t="shared" si="90"/>
        <v>272.44431899810411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67.776196568432482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-9.7543306765146564E-14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464.73160475167867</v>
      </c>
      <c r="BJ107" s="62">
        <f t="shared" si="92"/>
        <v>241.31968359962227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67.776196568432482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2.2737367544323206E-13</v>
      </c>
      <c r="BZ107" s="14">
        <f>BY107*VLOOKUP('Données projet'!$B$12,Paramètres!$A$1:$I$89,3,0)*VLOOKUP('Données projet'!$B$12,Paramètres!$A$1:$I$89,5,0)</f>
        <v>1.4897523215040565E-13</v>
      </c>
      <c r="CA107" s="14">
        <f t="shared" si="93"/>
        <v>2.136562777003313E-12</v>
      </c>
      <c r="CB107" s="22">
        <f t="shared" si="64"/>
        <v>3.9806453659427267E-12</v>
      </c>
      <c r="CC107" s="62">
        <f t="shared" si="65"/>
        <v>285.17938741758974</v>
      </c>
      <c r="CD107" s="62">
        <f ca="1">AVERAGE(OFFSET($CC$3,0,0,'Données projet'!$E$12+1,1))-AVERAGE(OFFSET($H$3,0,0,'Données projet'!$E$12+1,1))</f>
        <v>292.13851489852607</v>
      </c>
      <c r="CE107" s="62">
        <f t="shared" si="94"/>
        <v>280.10866188737418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67.776196568432482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-1.1368683772161603E-13</v>
      </c>
      <c r="CU107" s="18">
        <f>CT107*VLOOKUP('Données projet'!$B$13,Paramètres!$A$1:$I$89,3,0)*VLOOKUP('Données projet'!$B$13,Paramètres!$A$1:$I$89,5,0)</f>
        <v>-9.2222762759774927E-14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265.25572936607409</v>
      </c>
      <c r="CZ107" s="62">
        <f t="shared" si="96"/>
        <v>307.96244316129071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67.776196568432482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3.3974358974359005</v>
      </c>
      <c r="DO107" s="13">
        <f>IF('Données projet'!$A$166&gt;35,DO106+DN107-DW106,IF(A107&lt;'Données projet'!$A$166,$DL$205^A107,IF(A107='Données projet'!$A$166,'Données projet'!$B$166,DO106+DN107-DW106)))</f>
        <v>271.92307692307696</v>
      </c>
      <c r="DP107" s="18">
        <f>DO107*VLOOKUP('Données projet'!$B$14,Paramètres!$A$1:$I$89,3,0)*VLOOKUP('Données projet'!$B$14,Paramètres!$A$1:$I$89,5,0)</f>
        <v>258.76200000000006</v>
      </c>
      <c r="DQ107" s="14">
        <f t="shared" si="97"/>
        <v>62.458413124928875</v>
      </c>
      <c r="DR107" s="22">
        <f t="shared" si="70"/>
        <v>559.4588861925846</v>
      </c>
      <c r="DS107" s="62">
        <f t="shared" si="71"/>
        <v>844.63827361017036</v>
      </c>
      <c r="DT107" s="62">
        <f ca="1">AVERAGE(OFFSET($DS$3,0,0,'Données projet'!$E$14+1,1))-AVERAGE(OFFSET($H$3,0,0,'Données projet'!$E$14+1,1))</f>
        <v>425.41154182732936</v>
      </c>
      <c r="DU107" s="62">
        <f t="shared" si="98"/>
        <v>306.44721925744591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67.776196568432482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-5.6843418860808015E-14</v>
      </c>
      <c r="EK107" s="18">
        <f>EJ107*VLOOKUP('Données projet'!$B$15,Paramètres!$A$1:$I$89,3,0)*VLOOKUP('Données projet'!$B$15,Paramètres!$A$1:$I$89,5,0)</f>
        <v>-4.1677594708744434E-14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357.57626046668958</v>
      </c>
      <c r="EP107" s="62">
        <f t="shared" si="100"/>
        <v>386.90439522046199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67.776196568432482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1.1368683772161603E-13</v>
      </c>
      <c r="FF107" s="18">
        <f>FE107*VLOOKUP('Données projet'!$B$16,Paramètres!$A$1:$I$89,3,0)*VLOOKUP('Données projet'!$B$16,Paramètres!$A$1:$I$89,5,0)</f>
        <v>8.8675733422860506E-14</v>
      </c>
      <c r="FG107" s="14">
        <f t="shared" si="101"/>
        <v>1.3509285393066301E-12</v>
      </c>
      <c r="FH107" s="22">
        <f t="shared" si="76"/>
        <v>2.5073107750038623E-12</v>
      </c>
      <c r="FI107" s="62">
        <f t="shared" si="77"/>
        <v>285.17938741758826</v>
      </c>
      <c r="FJ107" s="62">
        <f ca="1">AVERAGE(OFFSET($FI$3,0,0,'Données projet'!$E$16+1,1))-AVERAGE(OFFSET($H$3,0,0,'Données projet'!$E$16+1,1))</f>
        <v>303.56663121833833</v>
      </c>
      <c r="FK107" s="62">
        <f t="shared" si="102"/>
        <v>293.97736357938038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67.776196568432482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-5.6843418860808015E-14</v>
      </c>
      <c r="GA107" s="18">
        <f>FZ107*VLOOKUP('Données projet'!$B$17,Paramètres!$A$1:$I$89,3,0)*VLOOKUP('Données projet'!$B$17,Paramètres!$A$1:$I$89,5,0)</f>
        <v>-4.5224624045658861E-14</v>
      </c>
      <c r="GB107" s="14" t="e">
        <f t="shared" si="103"/>
        <v>#NUM!</v>
      </c>
      <c r="GC107" s="22" t="e">
        <f t="shared" si="79"/>
        <v>#NUM!</v>
      </c>
      <c r="GD107" s="62" t="e">
        <f t="shared" si="80"/>
        <v>#NUM!</v>
      </c>
      <c r="GE107" s="62">
        <f ca="1">AVERAGE(OFFSET($GD$3,0,0,'Données projet'!$E$17+1,1))-AVERAGE(OFFSET($H$3,0,0,'Données projet'!$E$17+1,1))</f>
        <v>383.71724511025587</v>
      </c>
      <c r="GF107" s="62">
        <f t="shared" si="104"/>
        <v>415.10774719533185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67.776196568432482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3.2051282051282102</v>
      </c>
      <c r="GU107" s="13">
        <f>IF('Données projet'!$A$270&gt;35,GU106+GT107-HC106,IF(A107&lt;'Données projet'!$A$270,$GR$205^A107,IF(A107='Données projet'!$A$270,'Données projet'!$B$270,GU106+GT107-HC106)))</f>
        <v>298.07692307692332</v>
      </c>
      <c r="GV107" s="18">
        <f>GU107*VLOOKUP('Données projet'!$B$18,Paramètres!$A$1:$I$89,3,0)*VLOOKUP('Données projet'!$B$18,Paramètres!$A$1:$I$89,5,0)</f>
        <v>199.95000000000016</v>
      </c>
      <c r="GW107" s="14">
        <f t="shared" si="105"/>
        <v>49.733179078835313</v>
      </c>
      <c r="GX107" s="22">
        <f t="shared" si="82"/>
        <v>434.86487022897177</v>
      </c>
      <c r="GY107" s="62">
        <f t="shared" si="83"/>
        <v>720.04425764655753</v>
      </c>
      <c r="GZ107" s="62">
        <f ca="1">AVERAGE(OFFSET($GY$3,0,0,'Données projet'!$E$18+1,1))-AVERAGE(OFFSET($H$3,0,0,'Données projet'!$E$18+1,1))</f>
        <v>329.93956600482801</v>
      </c>
      <c r="HA107" s="62">
        <f t="shared" si="106"/>
        <v>268.69186630599165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2.7450000000000001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10.065</v>
      </c>
      <c r="H108" s="70">
        <f t="shared" si="56"/>
        <v>216.40666666666667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67.814774586290525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386.99999999999994</v>
      </c>
      <c r="O108" s="14">
        <f>N108*VLOOKUP('Données projet'!$B$9,Paramètres!$A$1:$I$89,3,0)*VLOOKUP('Données projet'!$B$9,Paramètres!$A$1:$I$89,5,0)</f>
        <v>350.15759999999995</v>
      </c>
      <c r="P108" s="14">
        <f t="shared" si="87"/>
        <v>81.59496186451068</v>
      </c>
      <c r="Q108" s="22">
        <f t="shared" si="107"/>
        <v>751.96904524735601</v>
      </c>
      <c r="R108" s="62">
        <f t="shared" si="55"/>
        <v>1037.289885397088</v>
      </c>
      <c r="S108" s="62">
        <f ca="1">AVERAGE(OFFSET($R$3,0,0,'Données projet'!$E$9+1,1))-AVERAGE(OFFSET($H$3,0,0,'Données projet'!$E$9+1,1))</f>
        <v>551.67307965706379</v>
      </c>
      <c r="T108" s="62">
        <f t="shared" si="88"/>
        <v>288.70738860523943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67.814774586290525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5.2</v>
      </c>
      <c r="AI108" s="14">
        <f>IF('Données projet'!$A$62&gt;35,AI107+AH108-AQ107,IF(A108&lt;'Données projet'!$A$62,$AF$205^A108,IF(A108='Données projet'!$A$62,'Données projet'!$B$62,AI107+AH108-AQ107)))</f>
        <v>386.99999999999994</v>
      </c>
      <c r="AJ108" s="14">
        <f>AI108*VLOOKUP('Données projet'!$B$10,Paramètres!$A$1:$I$89,3,0)*VLOOKUP('Données projet'!$B$10,Paramètres!$A$1:$I$89,5,0)</f>
        <v>326.00880000000001</v>
      </c>
      <c r="AK108" s="14">
        <f t="shared" si="89"/>
        <v>76.602244480772981</v>
      </c>
      <c r="AL108" s="22">
        <f t="shared" si="58"/>
        <v>701.2142358040129</v>
      </c>
      <c r="AM108" s="62">
        <f t="shared" si="59"/>
        <v>986.53507595374481</v>
      </c>
      <c r="AN108" s="62">
        <f ca="1">AVERAGE(OFFSET($AM$3,0,0,'Données projet'!$E$10+1,1))-AVERAGE(OFFSET($H$3,0,0,'Données projet'!$E$10+1,1))</f>
        <v>518.18933270904506</v>
      </c>
      <c r="AO108" s="62">
        <f t="shared" si="90"/>
        <v>272.44431899810411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67.814774586290525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-9.7543306765146564E-14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464.73160475167867</v>
      </c>
      <c r="BJ108" s="62">
        <f t="shared" si="92"/>
        <v>241.31968359962227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67.814774586290525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2.2737367544323206E-13</v>
      </c>
      <c r="BZ108" s="14">
        <f>BY108*VLOOKUP('Données projet'!$B$12,Paramètres!$A$1:$I$89,3,0)*VLOOKUP('Données projet'!$B$12,Paramètres!$A$1:$I$89,5,0)</f>
        <v>1.4897523215040565E-13</v>
      </c>
      <c r="CA108" s="14">
        <f t="shared" si="93"/>
        <v>2.136562777003313E-12</v>
      </c>
      <c r="CB108" s="22">
        <f t="shared" si="64"/>
        <v>3.9806453659427267E-12</v>
      </c>
      <c r="CC108" s="62">
        <f t="shared" si="65"/>
        <v>285.32084014973594</v>
      </c>
      <c r="CD108" s="62">
        <f ca="1">AVERAGE(OFFSET($CC$3,0,0,'Données projet'!$E$12+1,1))-AVERAGE(OFFSET($H$3,0,0,'Données projet'!$E$12+1,1))</f>
        <v>292.13851489852607</v>
      </c>
      <c r="CE108" s="62">
        <f t="shared" si="94"/>
        <v>280.10866188737418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67.814774586290525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-1.1368683772161603E-13</v>
      </c>
      <c r="CU108" s="18">
        <f>CT108*VLOOKUP('Données projet'!$B$13,Paramètres!$A$1:$I$89,3,0)*VLOOKUP('Données projet'!$B$13,Paramètres!$A$1:$I$89,5,0)</f>
        <v>-9.2222762759774927E-14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265.25572936607409</v>
      </c>
      <c r="CZ108" s="62">
        <f t="shared" si="96"/>
        <v>307.96244316129071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67.814774586290525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3.3974358974359005</v>
      </c>
      <c r="DO108" s="13">
        <f>IF('Données projet'!$A$166&gt;35,DO107+DN108-DW107,IF(A108&lt;'Données projet'!$A$166,$DL$205^A108,IF(A108='Données projet'!$A$166,'Données projet'!$B$166,DO107+DN108-DW107)))</f>
        <v>275.32051282051287</v>
      </c>
      <c r="DP108" s="18">
        <f>DO108*VLOOKUP('Données projet'!$B$14,Paramètres!$A$1:$I$89,3,0)*VLOOKUP('Données projet'!$B$14,Paramètres!$A$1:$I$89,5,0)</f>
        <v>261.99500000000006</v>
      </c>
      <c r="DQ108" s="14">
        <f t="shared" si="97"/>
        <v>63.147441969746581</v>
      </c>
      <c r="DR108" s="22">
        <f t="shared" si="70"/>
        <v>566.28975309730868</v>
      </c>
      <c r="DS108" s="62">
        <f t="shared" si="71"/>
        <v>851.6105932470407</v>
      </c>
      <c r="DT108" s="62">
        <f ca="1">AVERAGE(OFFSET($DS$3,0,0,'Données projet'!$E$14+1,1))-AVERAGE(OFFSET($H$3,0,0,'Données projet'!$E$14+1,1))</f>
        <v>425.41154182732936</v>
      </c>
      <c r="DU108" s="62">
        <f t="shared" si="98"/>
        <v>306.44721925744591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67.814774586290525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-5.6843418860808015E-14</v>
      </c>
      <c r="EK108" s="18">
        <f>EJ108*VLOOKUP('Données projet'!$B$15,Paramètres!$A$1:$I$89,3,0)*VLOOKUP('Données projet'!$B$15,Paramètres!$A$1:$I$89,5,0)</f>
        <v>-4.1677594708744434E-14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357.57626046668958</v>
      </c>
      <c r="EP108" s="62">
        <f t="shared" si="100"/>
        <v>386.90439522046199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67.814774586290525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1.1368683772161603E-13</v>
      </c>
      <c r="FF108" s="18">
        <f>FE108*VLOOKUP('Données projet'!$B$16,Paramètres!$A$1:$I$89,3,0)*VLOOKUP('Données projet'!$B$16,Paramètres!$A$1:$I$89,5,0)</f>
        <v>8.8675733422860506E-14</v>
      </c>
      <c r="FG108" s="14">
        <f t="shared" si="101"/>
        <v>1.3509285393066301E-12</v>
      </c>
      <c r="FH108" s="22">
        <f t="shared" si="76"/>
        <v>2.5073107750038623E-12</v>
      </c>
      <c r="FI108" s="62">
        <f t="shared" si="77"/>
        <v>285.32084014973447</v>
      </c>
      <c r="FJ108" s="62">
        <f ca="1">AVERAGE(OFFSET($FI$3,0,0,'Données projet'!$E$16+1,1))-AVERAGE(OFFSET($H$3,0,0,'Données projet'!$E$16+1,1))</f>
        <v>303.56663121833833</v>
      </c>
      <c r="FK108" s="62">
        <f t="shared" si="102"/>
        <v>293.97736357938038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67.814774586290525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-5.6843418860808015E-14</v>
      </c>
      <c r="GA108" s="18">
        <f>FZ108*VLOOKUP('Données projet'!$B$17,Paramètres!$A$1:$I$89,3,0)*VLOOKUP('Données projet'!$B$17,Paramètres!$A$1:$I$89,5,0)</f>
        <v>-4.5224624045658861E-14</v>
      </c>
      <c r="GB108" s="14" t="e">
        <f t="shared" si="103"/>
        <v>#NUM!</v>
      </c>
      <c r="GC108" s="22" t="e">
        <f t="shared" si="79"/>
        <v>#NUM!</v>
      </c>
      <c r="GD108" s="62" t="e">
        <f t="shared" si="80"/>
        <v>#NUM!</v>
      </c>
      <c r="GE108" s="62">
        <f ca="1">AVERAGE(OFFSET($GD$3,0,0,'Données projet'!$E$17+1,1))-AVERAGE(OFFSET($H$3,0,0,'Données projet'!$E$17+1,1))</f>
        <v>383.71724511025587</v>
      </c>
      <c r="GF108" s="62">
        <f t="shared" si="104"/>
        <v>415.10774719533185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67.814774586290525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>
        <f>VLOOKUP(A108,'Données projet'!$A$269:$I$289,2,0)</f>
        <v>301.28205128205127</v>
      </c>
      <c r="GS108" s="13">
        <f>VLOOKUP(A108,'Données projet'!$A$269:$I$289,9,0)</f>
        <v>3.2051282051282102</v>
      </c>
      <c r="GT108" s="13">
        <f t="array" ref="GT108">INDEX(GS:GS,MIN(IF(ISNUMBER(GS108:GS304),ROW(GS108:GS304),"")))</f>
        <v>3.2051282051282102</v>
      </c>
      <c r="GU108" s="13">
        <f>IF('Données projet'!$A$270&gt;35,GU107+GT108-HC107,IF(A108&lt;'Données projet'!$A$270,$GR$205^A108,IF(A108='Données projet'!$A$270,'Données projet'!$B$270,GU107+GT108-HC107)))</f>
        <v>301.28205128205155</v>
      </c>
      <c r="GV108" s="18">
        <f>GU108*VLOOKUP('Données projet'!$B$18,Paramètres!$A$1:$I$89,3,0)*VLOOKUP('Données projet'!$B$18,Paramètres!$A$1:$I$89,5,0)</f>
        <v>202.10000000000016</v>
      </c>
      <c r="GW108" s="14">
        <f t="shared" si="105"/>
        <v>50.205403227941737</v>
      </c>
      <c r="GX108" s="22">
        <f t="shared" si="82"/>
        <v>439.43191062199884</v>
      </c>
      <c r="GY108" s="62">
        <f t="shared" si="83"/>
        <v>724.7527507717308</v>
      </c>
      <c r="GZ108" s="62">
        <f ca="1">AVERAGE(OFFSET($GY$3,0,0,'Données projet'!$E$18+1,1))-AVERAGE(OFFSET($H$3,0,0,'Données projet'!$E$18+1,1))</f>
        <v>329.93956600482801</v>
      </c>
      <c r="HA108" s="62">
        <f t="shared" si="106"/>
        <v>268.69186630599165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2.7450000000000001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10.065</v>
      </c>
      <c r="H109" s="70">
        <f t="shared" si="56"/>
        <v>216.40666666666667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67.852683361786248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5.2</v>
      </c>
      <c r="N109" s="14">
        <f>IF('Données projet'!$A$36&gt;35,N108+M109-V108,IF(A109&lt;'Données projet'!$A$36,$K$205^A109,IF(A109='Données projet'!$A$36,'Données projet'!$B$36,N108+M109-V108)))</f>
        <v>392.19999999999993</v>
      </c>
      <c r="O109" s="14">
        <f>N109*VLOOKUP('Données projet'!$B$9,Paramètres!$A$1:$I$89,3,0)*VLOOKUP('Données projet'!$B$9,Paramètres!$A$1:$I$89,5,0)</f>
        <v>354.86255999999992</v>
      </c>
      <c r="P109" s="14">
        <f t="shared" si="87"/>
        <v>82.56295741106787</v>
      </c>
      <c r="Q109" s="22">
        <f t="shared" si="107"/>
        <v>761.84944282427648</v>
      </c>
      <c r="R109" s="62">
        <f t="shared" si="55"/>
        <v>1047.3092818174928</v>
      </c>
      <c r="S109" s="62">
        <f ca="1">AVERAGE(OFFSET($R$3,0,0,'Données projet'!$E$9+1,1))-AVERAGE(OFFSET($H$3,0,0,'Données projet'!$E$9+1,1))</f>
        <v>551.67307965706379</v>
      </c>
      <c r="T109" s="62">
        <f t="shared" si="88"/>
        <v>288.70738860523943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67.852683361786248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5.2</v>
      </c>
      <c r="AI109" s="14">
        <f>IF('Données projet'!$A$62&gt;35,AI108+AH109-AQ108,IF(A109&lt;'Données projet'!$A$62,$AF$205^A109,IF(A109='Données projet'!$A$62,'Données projet'!$B$62,AI108+AH109-AQ108)))</f>
        <v>392.19999999999993</v>
      </c>
      <c r="AJ109" s="14">
        <f>AI109*VLOOKUP('Données projet'!$B$10,Paramètres!$A$1:$I$89,3,0)*VLOOKUP('Données projet'!$B$10,Paramètres!$A$1:$I$89,5,0)</f>
        <v>330.38927999999999</v>
      </c>
      <c r="AK109" s="14">
        <f t="shared" si="89"/>
        <v>77.511009309130912</v>
      </c>
      <c r="AL109" s="22">
        <f t="shared" si="58"/>
        <v>710.42633721340314</v>
      </c>
      <c r="AM109" s="62">
        <f t="shared" si="59"/>
        <v>995.88617620661944</v>
      </c>
      <c r="AN109" s="62">
        <f ca="1">AVERAGE(OFFSET($AM$3,0,0,'Données projet'!$E$10+1,1))-AVERAGE(OFFSET($H$3,0,0,'Données projet'!$E$10+1,1))</f>
        <v>518.18933270904506</v>
      </c>
      <c r="AO109" s="62">
        <f t="shared" si="90"/>
        <v>272.44431899810411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67.852683361786248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-9.7543306765146564E-14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464.73160475167867</v>
      </c>
      <c r="BJ109" s="62">
        <f t="shared" si="92"/>
        <v>241.31968359962227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67.852683361786248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2.2737367544323206E-13</v>
      </c>
      <c r="BZ109" s="14">
        <f>BY109*VLOOKUP('Données projet'!$B$12,Paramètres!$A$1:$I$89,3,0)*VLOOKUP('Données projet'!$B$12,Paramètres!$A$1:$I$89,5,0)</f>
        <v>1.4897523215040565E-13</v>
      </c>
      <c r="CA109" s="14">
        <f t="shared" si="93"/>
        <v>2.136562777003313E-12</v>
      </c>
      <c r="CB109" s="22">
        <f t="shared" si="64"/>
        <v>3.9806453659427267E-12</v>
      </c>
      <c r="CC109" s="62">
        <f t="shared" si="65"/>
        <v>285.45983899322022</v>
      </c>
      <c r="CD109" s="62">
        <f ca="1">AVERAGE(OFFSET($CC$3,0,0,'Données projet'!$E$12+1,1))-AVERAGE(OFFSET($H$3,0,0,'Données projet'!$E$12+1,1))</f>
        <v>292.13851489852607</v>
      </c>
      <c r="CE109" s="62">
        <f t="shared" si="94"/>
        <v>280.10866188737418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67.852683361786248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-1.1368683772161603E-13</v>
      </c>
      <c r="CU109" s="18">
        <f>CT109*VLOOKUP('Données projet'!$B$13,Paramètres!$A$1:$I$89,3,0)*VLOOKUP('Données projet'!$B$13,Paramètres!$A$1:$I$89,5,0)</f>
        <v>-9.2222762759774927E-14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265.25572936607409</v>
      </c>
      <c r="CZ109" s="62">
        <f t="shared" si="96"/>
        <v>307.96244316129071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67.852683361786248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3.3974358974359005</v>
      </c>
      <c r="DO109" s="13">
        <f>IF('Données projet'!$A$166&gt;35,DO108+DN109-DW108,IF(A109&lt;'Données projet'!$A$166,$DL$205^A109,IF(A109='Données projet'!$A$166,'Données projet'!$B$166,DO108+DN109-DW108)))</f>
        <v>278.71794871794879</v>
      </c>
      <c r="DP109" s="18">
        <f>DO109*VLOOKUP('Données projet'!$B$14,Paramètres!$A$1:$I$89,3,0)*VLOOKUP('Données projet'!$B$14,Paramètres!$A$1:$I$89,5,0)</f>
        <v>265.22800000000007</v>
      </c>
      <c r="DQ109" s="14">
        <f t="shared" si="97"/>
        <v>63.835481799573074</v>
      </c>
      <c r="DR109" s="22">
        <f t="shared" si="70"/>
        <v>573.11889746758982</v>
      </c>
      <c r="DS109" s="62">
        <f t="shared" si="71"/>
        <v>858.57873646080611</v>
      </c>
      <c r="DT109" s="62">
        <f ca="1">AVERAGE(OFFSET($DS$3,0,0,'Données projet'!$E$14+1,1))-AVERAGE(OFFSET($H$3,0,0,'Données projet'!$E$14+1,1))</f>
        <v>425.41154182732936</v>
      </c>
      <c r="DU109" s="62">
        <f t="shared" si="98"/>
        <v>306.44721925744591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67.852683361786248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-5.6843418860808015E-14</v>
      </c>
      <c r="EK109" s="18">
        <f>EJ109*VLOOKUP('Données projet'!$B$15,Paramètres!$A$1:$I$89,3,0)*VLOOKUP('Données projet'!$B$15,Paramètres!$A$1:$I$89,5,0)</f>
        <v>-4.1677594708744434E-14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357.57626046668958</v>
      </c>
      <c r="EP109" s="62">
        <f t="shared" si="100"/>
        <v>386.90439522046199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67.852683361786248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1.1368683772161603E-13</v>
      </c>
      <c r="FF109" s="18">
        <f>FE109*VLOOKUP('Données projet'!$B$16,Paramètres!$A$1:$I$89,3,0)*VLOOKUP('Données projet'!$B$16,Paramètres!$A$1:$I$89,5,0)</f>
        <v>8.8675733422860506E-14</v>
      </c>
      <c r="FG109" s="14">
        <f t="shared" si="101"/>
        <v>1.3509285393066301E-12</v>
      </c>
      <c r="FH109" s="22">
        <f t="shared" si="76"/>
        <v>2.5073107750038623E-12</v>
      </c>
      <c r="FI109" s="62">
        <f t="shared" si="77"/>
        <v>285.45983899321874</v>
      </c>
      <c r="FJ109" s="62">
        <f ca="1">AVERAGE(OFFSET($FI$3,0,0,'Données projet'!$E$16+1,1))-AVERAGE(OFFSET($H$3,0,0,'Données projet'!$E$16+1,1))</f>
        <v>303.56663121833833</v>
      </c>
      <c r="FK109" s="62">
        <f t="shared" si="102"/>
        <v>293.97736357938038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67.852683361786248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-5.6843418860808015E-14</v>
      </c>
      <c r="GA109" s="18">
        <f>FZ109*VLOOKUP('Données projet'!$B$17,Paramètres!$A$1:$I$89,3,0)*VLOOKUP('Données projet'!$B$17,Paramètres!$A$1:$I$89,5,0)</f>
        <v>-4.5224624045658861E-14</v>
      </c>
      <c r="GB109" s="14" t="e">
        <f t="shared" si="103"/>
        <v>#NUM!</v>
      </c>
      <c r="GC109" s="22" t="e">
        <f t="shared" si="79"/>
        <v>#NUM!</v>
      </c>
      <c r="GD109" s="62" t="e">
        <f t="shared" si="80"/>
        <v>#NUM!</v>
      </c>
      <c r="GE109" s="62">
        <f ca="1">AVERAGE(OFFSET($GD$3,0,0,'Données projet'!$E$17+1,1))-AVERAGE(OFFSET($H$3,0,0,'Données projet'!$E$17+1,1))</f>
        <v>383.71724511025587</v>
      </c>
      <c r="GF109" s="62">
        <f t="shared" si="104"/>
        <v>415.10774719533185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67.852683361786248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3.333333333333337</v>
      </c>
      <c r="GU109" s="13">
        <f>IF('Données projet'!$A$270&gt;35,GU108+GT109-HC108,IF(A109&lt;'Données projet'!$A$270,$GR$205^A109,IF(A109='Données projet'!$A$270,'Données projet'!$B$270,GU108+GT109-HC108)))</f>
        <v>304.61538461538487</v>
      </c>
      <c r="GV109" s="18">
        <f>GU109*VLOOKUP('Données projet'!$B$18,Paramètres!$A$1:$I$89,3,0)*VLOOKUP('Données projet'!$B$18,Paramètres!$A$1:$I$89,5,0)</f>
        <v>204.33600000000018</v>
      </c>
      <c r="GW109" s="14">
        <f t="shared" si="105"/>
        <v>50.695896504938347</v>
      </c>
      <c r="GX109" s="22">
        <f t="shared" si="82"/>
        <v>444.18055307943456</v>
      </c>
      <c r="GY109" s="62">
        <f t="shared" si="83"/>
        <v>729.6403920726508</v>
      </c>
      <c r="GZ109" s="62">
        <f ca="1">AVERAGE(OFFSET($GY$3,0,0,'Données projet'!$E$18+1,1))-AVERAGE(OFFSET($H$3,0,0,'Données projet'!$E$18+1,1))</f>
        <v>329.93956600482801</v>
      </c>
      <c r="HA109" s="62">
        <f t="shared" si="106"/>
        <v>268.69186630599165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2.7450000000000001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10.065</v>
      </c>
      <c r="H110" s="70">
        <f t="shared" si="56"/>
        <v>216.40666666666667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67.889934504778452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5.2</v>
      </c>
      <c r="N110" s="14">
        <f>IF('Données projet'!$A$36&gt;35,N109+M110-V109,IF(A110&lt;'Données projet'!$A$36,$K$205^A110,IF(A110='Données projet'!$A$36,'Données projet'!$B$36,N109+M110-V109)))</f>
        <v>397.39999999999992</v>
      </c>
      <c r="O110" s="14">
        <f>N110*VLOOKUP('Données projet'!$B$9,Paramètres!$A$1:$I$89,3,0)*VLOOKUP('Données projet'!$B$9,Paramètres!$A$1:$I$89,5,0)</f>
        <v>359.56751999999989</v>
      </c>
      <c r="P110" s="14">
        <f t="shared" si="87"/>
        <v>83.529460161600639</v>
      </c>
      <c r="Q110" s="22">
        <f t="shared" si="107"/>
        <v>771.72724044812094</v>
      </c>
      <c r="R110" s="62">
        <f t="shared" si="55"/>
        <v>1057.3236669656419</v>
      </c>
      <c r="S110" s="62">
        <f ca="1">AVERAGE(OFFSET($R$3,0,0,'Données projet'!$E$9+1,1))-AVERAGE(OFFSET($H$3,0,0,'Données projet'!$E$9+1,1))</f>
        <v>551.67307965706379</v>
      </c>
      <c r="T110" s="62">
        <f t="shared" si="88"/>
        <v>288.70738860523943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67.889934504778452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5.2</v>
      </c>
      <c r="AI110" s="14">
        <f>IF('Données projet'!$A$62&gt;35,AI109+AH110-AQ109,IF(A110&lt;'Données projet'!$A$62,$AF$205^A110,IF(A110='Données projet'!$A$62,'Données projet'!$B$62,AI109+AH110-AQ109)))</f>
        <v>397.39999999999992</v>
      </c>
      <c r="AJ110" s="14">
        <f>AI110*VLOOKUP('Données projet'!$B$10,Paramètres!$A$1:$I$89,3,0)*VLOOKUP('Données projet'!$B$10,Paramètres!$A$1:$I$89,5,0)</f>
        <v>334.76975999999996</v>
      </c>
      <c r="AK110" s="14">
        <f t="shared" si="89"/>
        <v>78.41837268421996</v>
      </c>
      <c r="AL110" s="22">
        <f t="shared" si="58"/>
        <v>719.63599775834973</v>
      </c>
      <c r="AM110" s="62">
        <f t="shared" si="59"/>
        <v>1005.2324242758707</v>
      </c>
      <c r="AN110" s="62">
        <f ca="1">AVERAGE(OFFSET($AM$3,0,0,'Données projet'!$E$10+1,1))-AVERAGE(OFFSET($H$3,0,0,'Données projet'!$E$10+1,1))</f>
        <v>518.18933270904506</v>
      </c>
      <c r="AO110" s="62">
        <f t="shared" si="90"/>
        <v>272.44431899810411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67.889934504778452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-9.7543306765146564E-14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464.73160475167867</v>
      </c>
      <c r="BJ110" s="62">
        <f t="shared" si="92"/>
        <v>241.31968359962227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67.889934504778452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2.2737367544323206E-13</v>
      </c>
      <c r="BZ110" s="14">
        <f>BY110*VLOOKUP('Données projet'!$B$12,Paramètres!$A$1:$I$89,3,0)*VLOOKUP('Données projet'!$B$12,Paramètres!$A$1:$I$89,5,0)</f>
        <v>1.4897523215040565E-13</v>
      </c>
      <c r="CA110" s="14">
        <f t="shared" si="93"/>
        <v>2.136562777003313E-12</v>
      </c>
      <c r="CB110" s="22">
        <f t="shared" si="64"/>
        <v>3.9806453659427267E-12</v>
      </c>
      <c r="CC110" s="62">
        <f t="shared" si="65"/>
        <v>285.596426517525</v>
      </c>
      <c r="CD110" s="62">
        <f ca="1">AVERAGE(OFFSET($CC$3,0,0,'Données projet'!$E$12+1,1))-AVERAGE(OFFSET($H$3,0,0,'Données projet'!$E$12+1,1))</f>
        <v>292.13851489852607</v>
      </c>
      <c r="CE110" s="62">
        <f t="shared" si="94"/>
        <v>280.10866188737418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67.889934504778452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-1.1368683772161603E-13</v>
      </c>
      <c r="CU110" s="18">
        <f>CT110*VLOOKUP('Données projet'!$B$13,Paramètres!$A$1:$I$89,3,0)*VLOOKUP('Données projet'!$B$13,Paramètres!$A$1:$I$89,5,0)</f>
        <v>-9.2222762759774927E-14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265.25572936607409</v>
      </c>
      <c r="CZ110" s="62">
        <f t="shared" si="96"/>
        <v>307.96244316129071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67.889934504778452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3.3974358974359005</v>
      </c>
      <c r="DO110" s="13">
        <f>IF('Données projet'!$A$166&gt;35,DO109+DN110-DW109,IF(A110&lt;'Données projet'!$A$166,$DL$205^A110,IF(A110='Données projet'!$A$166,'Données projet'!$B$166,DO109+DN110-DW109)))</f>
        <v>282.1153846153847</v>
      </c>
      <c r="DP110" s="18">
        <f>DO110*VLOOKUP('Données projet'!$B$14,Paramètres!$A$1:$I$89,3,0)*VLOOKUP('Données projet'!$B$14,Paramètres!$A$1:$I$89,5,0)</f>
        <v>268.46100000000007</v>
      </c>
      <c r="DQ110" s="14">
        <f t="shared" si="97"/>
        <v>64.522546064418151</v>
      </c>
      <c r="DR110" s="22">
        <f t="shared" si="70"/>
        <v>579.94634272886162</v>
      </c>
      <c r="DS110" s="62">
        <f t="shared" si="71"/>
        <v>865.5427692463827</v>
      </c>
      <c r="DT110" s="62">
        <f ca="1">AVERAGE(OFFSET($DS$3,0,0,'Données projet'!$E$14+1,1))-AVERAGE(OFFSET($H$3,0,0,'Données projet'!$E$14+1,1))</f>
        <v>425.41154182732936</v>
      </c>
      <c r="DU110" s="62">
        <f t="shared" si="98"/>
        <v>306.44721925744591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67.889934504778452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-5.6843418860808015E-14</v>
      </c>
      <c r="EK110" s="18">
        <f>EJ110*VLOOKUP('Données projet'!$B$15,Paramètres!$A$1:$I$89,3,0)*VLOOKUP('Données projet'!$B$15,Paramètres!$A$1:$I$89,5,0)</f>
        <v>-4.1677594708744434E-14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357.57626046668958</v>
      </c>
      <c r="EP110" s="62">
        <f t="shared" si="100"/>
        <v>386.90439522046199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67.889934504778452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1.1368683772161603E-13</v>
      </c>
      <c r="FF110" s="18">
        <f>FE110*VLOOKUP('Données projet'!$B$16,Paramètres!$A$1:$I$89,3,0)*VLOOKUP('Données projet'!$B$16,Paramètres!$A$1:$I$89,5,0)</f>
        <v>8.8675733422860506E-14</v>
      </c>
      <c r="FG110" s="14">
        <f t="shared" si="101"/>
        <v>1.3509285393066301E-12</v>
      </c>
      <c r="FH110" s="22">
        <f t="shared" si="76"/>
        <v>2.5073107750038623E-12</v>
      </c>
      <c r="FI110" s="62">
        <f t="shared" si="77"/>
        <v>285.59642651752353</v>
      </c>
      <c r="FJ110" s="62">
        <f ca="1">AVERAGE(OFFSET($FI$3,0,0,'Données projet'!$E$16+1,1))-AVERAGE(OFFSET($H$3,0,0,'Données projet'!$E$16+1,1))</f>
        <v>303.56663121833833</v>
      </c>
      <c r="FK110" s="62">
        <f t="shared" si="102"/>
        <v>293.97736357938038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67.889934504778452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-5.6843418860808015E-14</v>
      </c>
      <c r="GA110" s="18">
        <f>FZ110*VLOOKUP('Données projet'!$B$17,Paramètres!$A$1:$I$89,3,0)*VLOOKUP('Données projet'!$B$17,Paramètres!$A$1:$I$89,5,0)</f>
        <v>-4.5224624045658861E-14</v>
      </c>
      <c r="GB110" s="14" t="e">
        <f t="shared" si="103"/>
        <v>#NUM!</v>
      </c>
      <c r="GC110" s="22" t="e">
        <f t="shared" si="79"/>
        <v>#NUM!</v>
      </c>
      <c r="GD110" s="62" t="e">
        <f t="shared" si="80"/>
        <v>#NUM!</v>
      </c>
      <c r="GE110" s="62">
        <f ca="1">AVERAGE(OFFSET($GD$3,0,0,'Données projet'!$E$17+1,1))-AVERAGE(OFFSET($H$3,0,0,'Données projet'!$E$17+1,1))</f>
        <v>383.71724511025587</v>
      </c>
      <c r="GF110" s="62">
        <f t="shared" si="104"/>
        <v>415.10774719533185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67.889934504778452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3.333333333333337</v>
      </c>
      <c r="GU110" s="13">
        <f>IF('Données projet'!$A$270&gt;35,GU109+GT110-HC109,IF(A110&lt;'Données projet'!$A$270,$GR$205^A110,IF(A110='Données projet'!$A$270,'Données projet'!$B$270,GU109+GT110-HC109)))</f>
        <v>307.94871794871818</v>
      </c>
      <c r="GV110" s="18">
        <f>GU110*VLOOKUP('Données projet'!$B$18,Paramètres!$A$1:$I$89,3,0)*VLOOKUP('Données projet'!$B$18,Paramètres!$A$1:$I$89,5,0)</f>
        <v>206.57200000000014</v>
      </c>
      <c r="GW110" s="14">
        <f t="shared" si="105"/>
        <v>51.185765406859268</v>
      </c>
      <c r="GX110" s="22">
        <f t="shared" si="82"/>
        <v>448.92810808361338</v>
      </c>
      <c r="GY110" s="62">
        <f t="shared" si="83"/>
        <v>734.52453460113441</v>
      </c>
      <c r="GZ110" s="62">
        <f ca="1">AVERAGE(OFFSET($GY$3,0,0,'Données projet'!$E$18+1,1))-AVERAGE(OFFSET($H$3,0,0,'Données projet'!$E$18+1,1))</f>
        <v>329.93956600482801</v>
      </c>
      <c r="HA110" s="62">
        <f t="shared" si="106"/>
        <v>268.69186630599165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2.7450000000000001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10.065</v>
      </c>
      <c r="H111" s="70">
        <f t="shared" si="56"/>
        <v>216.40666666666667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67.926539423720811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5.2</v>
      </c>
      <c r="N111" s="14">
        <f>IF('Données projet'!$A$36&gt;35,N110+M111-V110,IF(A111&lt;'Données projet'!$A$36,$K$205^A111,IF(A111='Données projet'!$A$36,'Données projet'!$B$36,N110+M111-V110)))</f>
        <v>402.59999999999991</v>
      </c>
      <c r="O111" s="14">
        <f>N111*VLOOKUP('Données projet'!$B$9,Paramètres!$A$1:$I$89,3,0)*VLOOKUP('Données projet'!$B$9,Paramètres!$A$1:$I$89,5,0)</f>
        <v>364.27247999999992</v>
      </c>
      <c r="P111" s="14">
        <f t="shared" si="87"/>
        <v>84.494491907753741</v>
      </c>
      <c r="Q111" s="22">
        <f t="shared" si="107"/>
        <v>781.60247607267092</v>
      </c>
      <c r="R111" s="62">
        <f t="shared" si="55"/>
        <v>1067.333120626314</v>
      </c>
      <c r="S111" s="62">
        <f ca="1">AVERAGE(OFFSET($R$3,0,0,'Données projet'!$E$9+1,1))-AVERAGE(OFFSET($H$3,0,0,'Données projet'!$E$9+1,1))</f>
        <v>551.67307965706379</v>
      </c>
      <c r="T111" s="62">
        <f t="shared" si="88"/>
        <v>288.70738860523943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67.926539423720811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5.2</v>
      </c>
      <c r="AI111" s="14">
        <f>IF('Données projet'!$A$62&gt;35,AI110+AH111-AQ110,IF(A111&lt;'Données projet'!$A$62,$AF$205^A111,IF(A111='Données projet'!$A$62,'Données projet'!$B$62,AI110+AH111-AQ110)))</f>
        <v>402.59999999999991</v>
      </c>
      <c r="AJ111" s="14">
        <f>AI111*VLOOKUP('Données projet'!$B$10,Paramètres!$A$1:$I$89,3,0)*VLOOKUP('Données projet'!$B$10,Paramètres!$A$1:$I$89,5,0)</f>
        <v>339.15023999999994</v>
      </c>
      <c r="AK111" s="14">
        <f t="shared" si="89"/>
        <v>79.324355064275281</v>
      </c>
      <c r="AL111" s="22">
        <f t="shared" si="58"/>
        <v>728.84325307027939</v>
      </c>
      <c r="AM111" s="62">
        <f t="shared" si="59"/>
        <v>1014.5738976239224</v>
      </c>
      <c r="AN111" s="62">
        <f ca="1">AVERAGE(OFFSET($AM$3,0,0,'Données projet'!$E$10+1,1))-AVERAGE(OFFSET($H$3,0,0,'Données projet'!$E$10+1,1))</f>
        <v>518.18933270904506</v>
      </c>
      <c r="AO111" s="62">
        <f t="shared" si="90"/>
        <v>272.44431899810411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67.926539423720811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-9.7543306765146564E-14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464.73160475167867</v>
      </c>
      <c r="BJ111" s="62">
        <f t="shared" si="92"/>
        <v>241.31968359962227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67.926539423720811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2.2737367544323206E-13</v>
      </c>
      <c r="BZ111" s="14">
        <f>BY111*VLOOKUP('Données projet'!$B$12,Paramètres!$A$1:$I$89,3,0)*VLOOKUP('Données projet'!$B$12,Paramètres!$A$1:$I$89,5,0)</f>
        <v>1.4897523215040565E-13</v>
      </c>
      <c r="CA111" s="14">
        <f t="shared" si="93"/>
        <v>2.136562777003313E-12</v>
      </c>
      <c r="CB111" s="22">
        <f t="shared" si="64"/>
        <v>3.9806453659427267E-12</v>
      </c>
      <c r="CC111" s="62">
        <f t="shared" si="65"/>
        <v>285.73064455364698</v>
      </c>
      <c r="CD111" s="62">
        <f ca="1">AVERAGE(OFFSET($CC$3,0,0,'Données projet'!$E$12+1,1))-AVERAGE(OFFSET($H$3,0,0,'Données projet'!$E$12+1,1))</f>
        <v>292.13851489852607</v>
      </c>
      <c r="CE111" s="62">
        <f t="shared" si="94"/>
        <v>280.10866188737418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67.926539423720811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-1.1368683772161603E-13</v>
      </c>
      <c r="CU111" s="18">
        <f>CT111*VLOOKUP('Données projet'!$B$13,Paramètres!$A$1:$I$89,3,0)*VLOOKUP('Données projet'!$B$13,Paramètres!$A$1:$I$89,5,0)</f>
        <v>-9.2222762759774927E-14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265.25572936607409</v>
      </c>
      <c r="CZ111" s="62">
        <f t="shared" si="96"/>
        <v>307.96244316129071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67.926539423720811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3.3974358974359005</v>
      </c>
      <c r="DO111" s="13">
        <f>IF('Données projet'!$A$166&gt;35,DO110+DN111-DW110,IF(A111&lt;'Données projet'!$A$166,$DL$205^A111,IF(A111='Données projet'!$A$166,'Données projet'!$B$166,DO110+DN111-DW110)))</f>
        <v>285.51282051282061</v>
      </c>
      <c r="DP111" s="18">
        <f>DO111*VLOOKUP('Données projet'!$B$14,Paramètres!$A$1:$I$89,3,0)*VLOOKUP('Données projet'!$B$14,Paramètres!$A$1:$I$89,5,0)</f>
        <v>271.69400000000007</v>
      </c>
      <c r="DQ111" s="14">
        <f t="shared" si="97"/>
        <v>65.208647871703889</v>
      </c>
      <c r="DR111" s="22">
        <f t="shared" si="70"/>
        <v>586.77211170988437</v>
      </c>
      <c r="DS111" s="62">
        <f t="shared" si="71"/>
        <v>872.50275626352732</v>
      </c>
      <c r="DT111" s="62">
        <f ca="1">AVERAGE(OFFSET($DS$3,0,0,'Données projet'!$E$14+1,1))-AVERAGE(OFFSET($H$3,0,0,'Données projet'!$E$14+1,1))</f>
        <v>425.41154182732936</v>
      </c>
      <c r="DU111" s="62">
        <f t="shared" si="98"/>
        <v>306.44721925744591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67.926539423720811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-5.6843418860808015E-14</v>
      </c>
      <c r="EK111" s="18">
        <f>EJ111*VLOOKUP('Données projet'!$B$15,Paramètres!$A$1:$I$89,3,0)*VLOOKUP('Données projet'!$B$15,Paramètres!$A$1:$I$89,5,0)</f>
        <v>-4.1677594708744434E-14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357.57626046668958</v>
      </c>
      <c r="EP111" s="62">
        <f t="shared" si="100"/>
        <v>386.90439522046199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67.926539423720811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1.1368683772161603E-13</v>
      </c>
      <c r="FF111" s="18">
        <f>FE111*VLOOKUP('Données projet'!$B$16,Paramètres!$A$1:$I$89,3,0)*VLOOKUP('Données projet'!$B$16,Paramètres!$A$1:$I$89,5,0)</f>
        <v>8.8675733422860506E-14</v>
      </c>
      <c r="FG111" s="14">
        <f t="shared" si="101"/>
        <v>1.3509285393066301E-12</v>
      </c>
      <c r="FH111" s="22">
        <f t="shared" si="76"/>
        <v>2.5073107750038623E-12</v>
      </c>
      <c r="FI111" s="62">
        <f t="shared" si="77"/>
        <v>285.7306445536455</v>
      </c>
      <c r="FJ111" s="62">
        <f ca="1">AVERAGE(OFFSET($FI$3,0,0,'Données projet'!$E$16+1,1))-AVERAGE(OFFSET($H$3,0,0,'Données projet'!$E$16+1,1))</f>
        <v>303.56663121833833</v>
      </c>
      <c r="FK111" s="62">
        <f t="shared" si="102"/>
        <v>293.97736357938038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67.926539423720811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-5.6843418860808015E-14</v>
      </c>
      <c r="GA111" s="18">
        <f>FZ111*VLOOKUP('Données projet'!$B$17,Paramètres!$A$1:$I$89,3,0)*VLOOKUP('Données projet'!$B$17,Paramètres!$A$1:$I$89,5,0)</f>
        <v>-4.5224624045658861E-14</v>
      </c>
      <c r="GB111" s="14" t="e">
        <f t="shared" si="103"/>
        <v>#NUM!</v>
      </c>
      <c r="GC111" s="22" t="e">
        <f t="shared" si="79"/>
        <v>#NUM!</v>
      </c>
      <c r="GD111" s="62" t="e">
        <f t="shared" si="80"/>
        <v>#NUM!</v>
      </c>
      <c r="GE111" s="62">
        <f ca="1">AVERAGE(OFFSET($GD$3,0,0,'Données projet'!$E$17+1,1))-AVERAGE(OFFSET($H$3,0,0,'Données projet'!$E$17+1,1))</f>
        <v>383.71724511025587</v>
      </c>
      <c r="GF111" s="62">
        <f t="shared" si="104"/>
        <v>415.10774719533185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67.926539423720811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3.333333333333337</v>
      </c>
      <c r="GU111" s="13">
        <f>IF('Données projet'!$A$270&gt;35,GU110+GT111-HC110,IF(A111&lt;'Données projet'!$A$270,$GR$205^A111,IF(A111='Données projet'!$A$270,'Données projet'!$B$270,GU110+GT111-HC110)))</f>
        <v>311.2820512820515</v>
      </c>
      <c r="GV111" s="18">
        <f>GU111*VLOOKUP('Données projet'!$B$18,Paramètres!$A$1:$I$89,3,0)*VLOOKUP('Données projet'!$B$18,Paramètres!$A$1:$I$89,5,0)</f>
        <v>208.80800000000013</v>
      </c>
      <c r="GW111" s="14">
        <f t="shared" si="105"/>
        <v>51.675017474362051</v>
      </c>
      <c r="GX111" s="22">
        <f t="shared" si="82"/>
        <v>453.67458876784752</v>
      </c>
      <c r="GY111" s="62">
        <f t="shared" si="83"/>
        <v>739.40523332149053</v>
      </c>
      <c r="GZ111" s="62">
        <f ca="1">AVERAGE(OFFSET($GY$3,0,0,'Données projet'!$E$18+1,1))-AVERAGE(OFFSET($H$3,0,0,'Données projet'!$E$18+1,1))</f>
        <v>329.93956600482801</v>
      </c>
      <c r="HA111" s="62">
        <f t="shared" si="106"/>
        <v>268.69186630599165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2.7450000000000001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10.065</v>
      </c>
      <c r="H112" s="70">
        <f t="shared" si="56"/>
        <v>216.40666666666667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67.962509329155864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5.2</v>
      </c>
      <c r="N112" s="14">
        <f>IF('Données projet'!$A$36&gt;35,N111+M112-V111,IF(A112&lt;'Données projet'!$A$36,$K$205^A112,IF(A112='Données projet'!$A$36,'Données projet'!$B$36,N111+M112-V111)))</f>
        <v>407.7999999999999</v>
      </c>
      <c r="O112" s="14">
        <f>N112*VLOOKUP('Données projet'!$B$9,Paramètres!$A$1:$I$89,3,0)*VLOOKUP('Données projet'!$B$9,Paramètres!$A$1:$I$89,5,0)</f>
        <v>368.97743999999989</v>
      </c>
      <c r="P112" s="14">
        <f t="shared" si="87"/>
        <v>85.458073845884769</v>
      </c>
      <c r="Q112" s="22">
        <f t="shared" si="107"/>
        <v>791.47518661491574</v>
      </c>
      <c r="R112" s="62">
        <f t="shared" si="55"/>
        <v>1077.3377208218205</v>
      </c>
      <c r="S112" s="62">
        <f ca="1">AVERAGE(OFFSET($R$3,0,0,'Données projet'!$E$9+1,1))-AVERAGE(OFFSET($H$3,0,0,'Données projet'!$E$9+1,1))</f>
        <v>551.67307965706379</v>
      </c>
      <c r="T112" s="62">
        <f t="shared" si="88"/>
        <v>288.70738860523943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67.962509329155864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5.2</v>
      </c>
      <c r="AI112" s="14">
        <f>IF('Données projet'!$A$62&gt;35,AI111+AH112-AQ111,IF(A112&lt;'Données projet'!$A$62,$AF$205^A112,IF(A112='Données projet'!$A$62,'Données projet'!$B$62,AI111+AH112-AQ111)))</f>
        <v>407.7999999999999</v>
      </c>
      <c r="AJ112" s="14">
        <f>AI112*VLOOKUP('Données projet'!$B$10,Paramètres!$A$1:$I$89,3,0)*VLOOKUP('Données projet'!$B$10,Paramètres!$A$1:$I$89,5,0)</f>
        <v>343.53071999999997</v>
      </c>
      <c r="AK112" s="14">
        <f t="shared" si="89"/>
        <v>80.228976348669505</v>
      </c>
      <c r="AL112" s="22">
        <f t="shared" si="58"/>
        <v>738.0481378072659</v>
      </c>
      <c r="AM112" s="62">
        <f t="shared" si="59"/>
        <v>1023.9106720141708</v>
      </c>
      <c r="AN112" s="62">
        <f ca="1">AVERAGE(OFFSET($AM$3,0,0,'Données projet'!$E$10+1,1))-AVERAGE(OFFSET($H$3,0,0,'Données projet'!$E$10+1,1))</f>
        <v>518.18933270904506</v>
      </c>
      <c r="AO112" s="62">
        <f t="shared" si="90"/>
        <v>272.44431899810411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67.962509329155864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-9.7543306765146564E-14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464.73160475167867</v>
      </c>
      <c r="BJ112" s="62">
        <f t="shared" si="92"/>
        <v>241.31968359962227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67.962509329155864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2.2737367544323206E-13</v>
      </c>
      <c r="BZ112" s="14">
        <f>BY112*VLOOKUP('Données projet'!$B$12,Paramètres!$A$1:$I$89,3,0)*VLOOKUP('Données projet'!$B$12,Paramètres!$A$1:$I$89,5,0)</f>
        <v>1.4897523215040565E-13</v>
      </c>
      <c r="CA112" s="14">
        <f t="shared" si="93"/>
        <v>2.136562777003313E-12</v>
      </c>
      <c r="CB112" s="22">
        <f t="shared" si="64"/>
        <v>3.9806453659427267E-12</v>
      </c>
      <c r="CC112" s="62">
        <f t="shared" si="65"/>
        <v>285.86253420690883</v>
      </c>
      <c r="CD112" s="62">
        <f ca="1">AVERAGE(OFFSET($CC$3,0,0,'Données projet'!$E$12+1,1))-AVERAGE(OFFSET($H$3,0,0,'Données projet'!$E$12+1,1))</f>
        <v>292.13851489852607</v>
      </c>
      <c r="CE112" s="62">
        <f t="shared" si="94"/>
        <v>280.10866188737418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67.962509329155864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-1.1368683772161603E-13</v>
      </c>
      <c r="CU112" s="18">
        <f>CT112*VLOOKUP('Données projet'!$B$13,Paramètres!$A$1:$I$89,3,0)*VLOOKUP('Données projet'!$B$13,Paramètres!$A$1:$I$89,5,0)</f>
        <v>-9.2222762759774927E-14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265.25572936607409</v>
      </c>
      <c r="CZ112" s="62">
        <f t="shared" si="96"/>
        <v>307.96244316129071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67.962509329155864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3.3974358974359005</v>
      </c>
      <c r="DO112" s="13">
        <f>IF('Données projet'!$A$166&gt;35,DO111+DN112-DW111,IF(A112&lt;'Données projet'!$A$166,$DL$205^A112,IF(A112='Données projet'!$A$166,'Données projet'!$B$166,DO111+DN112-DW111)))</f>
        <v>288.91025641025652</v>
      </c>
      <c r="DP112" s="18">
        <f>DO112*VLOOKUP('Données projet'!$B$14,Paramètres!$A$1:$I$89,3,0)*VLOOKUP('Données projet'!$B$14,Paramètres!$A$1:$I$89,5,0)</f>
        <v>274.92700000000013</v>
      </c>
      <c r="DQ112" s="14">
        <f t="shared" si="97"/>
        <v>65.893799998961399</v>
      </c>
      <c r="DR112" s="22">
        <f t="shared" si="70"/>
        <v>593.59622666485791</v>
      </c>
      <c r="DS112" s="62">
        <f t="shared" si="71"/>
        <v>879.45876087176271</v>
      </c>
      <c r="DT112" s="62">
        <f ca="1">AVERAGE(OFFSET($DS$3,0,0,'Données projet'!$E$14+1,1))-AVERAGE(OFFSET($H$3,0,0,'Données projet'!$E$14+1,1))</f>
        <v>425.41154182732936</v>
      </c>
      <c r="DU112" s="62">
        <f t="shared" si="98"/>
        <v>306.44721925744591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67.962509329155864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-5.6843418860808015E-14</v>
      </c>
      <c r="EK112" s="18">
        <f>EJ112*VLOOKUP('Données projet'!$B$15,Paramètres!$A$1:$I$89,3,0)*VLOOKUP('Données projet'!$B$15,Paramètres!$A$1:$I$89,5,0)</f>
        <v>-4.1677594708744434E-14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357.57626046668958</v>
      </c>
      <c r="EP112" s="62">
        <f t="shared" si="100"/>
        <v>386.90439522046199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67.962509329155864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1.1368683772161603E-13</v>
      </c>
      <c r="FF112" s="18">
        <f>FE112*VLOOKUP('Données projet'!$B$16,Paramètres!$A$1:$I$89,3,0)*VLOOKUP('Données projet'!$B$16,Paramètres!$A$1:$I$89,5,0)</f>
        <v>8.8675733422860506E-14</v>
      </c>
      <c r="FG112" s="14">
        <f t="shared" si="101"/>
        <v>1.3509285393066301E-12</v>
      </c>
      <c r="FH112" s="22">
        <f t="shared" si="76"/>
        <v>2.5073107750038623E-12</v>
      </c>
      <c r="FI112" s="62">
        <f t="shared" si="77"/>
        <v>285.86253420690736</v>
      </c>
      <c r="FJ112" s="62">
        <f ca="1">AVERAGE(OFFSET($FI$3,0,0,'Données projet'!$E$16+1,1))-AVERAGE(OFFSET($H$3,0,0,'Données projet'!$E$16+1,1))</f>
        <v>303.56663121833833</v>
      </c>
      <c r="FK112" s="62">
        <f t="shared" si="102"/>
        <v>293.97736357938038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67.962509329155864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-5.6843418860808015E-14</v>
      </c>
      <c r="GA112" s="18">
        <f>FZ112*VLOOKUP('Données projet'!$B$17,Paramètres!$A$1:$I$89,3,0)*VLOOKUP('Données projet'!$B$17,Paramètres!$A$1:$I$89,5,0)</f>
        <v>-4.5224624045658861E-14</v>
      </c>
      <c r="GB112" s="14" t="e">
        <f t="shared" si="103"/>
        <v>#NUM!</v>
      </c>
      <c r="GC112" s="22" t="e">
        <f t="shared" si="79"/>
        <v>#NUM!</v>
      </c>
      <c r="GD112" s="62" t="e">
        <f t="shared" si="80"/>
        <v>#NUM!</v>
      </c>
      <c r="GE112" s="62">
        <f ca="1">AVERAGE(OFFSET($GD$3,0,0,'Données projet'!$E$17+1,1))-AVERAGE(OFFSET($H$3,0,0,'Données projet'!$E$17+1,1))</f>
        <v>383.71724511025587</v>
      </c>
      <c r="GF112" s="62">
        <f t="shared" si="104"/>
        <v>415.10774719533185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67.962509329155864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3.333333333333337</v>
      </c>
      <c r="GU112" s="13">
        <f>IF('Données projet'!$A$270&gt;35,GU111+GT112-HC111,IF(A112&lt;'Données projet'!$A$270,$GR$205^A112,IF(A112='Données projet'!$A$270,'Données projet'!$B$270,GU111+GT112-HC111)))</f>
        <v>314.61538461538481</v>
      </c>
      <c r="GV112" s="18">
        <f>GU112*VLOOKUP('Données projet'!$B$18,Paramètres!$A$1:$I$89,3,0)*VLOOKUP('Données projet'!$B$18,Paramètres!$A$1:$I$89,5,0)</f>
        <v>211.04400000000015</v>
      </c>
      <c r="GW112" s="14">
        <f t="shared" si="105"/>
        <v>52.163660077304868</v>
      </c>
      <c r="GX112" s="22">
        <f t="shared" si="82"/>
        <v>458.42000796797294</v>
      </c>
      <c r="GY112" s="62">
        <f t="shared" si="83"/>
        <v>744.28254217487779</v>
      </c>
      <c r="GZ112" s="62">
        <f ca="1">AVERAGE(OFFSET($GY$3,0,0,'Données projet'!$E$18+1,1))-AVERAGE(OFFSET($H$3,0,0,'Données projet'!$E$18+1,1))</f>
        <v>329.93956600482801</v>
      </c>
      <c r="HA112" s="62">
        <f t="shared" si="106"/>
        <v>268.69186630599165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2.7450000000000001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10.065</v>
      </c>
      <c r="H113" s="70">
        <f t="shared" si="56"/>
        <v>216.40666666666667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67.997855237148286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413</v>
      </c>
      <c r="L113" s="13">
        <f>VLOOKUP(A113,'Données projet'!$A$35:$I$55,9,0)</f>
        <v>5.2</v>
      </c>
      <c r="M113" s="13">
        <f t="array" ref="M113">INDEX(L:L,MIN(IF(ISNUMBER(L113:L309),ROW(L113:L309),"")))</f>
        <v>5.2</v>
      </c>
      <c r="N113" s="14">
        <f>IF('Données projet'!$A$36&gt;35,N112+M113-V112,IF(A113&lt;'Données projet'!$A$36,$K$205^A113,IF(A113='Données projet'!$A$36,'Données projet'!$B$36,N112+M113-V112)))</f>
        <v>412.99999999999989</v>
      </c>
      <c r="O113" s="14">
        <f>N113*VLOOKUP('Données projet'!$B$9,Paramètres!$A$1:$I$89,3,0)*VLOOKUP('Données projet'!$B$9,Paramètres!$A$1:$I$89,5,0)</f>
        <v>373.68239999999986</v>
      </c>
      <c r="P113" s="14">
        <f t="shared" si="87"/>
        <v>86.420226600704183</v>
      </c>
      <c r="Q113" s="22">
        <f t="shared" si="107"/>
        <v>801.34540799622619</v>
      </c>
      <c r="R113" s="62">
        <f t="shared" si="55"/>
        <v>1087.3375438657699</v>
      </c>
      <c r="S113" s="62">
        <f ca="1">AVERAGE(OFFSET($R$3,0,0,'Données projet'!$E$9+1,1))-AVERAGE(OFFSET($H$3,0,0,'Données projet'!$E$9+1,1))</f>
        <v>551.67307965706379</v>
      </c>
      <c r="T113" s="62">
        <f t="shared" si="88"/>
        <v>288.70738860523943</v>
      </c>
      <c r="U113" s="16">
        <f>IF(ISNA(VLOOKUP(A113,'Données projet'!$A$35:$I$55,3,0)),0,VLOOKUP(A113,'Données projet'!$A$35:$I$55,3,0))</f>
        <v>8</v>
      </c>
      <c r="V113" s="16">
        <f>IF(ISNA(VLOOKUP(A113,'Données projet'!$A$35:$I$55,4,0)),0,VLOOKUP(A113,'Données projet'!$A$35:$I$55,4,0))</f>
        <v>106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67.997855237148286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413</v>
      </c>
      <c r="AG113" s="13">
        <f>VLOOKUP(A113,'Données projet'!$A$61:$I$81,9,0)</f>
        <v>5.2</v>
      </c>
      <c r="AH113" s="13">
        <f t="array" ref="AH113">INDEX(AG:AG,MIN(IF(ISNUMBER(AG113:AG309),ROW(AG113:AG309),"")))</f>
        <v>5.2</v>
      </c>
      <c r="AI113" s="14">
        <f>IF('Données projet'!$A$62&gt;35,AI112+AH113-AQ112,IF(A113&lt;'Données projet'!$A$62,$AF$205^A113,IF(A113='Données projet'!$A$62,'Données projet'!$B$62,AI112+AH113-AQ112)))</f>
        <v>412.99999999999989</v>
      </c>
      <c r="AJ113" s="14">
        <f>AI113*VLOOKUP('Données projet'!$B$10,Paramètres!$A$1:$I$89,3,0)*VLOOKUP('Données projet'!$B$10,Paramètres!$A$1:$I$89,5,0)</f>
        <v>347.91119999999995</v>
      </c>
      <c r="AK113" s="14">
        <f t="shared" si="89"/>
        <v>81.132255900106884</v>
      </c>
      <c r="AL113" s="22">
        <f t="shared" si="58"/>
        <v>747.25068569268603</v>
      </c>
      <c r="AM113" s="62">
        <f t="shared" si="59"/>
        <v>1033.2428215622297</v>
      </c>
      <c r="AN113" s="62">
        <f ca="1">AVERAGE(OFFSET($AM$3,0,0,'Données projet'!$E$10+1,1))-AVERAGE(OFFSET($H$3,0,0,'Données projet'!$E$10+1,1))</f>
        <v>518.18933270904506</v>
      </c>
      <c r="AO113" s="62">
        <f t="shared" si="90"/>
        <v>272.44431899810411</v>
      </c>
      <c r="AP113" s="16">
        <f>IF(ISNA(VLOOKUP(A113,'Données projet'!$A$61:$I$81,3,0)),0,VLOOKUP(A113,'Données projet'!$A$61:$I$81,3,0))</f>
        <v>8</v>
      </c>
      <c r="AQ113" s="16">
        <f>IF(ISNA(VLOOKUP(A113,'Données projet'!$A$61:$I$81,4,0)),0,VLOOKUP(A113,'Données projet'!$A$61:$I$81,4,0))</f>
        <v>106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67.997855237148286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-9.7543306765146564E-14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464.73160475167867</v>
      </c>
      <c r="BJ113" s="62">
        <f t="shared" si="92"/>
        <v>241.31968359962227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67.997855237148286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2.2737367544323206E-13</v>
      </c>
      <c r="BZ113" s="14">
        <f>BY113*VLOOKUP('Données projet'!$B$12,Paramètres!$A$1:$I$89,3,0)*VLOOKUP('Données projet'!$B$12,Paramètres!$A$1:$I$89,5,0)</f>
        <v>1.4897523215040565E-13</v>
      </c>
      <c r="CA113" s="14">
        <f t="shared" si="93"/>
        <v>2.136562777003313E-12</v>
      </c>
      <c r="CB113" s="22">
        <f t="shared" si="64"/>
        <v>3.9806453659427267E-12</v>
      </c>
      <c r="CC113" s="62">
        <f t="shared" si="65"/>
        <v>285.99213586954767</v>
      </c>
      <c r="CD113" s="62">
        <f ca="1">AVERAGE(OFFSET($CC$3,0,0,'Données projet'!$E$12+1,1))-AVERAGE(OFFSET($H$3,0,0,'Données projet'!$E$12+1,1))</f>
        <v>292.13851489852607</v>
      </c>
      <c r="CE113" s="62">
        <f t="shared" si="94"/>
        <v>280.10866188737418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67.997855237148286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-1.1368683772161603E-13</v>
      </c>
      <c r="CU113" s="18">
        <f>CT113*VLOOKUP('Données projet'!$B$13,Paramètres!$A$1:$I$89,3,0)*VLOOKUP('Données projet'!$B$13,Paramètres!$A$1:$I$89,5,0)</f>
        <v>-9.2222762759774927E-14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265.25572936607409</v>
      </c>
      <c r="CZ113" s="62">
        <f t="shared" si="96"/>
        <v>307.96244316129071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67.997855237148286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292.30769230769232</v>
      </c>
      <c r="DM113" s="13">
        <f>VLOOKUP(A113,'Données projet'!$A$165:$I$185,9,0)</f>
        <v>3.3974358974359005</v>
      </c>
      <c r="DN113" s="13">
        <f t="array" ref="DN113">INDEX(DM:DM,MIN(IF(ISNUMBER(DM113:DM309),ROW(DM113:DM309),"")))</f>
        <v>3.3974358974359005</v>
      </c>
      <c r="DO113" s="13">
        <f>IF('Données projet'!$A$166&gt;35,DO112+DN113-DW112,IF(A113&lt;'Données projet'!$A$166,$DL$205^A113,IF(A113='Données projet'!$A$166,'Données projet'!$B$166,DO112+DN113-DW112)))</f>
        <v>292.30769230769243</v>
      </c>
      <c r="DP113" s="18">
        <f>DO113*VLOOKUP('Données projet'!$B$14,Paramètres!$A$1:$I$89,3,0)*VLOOKUP('Données projet'!$B$14,Paramètres!$A$1:$I$89,5,0)</f>
        <v>278.16000000000014</v>
      </c>
      <c r="DQ113" s="14">
        <f t="shared" si="97"/>
        <v>66.578014905913179</v>
      </c>
      <c r="DR113" s="22">
        <f t="shared" si="70"/>
        <v>600.41870929446566</v>
      </c>
      <c r="DS113" s="62">
        <f t="shared" si="71"/>
        <v>886.41084516400929</v>
      </c>
      <c r="DT113" s="62">
        <f ca="1">AVERAGE(OFFSET($DS$3,0,0,'Données projet'!$E$14+1,1))-AVERAGE(OFFSET($H$3,0,0,'Données projet'!$E$14+1,1))</f>
        <v>425.41154182732936</v>
      </c>
      <c r="DU113" s="62">
        <f t="shared" si="98"/>
        <v>306.44721925744591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37.820512820512818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67.997855237148286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-5.6843418860808015E-14</v>
      </c>
      <c r="EK113" s="18">
        <f>EJ113*VLOOKUP('Données projet'!$B$15,Paramètres!$A$1:$I$89,3,0)*VLOOKUP('Données projet'!$B$15,Paramètres!$A$1:$I$89,5,0)</f>
        <v>-4.1677594708744434E-14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357.57626046668958</v>
      </c>
      <c r="EP113" s="62">
        <f t="shared" si="100"/>
        <v>386.90439522046199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67.997855237148286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1.1368683772161603E-13</v>
      </c>
      <c r="FF113" s="18">
        <f>FE113*VLOOKUP('Données projet'!$B$16,Paramètres!$A$1:$I$89,3,0)*VLOOKUP('Données projet'!$B$16,Paramètres!$A$1:$I$89,5,0)</f>
        <v>8.8675733422860506E-14</v>
      </c>
      <c r="FG113" s="14">
        <f t="shared" si="101"/>
        <v>1.3509285393066301E-12</v>
      </c>
      <c r="FH113" s="22">
        <f t="shared" si="76"/>
        <v>2.5073107750038623E-12</v>
      </c>
      <c r="FI113" s="62">
        <f t="shared" si="77"/>
        <v>285.99213586954619</v>
      </c>
      <c r="FJ113" s="62">
        <f ca="1">AVERAGE(OFFSET($FI$3,0,0,'Données projet'!$E$16+1,1))-AVERAGE(OFFSET($H$3,0,0,'Données projet'!$E$16+1,1))</f>
        <v>303.56663121833833</v>
      </c>
      <c r="FK113" s="62">
        <f t="shared" si="102"/>
        <v>293.97736357938038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67.997855237148286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-5.6843418860808015E-14</v>
      </c>
      <c r="GA113" s="18">
        <f>FZ113*VLOOKUP('Données projet'!$B$17,Paramètres!$A$1:$I$89,3,0)*VLOOKUP('Données projet'!$B$17,Paramètres!$A$1:$I$89,5,0)</f>
        <v>-4.5224624045658861E-14</v>
      </c>
      <c r="GB113" s="14" t="e">
        <f t="shared" si="103"/>
        <v>#NUM!</v>
      </c>
      <c r="GC113" s="22" t="e">
        <f t="shared" si="79"/>
        <v>#NUM!</v>
      </c>
      <c r="GD113" s="62" t="e">
        <f t="shared" si="80"/>
        <v>#NUM!</v>
      </c>
      <c r="GE113" s="62">
        <f ca="1">AVERAGE(OFFSET($GD$3,0,0,'Données projet'!$E$17+1,1))-AVERAGE(OFFSET($H$3,0,0,'Données projet'!$E$17+1,1))</f>
        <v>383.71724511025587</v>
      </c>
      <c r="GF113" s="62">
        <f t="shared" si="104"/>
        <v>415.10774719533185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67.997855237148286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>
        <f>VLOOKUP(A113,'Données projet'!$A$269:$I$289,2,0)</f>
        <v>317.94871794871796</v>
      </c>
      <c r="GS113" s="13">
        <f>VLOOKUP(A113,'Données projet'!$A$269:$I$289,9,0)</f>
        <v>3.333333333333337</v>
      </c>
      <c r="GT113" s="13">
        <f t="array" ref="GT113">INDEX(GS:GS,MIN(IF(ISNUMBER(GS113:GS309),ROW(GS113:GS309),"")))</f>
        <v>3.333333333333337</v>
      </c>
      <c r="GU113" s="13">
        <f>IF('Données projet'!$A$270&gt;35,GU112+GT113-HC112,IF(A113&lt;'Données projet'!$A$270,$GR$205^A113,IF(A113='Données projet'!$A$270,'Données projet'!$B$270,GU112+GT113-HC112)))</f>
        <v>317.94871794871813</v>
      </c>
      <c r="GV113" s="18">
        <f>GU113*VLOOKUP('Données projet'!$B$18,Paramètres!$A$1:$I$89,3,0)*VLOOKUP('Données projet'!$B$18,Paramètres!$A$1:$I$89,5,0)</f>
        <v>213.28000000000011</v>
      </c>
      <c r="GW113" s="14">
        <f t="shared" si="105"/>
        <v>52.651700420383257</v>
      </c>
      <c r="GX113" s="22">
        <f t="shared" si="82"/>
        <v>463.16437823216773</v>
      </c>
      <c r="GY113" s="62">
        <f t="shared" si="83"/>
        <v>749.15651410171142</v>
      </c>
      <c r="GZ113" s="62">
        <f ca="1">AVERAGE(OFFSET($GY$3,0,0,'Données projet'!$E$18+1,1))-AVERAGE(OFFSET($H$3,0,0,'Données projet'!$E$18+1,1))</f>
        <v>329.93956600482801</v>
      </c>
      <c r="HA113" s="62">
        <f t="shared" si="106"/>
        <v>268.69186630599165</v>
      </c>
      <c r="HB113" s="16">
        <f>IF(ISNA(VLOOKUP(A113,'Données projet'!$A$269:$I$289,3,0)),0,VLOOKUP(A113,'Données projet'!$A$269:$I$289,3,0))</f>
        <v>10</v>
      </c>
      <c r="HC113" s="16">
        <f>IF(ISNA(VLOOKUP(A113,'Données projet'!$A$269:$I$289,4,0)),0,VLOOKUP(A113,'Données projet'!$A$269:$I$289,4,0))</f>
        <v>317.94871794871796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2.7450000000000001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10.065</v>
      </c>
      <c r="H114" s="70">
        <f t="shared" si="56"/>
        <v>216.40666666666667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68.032587972658632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311.49999999999989</v>
      </c>
      <c r="O114" s="14">
        <f>N114*VLOOKUP('Données projet'!$B$9,Paramètres!$A$1:$I$89,3,0)*VLOOKUP('Données projet'!$B$9,Paramètres!$A$1:$I$89,5,0)</f>
        <v>281.84519999999992</v>
      </c>
      <c r="P114" s="14">
        <f t="shared" si="87"/>
        <v>67.356803491560484</v>
      </c>
      <c r="Q114" s="22">
        <f t="shared" si="107"/>
        <v>608.19348941446765</v>
      </c>
      <c r="R114" s="62">
        <f t="shared" si="55"/>
        <v>894.31297864754924</v>
      </c>
      <c r="S114" s="62">
        <f ca="1">AVERAGE(OFFSET($R$3,0,0,'Données projet'!$E$9+1,1))-AVERAGE(OFFSET($H$3,0,0,'Données projet'!$E$9+1,1))</f>
        <v>551.67307965706379</v>
      </c>
      <c r="T114" s="62">
        <f t="shared" si="88"/>
        <v>288.70738860523943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68.032587972658632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</v>
      </c>
      <c r="AI114" s="14">
        <f>IF('Données projet'!$A$62&gt;35,AI113+AH114-AQ113,IF(A114&lt;'Données projet'!$A$62,$AF$205^A114,IF(A114='Données projet'!$A$62,'Données projet'!$B$62,AI113+AH114-AQ113)))</f>
        <v>311.49999999999989</v>
      </c>
      <c r="AJ114" s="14">
        <f>AI114*VLOOKUP('Données projet'!$B$10,Paramètres!$A$1:$I$89,3,0)*VLOOKUP('Données projet'!$B$10,Paramètres!$A$1:$I$89,5,0)</f>
        <v>262.40759999999995</v>
      </c>
      <c r="AK114" s="14">
        <f t="shared" si="89"/>
        <v>63.23530534975442</v>
      </c>
      <c r="AL114" s="22">
        <f t="shared" si="58"/>
        <v>567.16139348415538</v>
      </c>
      <c r="AM114" s="62">
        <f t="shared" si="59"/>
        <v>853.28088271723709</v>
      </c>
      <c r="AN114" s="62">
        <f ca="1">AVERAGE(OFFSET($AM$3,0,0,'Données projet'!$E$10+1,1))-AVERAGE(OFFSET($H$3,0,0,'Données projet'!$E$10+1,1))</f>
        <v>518.18933270904506</v>
      </c>
      <c r="AO114" s="62">
        <f t="shared" si="90"/>
        <v>272.44431899810411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68.032587972658632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-9.7543306765146564E-14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464.73160475167867</v>
      </c>
      <c r="BJ114" s="62">
        <f t="shared" si="92"/>
        <v>241.31968359962227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68.032587972658632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2.2737367544323206E-13</v>
      </c>
      <c r="BZ114" s="14">
        <f>BY114*VLOOKUP('Données projet'!$B$12,Paramètres!$A$1:$I$89,3,0)*VLOOKUP('Données projet'!$B$12,Paramètres!$A$1:$I$89,5,0)</f>
        <v>1.4897523215040565E-13</v>
      </c>
      <c r="CA114" s="14">
        <f t="shared" si="93"/>
        <v>2.136562777003313E-12</v>
      </c>
      <c r="CB114" s="22">
        <f t="shared" si="64"/>
        <v>3.9806453659427267E-12</v>
      </c>
      <c r="CC114" s="62">
        <f t="shared" si="65"/>
        <v>286.11948923308563</v>
      </c>
      <c r="CD114" s="62">
        <f ca="1">AVERAGE(OFFSET($CC$3,0,0,'Données projet'!$E$12+1,1))-AVERAGE(OFFSET($H$3,0,0,'Données projet'!$E$12+1,1))</f>
        <v>292.13851489852607</v>
      </c>
      <c r="CE114" s="62">
        <f t="shared" si="94"/>
        <v>280.10866188737418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68.032587972658632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-1.1368683772161603E-13</v>
      </c>
      <c r="CU114" s="18">
        <f>CT114*VLOOKUP('Données projet'!$B$13,Paramètres!$A$1:$I$89,3,0)*VLOOKUP('Données projet'!$B$13,Paramètres!$A$1:$I$89,5,0)</f>
        <v>-9.2222762759774927E-14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265.25572936607409</v>
      </c>
      <c r="CZ114" s="62">
        <f t="shared" si="96"/>
        <v>307.96244316129071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68.032587972658632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3.141025641025641</v>
      </c>
      <c r="DO114" s="13">
        <f>IF('Données projet'!$A$166&gt;35,DO113+DN114-DW113,IF(A114&lt;'Données projet'!$A$166,$DL$205^A114,IF(A114='Données projet'!$A$166,'Données projet'!$B$166,DO113+DN114-DW113)))</f>
        <v>257.62820512820525</v>
      </c>
      <c r="DP114" s="18">
        <f>DO114*VLOOKUP('Données projet'!$B$14,Paramètres!$A$1:$I$89,3,0)*VLOOKUP('Données projet'!$B$14,Paramètres!$A$1:$I$89,5,0)</f>
        <v>245.15900000000013</v>
      </c>
      <c r="DQ114" s="14">
        <f t="shared" si="97"/>
        <v>59.548136793550292</v>
      </c>
      <c r="DR114" s="22">
        <f t="shared" si="70"/>
        <v>530.69826324876692</v>
      </c>
      <c r="DS114" s="62">
        <f t="shared" si="71"/>
        <v>816.81775248184863</v>
      </c>
      <c r="DT114" s="62">
        <f ca="1">AVERAGE(OFFSET($DS$3,0,0,'Données projet'!$E$14+1,1))-AVERAGE(OFFSET($H$3,0,0,'Données projet'!$E$14+1,1))</f>
        <v>425.41154182732936</v>
      </c>
      <c r="DU114" s="62">
        <f t="shared" si="98"/>
        <v>306.44721925744591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68.032587972658632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-5.6843418860808015E-14</v>
      </c>
      <c r="EK114" s="18">
        <f>EJ114*VLOOKUP('Données projet'!$B$15,Paramètres!$A$1:$I$89,3,0)*VLOOKUP('Données projet'!$B$15,Paramètres!$A$1:$I$89,5,0)</f>
        <v>-4.1677594708744434E-14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357.57626046668958</v>
      </c>
      <c r="EP114" s="62">
        <f t="shared" si="100"/>
        <v>386.90439522046199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68.032587972658632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1.1368683772161603E-13</v>
      </c>
      <c r="FF114" s="18">
        <f>FE114*VLOOKUP('Données projet'!$B$16,Paramètres!$A$1:$I$89,3,0)*VLOOKUP('Données projet'!$B$16,Paramètres!$A$1:$I$89,5,0)</f>
        <v>8.8675733422860506E-14</v>
      </c>
      <c r="FG114" s="14">
        <f t="shared" si="101"/>
        <v>1.3509285393066301E-12</v>
      </c>
      <c r="FH114" s="22">
        <f t="shared" si="76"/>
        <v>2.5073107750038623E-12</v>
      </c>
      <c r="FI114" s="62">
        <f t="shared" si="77"/>
        <v>286.11948923308415</v>
      </c>
      <c r="FJ114" s="62">
        <f ca="1">AVERAGE(OFFSET($FI$3,0,0,'Données projet'!$E$16+1,1))-AVERAGE(OFFSET($H$3,0,0,'Données projet'!$E$16+1,1))</f>
        <v>303.56663121833833</v>
      </c>
      <c r="FK114" s="62">
        <f t="shared" si="102"/>
        <v>293.97736357938038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68.032587972658632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-5.6843418860808015E-14</v>
      </c>
      <c r="GA114" s="18">
        <f>FZ114*VLOOKUP('Données projet'!$B$17,Paramètres!$A$1:$I$89,3,0)*VLOOKUP('Données projet'!$B$17,Paramètres!$A$1:$I$89,5,0)</f>
        <v>-4.5224624045658861E-14</v>
      </c>
      <c r="GB114" s="14" t="e">
        <f t="shared" si="103"/>
        <v>#NUM!</v>
      </c>
      <c r="GC114" s="22" t="e">
        <f t="shared" si="79"/>
        <v>#NUM!</v>
      </c>
      <c r="GD114" s="62" t="e">
        <f t="shared" si="80"/>
        <v>#NUM!</v>
      </c>
      <c r="GE114" s="62">
        <f ca="1">AVERAGE(OFFSET($GD$3,0,0,'Données projet'!$E$17+1,1))-AVERAGE(OFFSET($H$3,0,0,'Données projet'!$E$17+1,1))</f>
        <v>383.71724511025587</v>
      </c>
      <c r="GF114" s="62">
        <f t="shared" si="104"/>
        <v>415.10774719533185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68.032587972658632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1.7053025658242404E-13</v>
      </c>
      <c r="GV114" s="18">
        <f>GU114*VLOOKUP('Données projet'!$B$18,Paramètres!$A$1:$I$89,3,0)*VLOOKUP('Données projet'!$B$18,Paramètres!$A$1:$I$89,5,0)</f>
        <v>1.1439169611549005E-13</v>
      </c>
      <c r="GW114" s="14">
        <f t="shared" si="105"/>
        <v>1.6918016515029816E-12</v>
      </c>
      <c r="GX114" s="22">
        <f t="shared" si="82"/>
        <v>3.1457867471021712E-12</v>
      </c>
      <c r="GY114" s="62">
        <f t="shared" si="83"/>
        <v>286.11948923308478</v>
      </c>
      <c r="GZ114" s="62">
        <f ca="1">AVERAGE(OFFSET($GY$3,0,0,'Données projet'!$E$18+1,1))-AVERAGE(OFFSET($H$3,0,0,'Données projet'!$E$18+1,1))</f>
        <v>329.93956600482801</v>
      </c>
      <c r="HA114" s="62">
        <f t="shared" si="106"/>
        <v>268.69186630599165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2.7450000000000001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10.065</v>
      </c>
      <c r="H115" s="70">
        <f t="shared" si="56"/>
        <v>216.40666666666667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68.066718172858657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315.99999999999989</v>
      </c>
      <c r="O115" s="14">
        <f>N115*VLOOKUP('Données projet'!$B$9,Paramètres!$A$1:$I$89,3,0)*VLOOKUP('Données projet'!$B$9,Paramètres!$A$1:$I$89,5,0)</f>
        <v>285.91679999999985</v>
      </c>
      <c r="P115" s="14">
        <f t="shared" si="87"/>
        <v>68.215872977287475</v>
      </c>
      <c r="Q115" s="22">
        <f t="shared" si="107"/>
        <v>616.78107210210862</v>
      </c>
      <c r="R115" s="62">
        <f t="shared" si="55"/>
        <v>903.02570540259035</v>
      </c>
      <c r="S115" s="62">
        <f ca="1">AVERAGE(OFFSET($R$3,0,0,'Données projet'!$E$9+1,1))-AVERAGE(OFFSET($H$3,0,0,'Données projet'!$E$9+1,1))</f>
        <v>551.67307965706379</v>
      </c>
      <c r="T115" s="62">
        <f t="shared" si="88"/>
        <v>288.70738860523943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68.066718172858657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</v>
      </c>
      <c r="AI115" s="14">
        <f>IF('Données projet'!$A$62&gt;35,AI114+AH115-AQ114,IF(A115&lt;'Données projet'!$A$62,$AF$205^A115,IF(A115='Données projet'!$A$62,'Données projet'!$B$62,AI114+AH115-AQ114)))</f>
        <v>315.99999999999989</v>
      </c>
      <c r="AJ115" s="14">
        <f>AI115*VLOOKUP('Données projet'!$B$10,Paramètres!$A$1:$I$89,3,0)*VLOOKUP('Données projet'!$B$10,Paramètres!$A$1:$I$89,5,0)</f>
        <v>266.19839999999994</v>
      </c>
      <c r="AK115" s="14">
        <f t="shared" si="89"/>
        <v>64.041809198373215</v>
      </c>
      <c r="AL115" s="22">
        <f t="shared" si="58"/>
        <v>575.16836435383323</v>
      </c>
      <c r="AM115" s="62">
        <f t="shared" si="59"/>
        <v>861.41299765431495</v>
      </c>
      <c r="AN115" s="62">
        <f ca="1">AVERAGE(OFFSET($AM$3,0,0,'Données projet'!$E$10+1,1))-AVERAGE(OFFSET($H$3,0,0,'Données projet'!$E$10+1,1))</f>
        <v>518.18933270904506</v>
      </c>
      <c r="AO115" s="62">
        <f t="shared" si="90"/>
        <v>272.44431899810411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68.066718172858657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-9.7543306765146564E-14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464.73160475167867</v>
      </c>
      <c r="BJ115" s="62">
        <f t="shared" si="92"/>
        <v>241.31968359962227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68.066718172858657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2.2737367544323206E-13</v>
      </c>
      <c r="BZ115" s="14">
        <f>BY115*VLOOKUP('Données projet'!$B$12,Paramètres!$A$1:$I$89,3,0)*VLOOKUP('Données projet'!$B$12,Paramètres!$A$1:$I$89,5,0)</f>
        <v>1.4897523215040565E-13</v>
      </c>
      <c r="CA115" s="14">
        <f t="shared" si="93"/>
        <v>2.136562777003313E-12</v>
      </c>
      <c r="CB115" s="22">
        <f t="shared" si="64"/>
        <v>3.9806453659427267E-12</v>
      </c>
      <c r="CC115" s="62">
        <f t="shared" si="65"/>
        <v>286.24463330048576</v>
      </c>
      <c r="CD115" s="62">
        <f ca="1">AVERAGE(OFFSET($CC$3,0,0,'Données projet'!$E$12+1,1))-AVERAGE(OFFSET($H$3,0,0,'Données projet'!$E$12+1,1))</f>
        <v>292.13851489852607</v>
      </c>
      <c r="CE115" s="62">
        <f t="shared" si="94"/>
        <v>280.10866188737418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68.066718172858657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-1.1368683772161603E-13</v>
      </c>
      <c r="CU115" s="18">
        <f>CT115*VLOOKUP('Données projet'!$B$13,Paramètres!$A$1:$I$89,3,0)*VLOOKUP('Données projet'!$B$13,Paramètres!$A$1:$I$89,5,0)</f>
        <v>-9.2222762759774927E-14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265.25572936607409</v>
      </c>
      <c r="CZ115" s="62">
        <f t="shared" si="96"/>
        <v>307.96244316129071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68.066718172858657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3.141025641025641</v>
      </c>
      <c r="DO115" s="13">
        <f>IF('Données projet'!$A$166&gt;35,DO114+DN115-DW114,IF(A115&lt;'Données projet'!$A$166,$DL$205^A115,IF(A115='Données projet'!$A$166,'Données projet'!$B$166,DO114+DN115-DW114)))</f>
        <v>260.76923076923089</v>
      </c>
      <c r="DP115" s="18">
        <f>DO115*VLOOKUP('Données projet'!$B$14,Paramètres!$A$1:$I$89,3,0)*VLOOKUP('Données projet'!$B$14,Paramètres!$A$1:$I$89,5,0)</f>
        <v>248.14800000000011</v>
      </c>
      <c r="DQ115" s="14">
        <f t="shared" si="97"/>
        <v>60.189191470108021</v>
      </c>
      <c r="DR115" s="22">
        <f t="shared" si="70"/>
        <v>537.02060847710493</v>
      </c>
      <c r="DS115" s="62">
        <f t="shared" si="71"/>
        <v>823.26524177758665</v>
      </c>
      <c r="DT115" s="62">
        <f ca="1">AVERAGE(OFFSET($DS$3,0,0,'Données projet'!$E$14+1,1))-AVERAGE(OFFSET($H$3,0,0,'Données projet'!$E$14+1,1))</f>
        <v>425.41154182732936</v>
      </c>
      <c r="DU115" s="62">
        <f t="shared" si="98"/>
        <v>306.44721925744591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68.066718172858657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-5.6843418860808015E-14</v>
      </c>
      <c r="EK115" s="18">
        <f>EJ115*VLOOKUP('Données projet'!$B$15,Paramètres!$A$1:$I$89,3,0)*VLOOKUP('Données projet'!$B$15,Paramètres!$A$1:$I$89,5,0)</f>
        <v>-4.1677594708744434E-14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357.57626046668958</v>
      </c>
      <c r="EP115" s="62">
        <f t="shared" si="100"/>
        <v>386.90439522046199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68.066718172858657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1.1368683772161603E-13</v>
      </c>
      <c r="FF115" s="18">
        <f>FE115*VLOOKUP('Données projet'!$B$16,Paramètres!$A$1:$I$89,3,0)*VLOOKUP('Données projet'!$B$16,Paramètres!$A$1:$I$89,5,0)</f>
        <v>8.8675733422860506E-14</v>
      </c>
      <c r="FG115" s="14">
        <f t="shared" si="101"/>
        <v>1.3509285393066301E-12</v>
      </c>
      <c r="FH115" s="22">
        <f t="shared" si="76"/>
        <v>2.5073107750038623E-12</v>
      </c>
      <c r="FI115" s="62">
        <f t="shared" si="77"/>
        <v>286.24463330048428</v>
      </c>
      <c r="FJ115" s="62">
        <f ca="1">AVERAGE(OFFSET($FI$3,0,0,'Données projet'!$E$16+1,1))-AVERAGE(OFFSET($H$3,0,0,'Données projet'!$E$16+1,1))</f>
        <v>303.56663121833833</v>
      </c>
      <c r="FK115" s="62">
        <f t="shared" si="102"/>
        <v>293.97736357938038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68.066718172858657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-5.6843418860808015E-14</v>
      </c>
      <c r="GA115" s="18">
        <f>FZ115*VLOOKUP('Données projet'!$B$17,Paramètres!$A$1:$I$89,3,0)*VLOOKUP('Données projet'!$B$17,Paramètres!$A$1:$I$89,5,0)</f>
        <v>-4.5224624045658861E-14</v>
      </c>
      <c r="GB115" s="14" t="e">
        <f t="shared" si="103"/>
        <v>#NUM!</v>
      </c>
      <c r="GC115" s="22" t="e">
        <f t="shared" si="79"/>
        <v>#NUM!</v>
      </c>
      <c r="GD115" s="62" t="e">
        <f t="shared" si="80"/>
        <v>#NUM!</v>
      </c>
      <c r="GE115" s="62">
        <f ca="1">AVERAGE(OFFSET($GD$3,0,0,'Données projet'!$E$17+1,1))-AVERAGE(OFFSET($H$3,0,0,'Données projet'!$E$17+1,1))</f>
        <v>383.71724511025587</v>
      </c>
      <c r="GF115" s="62">
        <f t="shared" si="104"/>
        <v>415.10774719533185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68.066718172858657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1.7053025658242404E-13</v>
      </c>
      <c r="GV115" s="18">
        <f>GU115*VLOOKUP('Données projet'!$B$18,Paramètres!$A$1:$I$89,3,0)*VLOOKUP('Données projet'!$B$18,Paramètres!$A$1:$I$89,5,0)</f>
        <v>1.1439169611549005E-13</v>
      </c>
      <c r="GW115" s="14">
        <f t="shared" si="105"/>
        <v>1.6918016515029816E-12</v>
      </c>
      <c r="GX115" s="22">
        <f t="shared" si="82"/>
        <v>3.1457867471021712E-12</v>
      </c>
      <c r="GY115" s="62">
        <f t="shared" si="83"/>
        <v>286.24463330048491</v>
      </c>
      <c r="GZ115" s="62">
        <f ca="1">AVERAGE(OFFSET($GY$3,0,0,'Données projet'!$E$18+1,1))-AVERAGE(OFFSET($H$3,0,0,'Données projet'!$E$18+1,1))</f>
        <v>329.93956600482801</v>
      </c>
      <c r="HA115" s="62">
        <f t="shared" si="106"/>
        <v>268.69186630599165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2.7450000000000001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10.065</v>
      </c>
      <c r="H116" s="70">
        <f t="shared" si="56"/>
        <v>216.40666666666667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68.100256290388899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320.49999999999989</v>
      </c>
      <c r="O116" s="14">
        <f>N116*VLOOKUP('Données projet'!$B$9,Paramètres!$A$1:$I$89,3,0)*VLOOKUP('Données projet'!$B$9,Paramètres!$A$1:$I$89,5,0)</f>
        <v>289.9883999999999</v>
      </c>
      <c r="P116" s="14">
        <f t="shared" si="87"/>
        <v>69.073519602481525</v>
      </c>
      <c r="Q116" s="22">
        <f t="shared" si="107"/>
        <v>625.36617664098856</v>
      </c>
      <c r="R116" s="62">
        <f t="shared" si="55"/>
        <v>911.73378303908112</v>
      </c>
      <c r="S116" s="62">
        <f ca="1">AVERAGE(OFFSET($R$3,0,0,'Données projet'!$E$9+1,1))-AVERAGE(OFFSET($H$3,0,0,'Données projet'!$E$9+1,1))</f>
        <v>551.67307965706379</v>
      </c>
      <c r="T116" s="62">
        <f t="shared" si="88"/>
        <v>288.70738860523943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68.100256290388899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</v>
      </c>
      <c r="AI116" s="14">
        <f>IF('Données projet'!$A$62&gt;35,AI115+AH116-AQ115,IF(A116&lt;'Données projet'!$A$62,$AF$205^A116,IF(A116='Données projet'!$A$62,'Données projet'!$B$62,AI115+AH116-AQ115)))</f>
        <v>320.49999999999989</v>
      </c>
      <c r="AJ116" s="14">
        <f>AI116*VLOOKUP('Données projet'!$B$10,Paramètres!$A$1:$I$89,3,0)*VLOOKUP('Données projet'!$B$10,Paramètres!$A$1:$I$89,5,0)</f>
        <v>269.98919999999993</v>
      </c>
      <c r="AK116" s="14">
        <f t="shared" si="89"/>
        <v>64.846977249929083</v>
      </c>
      <c r="AL116" s="22">
        <f t="shared" si="58"/>
        <v>583.17300871029295</v>
      </c>
      <c r="AM116" s="62">
        <f t="shared" si="59"/>
        <v>869.54061510838551</v>
      </c>
      <c r="AN116" s="62">
        <f ca="1">AVERAGE(OFFSET($AM$3,0,0,'Données projet'!$E$10+1,1))-AVERAGE(OFFSET($H$3,0,0,'Données projet'!$E$10+1,1))</f>
        <v>518.18933270904506</v>
      </c>
      <c r="AO116" s="62">
        <f t="shared" si="90"/>
        <v>272.44431899810411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68.100256290388899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-9.7543306765146564E-14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464.73160475167867</v>
      </c>
      <c r="BJ116" s="62">
        <f t="shared" si="92"/>
        <v>241.31968359962227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68.100256290388899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2.2737367544323206E-13</v>
      </c>
      <c r="BZ116" s="14">
        <f>BY116*VLOOKUP('Données projet'!$B$12,Paramètres!$A$1:$I$89,3,0)*VLOOKUP('Données projet'!$B$12,Paramètres!$A$1:$I$89,5,0)</f>
        <v>1.4897523215040565E-13</v>
      </c>
      <c r="CA116" s="14">
        <f t="shared" si="93"/>
        <v>2.136562777003313E-12</v>
      </c>
      <c r="CB116" s="22">
        <f t="shared" si="64"/>
        <v>3.9806453659427267E-12</v>
      </c>
      <c r="CC116" s="62">
        <f t="shared" si="65"/>
        <v>286.3676063980966</v>
      </c>
      <c r="CD116" s="62">
        <f ca="1">AVERAGE(OFFSET($CC$3,0,0,'Données projet'!$E$12+1,1))-AVERAGE(OFFSET($H$3,0,0,'Données projet'!$E$12+1,1))</f>
        <v>292.13851489852607</v>
      </c>
      <c r="CE116" s="62">
        <f t="shared" si="94"/>
        <v>280.10866188737418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68.100256290388899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-1.1368683772161603E-13</v>
      </c>
      <c r="CU116" s="18">
        <f>CT116*VLOOKUP('Données projet'!$B$13,Paramètres!$A$1:$I$89,3,0)*VLOOKUP('Données projet'!$B$13,Paramètres!$A$1:$I$89,5,0)</f>
        <v>-9.2222762759774927E-14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265.25572936607409</v>
      </c>
      <c r="CZ116" s="62">
        <f t="shared" si="96"/>
        <v>307.96244316129071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68.100256290388899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3.141025641025641</v>
      </c>
      <c r="DO116" s="13">
        <f>IF('Données projet'!$A$166&gt;35,DO115+DN116-DW115,IF(A116&lt;'Données projet'!$A$166,$DL$205^A116,IF(A116='Données projet'!$A$166,'Données projet'!$B$166,DO115+DN116-DW115)))</f>
        <v>263.91025641025652</v>
      </c>
      <c r="DP116" s="18">
        <f>DO116*VLOOKUP('Données projet'!$B$14,Paramètres!$A$1:$I$89,3,0)*VLOOKUP('Données projet'!$B$14,Paramètres!$A$1:$I$89,5,0)</f>
        <v>251.13700000000011</v>
      </c>
      <c r="DQ116" s="14">
        <f t="shared" si="97"/>
        <v>60.82934795323235</v>
      </c>
      <c r="DR116" s="22">
        <f t="shared" si="70"/>
        <v>543.34138935187991</v>
      </c>
      <c r="DS116" s="62">
        <f t="shared" si="71"/>
        <v>829.70899574997247</v>
      </c>
      <c r="DT116" s="62">
        <f ca="1">AVERAGE(OFFSET($DS$3,0,0,'Données projet'!$E$14+1,1))-AVERAGE(OFFSET($H$3,0,0,'Données projet'!$E$14+1,1))</f>
        <v>425.41154182732936</v>
      </c>
      <c r="DU116" s="62">
        <f t="shared" si="98"/>
        <v>306.44721925744591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68.100256290388899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-5.6843418860808015E-14</v>
      </c>
      <c r="EK116" s="18">
        <f>EJ116*VLOOKUP('Données projet'!$B$15,Paramètres!$A$1:$I$89,3,0)*VLOOKUP('Données projet'!$B$15,Paramètres!$A$1:$I$89,5,0)</f>
        <v>-4.1677594708744434E-14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357.57626046668958</v>
      </c>
      <c r="EP116" s="62">
        <f t="shared" si="100"/>
        <v>386.90439522046199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68.100256290388899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1.1368683772161603E-13</v>
      </c>
      <c r="FF116" s="18">
        <f>FE116*VLOOKUP('Données projet'!$B$16,Paramètres!$A$1:$I$89,3,0)*VLOOKUP('Données projet'!$B$16,Paramètres!$A$1:$I$89,5,0)</f>
        <v>8.8675733422860506E-14</v>
      </c>
      <c r="FG116" s="14">
        <f t="shared" si="101"/>
        <v>1.3509285393066301E-12</v>
      </c>
      <c r="FH116" s="22">
        <f t="shared" si="76"/>
        <v>2.5073107750038623E-12</v>
      </c>
      <c r="FI116" s="62">
        <f t="shared" si="77"/>
        <v>286.36760639809512</v>
      </c>
      <c r="FJ116" s="62">
        <f ca="1">AVERAGE(OFFSET($FI$3,0,0,'Données projet'!$E$16+1,1))-AVERAGE(OFFSET($H$3,0,0,'Données projet'!$E$16+1,1))</f>
        <v>303.56663121833833</v>
      </c>
      <c r="FK116" s="62">
        <f t="shared" si="102"/>
        <v>293.97736357938038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68.100256290388899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-5.6843418860808015E-14</v>
      </c>
      <c r="GA116" s="18">
        <f>FZ116*VLOOKUP('Données projet'!$B$17,Paramètres!$A$1:$I$89,3,0)*VLOOKUP('Données projet'!$B$17,Paramètres!$A$1:$I$89,5,0)</f>
        <v>-4.5224624045658861E-14</v>
      </c>
      <c r="GB116" s="14" t="e">
        <f t="shared" si="103"/>
        <v>#NUM!</v>
      </c>
      <c r="GC116" s="22" t="e">
        <f t="shared" si="79"/>
        <v>#NUM!</v>
      </c>
      <c r="GD116" s="62" t="e">
        <f t="shared" si="80"/>
        <v>#NUM!</v>
      </c>
      <c r="GE116" s="62">
        <f ca="1">AVERAGE(OFFSET($GD$3,0,0,'Données projet'!$E$17+1,1))-AVERAGE(OFFSET($H$3,0,0,'Données projet'!$E$17+1,1))</f>
        <v>383.71724511025587</v>
      </c>
      <c r="GF116" s="62">
        <f t="shared" si="104"/>
        <v>415.10774719533185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68.100256290388899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1.7053025658242404E-13</v>
      </c>
      <c r="GV116" s="18">
        <f>GU116*VLOOKUP('Données projet'!$B$18,Paramètres!$A$1:$I$89,3,0)*VLOOKUP('Données projet'!$B$18,Paramètres!$A$1:$I$89,5,0)</f>
        <v>1.1439169611549005E-13</v>
      </c>
      <c r="GW116" s="14">
        <f t="shared" si="105"/>
        <v>1.6918016515029816E-12</v>
      </c>
      <c r="GX116" s="22">
        <f t="shared" si="82"/>
        <v>3.1457867471021712E-12</v>
      </c>
      <c r="GY116" s="62">
        <f t="shared" si="83"/>
        <v>286.36760639809575</v>
      </c>
      <c r="GZ116" s="62">
        <f ca="1">AVERAGE(OFFSET($GY$3,0,0,'Données projet'!$E$18+1,1))-AVERAGE(OFFSET($H$3,0,0,'Données projet'!$E$18+1,1))</f>
        <v>329.93956600482801</v>
      </c>
      <c r="HA116" s="62">
        <f t="shared" si="106"/>
        <v>268.69186630599165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2.7450000000000001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10.065</v>
      </c>
      <c r="H117" s="70">
        <f t="shared" si="56"/>
        <v>216.40666666666667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68.13321259656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324.99999999999989</v>
      </c>
      <c r="O117" s="14">
        <f>N117*VLOOKUP('Données projet'!$B$9,Paramètres!$A$1:$I$89,3,0)*VLOOKUP('Données projet'!$B$9,Paramètres!$A$1:$I$89,5,0)</f>
        <v>294.05999999999989</v>
      </c>
      <c r="P117" s="14">
        <f t="shared" si="87"/>
        <v>69.929765653573313</v>
      </c>
      <c r="Q117" s="22">
        <f t="shared" si="107"/>
        <v>633.94884184663999</v>
      </c>
      <c r="R117" s="62">
        <f t="shared" si="55"/>
        <v>920.43728803402666</v>
      </c>
      <c r="S117" s="62">
        <f ca="1">AVERAGE(OFFSET($R$3,0,0,'Données projet'!$E$9+1,1))-AVERAGE(OFFSET($H$3,0,0,'Données projet'!$E$9+1,1))</f>
        <v>551.67307965706379</v>
      </c>
      <c r="T117" s="62">
        <f t="shared" si="88"/>
        <v>288.70738860523943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68.13321259656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</v>
      </c>
      <c r="AI117" s="14">
        <f>IF('Données projet'!$A$62&gt;35,AI116+AH117-AQ116,IF(A117&lt;'Données projet'!$A$62,$AF$205^A117,IF(A117='Données projet'!$A$62,'Données projet'!$B$62,AI116+AH117-AQ116)))</f>
        <v>324.99999999999989</v>
      </c>
      <c r="AJ117" s="14">
        <f>AI117*VLOOKUP('Données projet'!$B$10,Paramètres!$A$1:$I$89,3,0)*VLOOKUP('Données projet'!$B$10,Paramètres!$A$1:$I$89,5,0)</f>
        <v>273.77999999999992</v>
      </c>
      <c r="AK117" s="14">
        <f t="shared" si="89"/>
        <v>65.650830427167435</v>
      </c>
      <c r="AL117" s="22">
        <f t="shared" si="58"/>
        <v>591.17536299398307</v>
      </c>
      <c r="AM117" s="62">
        <f t="shared" si="59"/>
        <v>877.66380918136974</v>
      </c>
      <c r="AN117" s="62">
        <f ca="1">AVERAGE(OFFSET($AM$3,0,0,'Données projet'!$E$10+1,1))-AVERAGE(OFFSET($H$3,0,0,'Données projet'!$E$10+1,1))</f>
        <v>518.18933270904506</v>
      </c>
      <c r="AO117" s="62">
        <f t="shared" si="90"/>
        <v>272.44431899810411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68.13321259656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-9.7543306765146564E-14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464.73160475167867</v>
      </c>
      <c r="BJ117" s="62">
        <f t="shared" si="92"/>
        <v>241.31968359962227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68.13321259656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2.2737367544323206E-13</v>
      </c>
      <c r="BZ117" s="14">
        <f>BY117*VLOOKUP('Données projet'!$B$12,Paramètres!$A$1:$I$89,3,0)*VLOOKUP('Données projet'!$B$12,Paramètres!$A$1:$I$89,5,0)</f>
        <v>1.4897523215040565E-13</v>
      </c>
      <c r="CA117" s="14">
        <f t="shared" si="93"/>
        <v>2.136562777003313E-12</v>
      </c>
      <c r="CB117" s="22">
        <f t="shared" si="64"/>
        <v>3.9806453659427267E-12</v>
      </c>
      <c r="CC117" s="62">
        <f t="shared" si="65"/>
        <v>286.48844618739065</v>
      </c>
      <c r="CD117" s="62">
        <f ca="1">AVERAGE(OFFSET($CC$3,0,0,'Données projet'!$E$12+1,1))-AVERAGE(OFFSET($H$3,0,0,'Données projet'!$E$12+1,1))</f>
        <v>292.13851489852607</v>
      </c>
      <c r="CE117" s="62">
        <f t="shared" si="94"/>
        <v>280.10866188737418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68.13321259656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-1.1368683772161603E-13</v>
      </c>
      <c r="CU117" s="18">
        <f>CT117*VLOOKUP('Données projet'!$B$13,Paramètres!$A$1:$I$89,3,0)*VLOOKUP('Données projet'!$B$13,Paramètres!$A$1:$I$89,5,0)</f>
        <v>-9.2222762759774927E-14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265.25572936607409</v>
      </c>
      <c r="CZ117" s="62">
        <f t="shared" si="96"/>
        <v>307.96244316129071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68.13321259656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3.141025641025641</v>
      </c>
      <c r="DO117" s="13">
        <f>IF('Données projet'!$A$166&gt;35,DO116+DN117-DW116,IF(A117&lt;'Données projet'!$A$166,$DL$205^A117,IF(A117='Données projet'!$A$166,'Données projet'!$B$166,DO116+DN117-DW116)))</f>
        <v>267.05128205128216</v>
      </c>
      <c r="DP117" s="18">
        <f>DO117*VLOOKUP('Données projet'!$B$14,Paramètres!$A$1:$I$89,3,0)*VLOOKUP('Données projet'!$B$14,Paramètres!$A$1:$I$89,5,0)</f>
        <v>254.12600000000012</v>
      </c>
      <c r="DQ117" s="14">
        <f t="shared" si="97"/>
        <v>61.46861816974539</v>
      </c>
      <c r="DR117" s="22">
        <f t="shared" si="70"/>
        <v>549.66062664564004</v>
      </c>
      <c r="DS117" s="62">
        <f t="shared" si="71"/>
        <v>836.14907283302671</v>
      </c>
      <c r="DT117" s="62">
        <f ca="1">AVERAGE(OFFSET($DS$3,0,0,'Données projet'!$E$14+1,1))-AVERAGE(OFFSET($H$3,0,0,'Données projet'!$E$14+1,1))</f>
        <v>425.41154182732936</v>
      </c>
      <c r="DU117" s="62">
        <f t="shared" si="98"/>
        <v>306.44721925744591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68.13321259656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-5.6843418860808015E-14</v>
      </c>
      <c r="EK117" s="18">
        <f>EJ117*VLOOKUP('Données projet'!$B$15,Paramètres!$A$1:$I$89,3,0)*VLOOKUP('Données projet'!$B$15,Paramètres!$A$1:$I$89,5,0)</f>
        <v>-4.1677594708744434E-14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357.57626046668958</v>
      </c>
      <c r="EP117" s="62">
        <f t="shared" si="100"/>
        <v>386.90439522046199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68.13321259656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1.1368683772161603E-13</v>
      </c>
      <c r="FF117" s="18">
        <f>FE117*VLOOKUP('Données projet'!$B$16,Paramètres!$A$1:$I$89,3,0)*VLOOKUP('Données projet'!$B$16,Paramètres!$A$1:$I$89,5,0)</f>
        <v>8.8675733422860506E-14</v>
      </c>
      <c r="FG117" s="14">
        <f t="shared" si="101"/>
        <v>1.3509285393066301E-12</v>
      </c>
      <c r="FH117" s="22">
        <f t="shared" si="76"/>
        <v>2.5073107750038623E-12</v>
      </c>
      <c r="FI117" s="62">
        <f t="shared" si="77"/>
        <v>286.48844618738917</v>
      </c>
      <c r="FJ117" s="62">
        <f ca="1">AVERAGE(OFFSET($FI$3,0,0,'Données projet'!$E$16+1,1))-AVERAGE(OFFSET($H$3,0,0,'Données projet'!$E$16+1,1))</f>
        <v>303.56663121833833</v>
      </c>
      <c r="FK117" s="62">
        <f t="shared" si="102"/>
        <v>293.97736357938038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68.13321259656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-5.6843418860808015E-14</v>
      </c>
      <c r="GA117" s="18">
        <f>FZ117*VLOOKUP('Données projet'!$B$17,Paramètres!$A$1:$I$89,3,0)*VLOOKUP('Données projet'!$B$17,Paramètres!$A$1:$I$89,5,0)</f>
        <v>-4.5224624045658861E-14</v>
      </c>
      <c r="GB117" s="14" t="e">
        <f t="shared" si="103"/>
        <v>#NUM!</v>
      </c>
      <c r="GC117" s="22" t="e">
        <f t="shared" si="79"/>
        <v>#NUM!</v>
      </c>
      <c r="GD117" s="62" t="e">
        <f t="shared" si="80"/>
        <v>#NUM!</v>
      </c>
      <c r="GE117" s="62">
        <f ca="1">AVERAGE(OFFSET($GD$3,0,0,'Données projet'!$E$17+1,1))-AVERAGE(OFFSET($H$3,0,0,'Données projet'!$E$17+1,1))</f>
        <v>383.71724511025587</v>
      </c>
      <c r="GF117" s="62">
        <f t="shared" si="104"/>
        <v>415.10774719533185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68.13321259656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1.7053025658242404E-13</v>
      </c>
      <c r="GV117" s="18">
        <f>GU117*VLOOKUP('Données projet'!$B$18,Paramètres!$A$1:$I$89,3,0)*VLOOKUP('Données projet'!$B$18,Paramètres!$A$1:$I$89,5,0)</f>
        <v>1.1439169611549005E-13</v>
      </c>
      <c r="GW117" s="14">
        <f t="shared" si="105"/>
        <v>1.6918016515029816E-12</v>
      </c>
      <c r="GX117" s="22">
        <f t="shared" si="82"/>
        <v>3.1457867471021712E-12</v>
      </c>
      <c r="GY117" s="62">
        <f t="shared" si="83"/>
        <v>286.4884461873898</v>
      </c>
      <c r="GZ117" s="62">
        <f ca="1">AVERAGE(OFFSET($GY$3,0,0,'Données projet'!$E$18+1,1))-AVERAGE(OFFSET($H$3,0,0,'Données projet'!$E$18+1,1))</f>
        <v>329.93956600482801</v>
      </c>
      <c r="HA117" s="62">
        <f t="shared" si="106"/>
        <v>268.69186630599165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2.7450000000000001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10.065</v>
      </c>
      <c r="H118" s="70">
        <f t="shared" si="56"/>
        <v>216.40666666666667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68.165597184498296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329.49999999999989</v>
      </c>
      <c r="O118" s="14">
        <f>N118*VLOOKUP('Données projet'!$B$9,Paramètres!$A$1:$I$89,3,0)*VLOOKUP('Données projet'!$B$9,Paramètres!$A$1:$I$89,5,0)</f>
        <v>298.13159999999988</v>
      </c>
      <c r="P118" s="14">
        <f t="shared" si="87"/>
        <v>70.784632764376028</v>
      </c>
      <c r="Q118" s="22">
        <f t="shared" si="107"/>
        <v>642.52910539795459</v>
      </c>
      <c r="R118" s="62">
        <f t="shared" si="55"/>
        <v>929.1362950744483</v>
      </c>
      <c r="S118" s="62">
        <f ca="1">AVERAGE(OFFSET($R$3,0,0,'Données projet'!$E$9+1,1))-AVERAGE(OFFSET($H$3,0,0,'Données projet'!$E$9+1,1))</f>
        <v>551.67307965706379</v>
      </c>
      <c r="T118" s="62">
        <f t="shared" si="88"/>
        <v>288.70738860523943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68.165597184498296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4.5</v>
      </c>
      <c r="AI118" s="14">
        <f>IF('Données projet'!$A$62&gt;35,AI117+AH118-AQ117,IF(A118&lt;'Données projet'!$A$62,$AF$205^A118,IF(A118='Données projet'!$A$62,'Données projet'!$B$62,AI117+AH118-AQ117)))</f>
        <v>329.49999999999989</v>
      </c>
      <c r="AJ118" s="14">
        <f>AI118*VLOOKUP('Données projet'!$B$10,Paramètres!$A$1:$I$89,3,0)*VLOOKUP('Données projet'!$B$10,Paramètres!$A$1:$I$89,5,0)</f>
        <v>277.57079999999991</v>
      </c>
      <c r="AK118" s="14">
        <f t="shared" si="89"/>
        <v>66.453389040149204</v>
      </c>
      <c r="AL118" s="22">
        <f t="shared" si="58"/>
        <v>599.17546257825973</v>
      </c>
      <c r="AM118" s="62">
        <f t="shared" si="59"/>
        <v>885.78265225475343</v>
      </c>
      <c r="AN118" s="62">
        <f ca="1">AVERAGE(OFFSET($AM$3,0,0,'Données projet'!$E$10+1,1))-AVERAGE(OFFSET($H$3,0,0,'Données projet'!$E$10+1,1))</f>
        <v>518.18933270904506</v>
      </c>
      <c r="AO118" s="62">
        <f t="shared" si="90"/>
        <v>272.44431899810411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68.165597184498296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-9.7543306765146564E-14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464.73160475167867</v>
      </c>
      <c r="BJ118" s="62">
        <f t="shared" si="92"/>
        <v>241.31968359962227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68.165597184498296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2.2737367544323206E-13</v>
      </c>
      <c r="BZ118" s="14">
        <f>BY118*VLOOKUP('Données projet'!$B$12,Paramètres!$A$1:$I$89,3,0)*VLOOKUP('Données projet'!$B$12,Paramètres!$A$1:$I$89,5,0)</f>
        <v>1.4897523215040565E-13</v>
      </c>
      <c r="CA118" s="14">
        <f t="shared" si="93"/>
        <v>2.136562777003313E-12</v>
      </c>
      <c r="CB118" s="22">
        <f t="shared" si="64"/>
        <v>3.9806453659427267E-12</v>
      </c>
      <c r="CC118" s="62">
        <f t="shared" si="65"/>
        <v>286.60718967649774</v>
      </c>
      <c r="CD118" s="62">
        <f ca="1">AVERAGE(OFFSET($CC$3,0,0,'Données projet'!$E$12+1,1))-AVERAGE(OFFSET($H$3,0,0,'Données projet'!$E$12+1,1))</f>
        <v>292.13851489852607</v>
      </c>
      <c r="CE118" s="62">
        <f t="shared" si="94"/>
        <v>280.10866188737418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68.165597184498296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-1.1368683772161603E-13</v>
      </c>
      <c r="CU118" s="18">
        <f>CT118*VLOOKUP('Données projet'!$B$13,Paramètres!$A$1:$I$89,3,0)*VLOOKUP('Données projet'!$B$13,Paramètres!$A$1:$I$89,5,0)</f>
        <v>-9.2222762759774927E-14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265.25572936607409</v>
      </c>
      <c r="CZ118" s="62">
        <f t="shared" si="96"/>
        <v>307.96244316129071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68.165597184498296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3.141025641025641</v>
      </c>
      <c r="DO118" s="13">
        <f>IF('Données projet'!$A$166&gt;35,DO117+DN118-DW117,IF(A118&lt;'Données projet'!$A$166,$DL$205^A118,IF(A118='Données projet'!$A$166,'Données projet'!$B$166,DO117+DN118-DW117)))</f>
        <v>270.19230769230779</v>
      </c>
      <c r="DP118" s="18">
        <f>DO118*VLOOKUP('Données projet'!$B$14,Paramètres!$A$1:$I$89,3,0)*VLOOKUP('Données projet'!$B$14,Paramètres!$A$1:$I$89,5,0)</f>
        <v>257.11500000000007</v>
      </c>
      <c r="DQ118" s="14">
        <f t="shared" si="97"/>
        <v>62.107013749759211</v>
      </c>
      <c r="DR118" s="22">
        <f t="shared" si="70"/>
        <v>555.97834061416404</v>
      </c>
      <c r="DS118" s="62">
        <f t="shared" si="71"/>
        <v>842.58553029065774</v>
      </c>
      <c r="DT118" s="62">
        <f ca="1">AVERAGE(OFFSET($DS$3,0,0,'Données projet'!$E$14+1,1))-AVERAGE(OFFSET($H$3,0,0,'Données projet'!$E$14+1,1))</f>
        <v>425.41154182732936</v>
      </c>
      <c r="DU118" s="62">
        <f t="shared" si="98"/>
        <v>306.44721925744591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68.165597184498296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-5.6843418860808015E-14</v>
      </c>
      <c r="EK118" s="18">
        <f>EJ118*VLOOKUP('Données projet'!$B$15,Paramètres!$A$1:$I$89,3,0)*VLOOKUP('Données projet'!$B$15,Paramètres!$A$1:$I$89,5,0)</f>
        <v>-4.1677594708744434E-14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357.57626046668958</v>
      </c>
      <c r="EP118" s="62">
        <f t="shared" si="100"/>
        <v>386.90439522046199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68.165597184498296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1.1368683772161603E-13</v>
      </c>
      <c r="FF118" s="18">
        <f>FE118*VLOOKUP('Données projet'!$B$16,Paramètres!$A$1:$I$89,3,0)*VLOOKUP('Données projet'!$B$16,Paramètres!$A$1:$I$89,5,0)</f>
        <v>8.8675733422860506E-14</v>
      </c>
      <c r="FG118" s="14">
        <f t="shared" si="101"/>
        <v>1.3509285393066301E-12</v>
      </c>
      <c r="FH118" s="22">
        <f t="shared" si="76"/>
        <v>2.5073107750038623E-12</v>
      </c>
      <c r="FI118" s="62">
        <f t="shared" si="77"/>
        <v>286.60718967649626</v>
      </c>
      <c r="FJ118" s="62">
        <f ca="1">AVERAGE(OFFSET($FI$3,0,0,'Données projet'!$E$16+1,1))-AVERAGE(OFFSET($H$3,0,0,'Données projet'!$E$16+1,1))</f>
        <v>303.56663121833833</v>
      </c>
      <c r="FK118" s="62">
        <f t="shared" si="102"/>
        <v>293.97736357938038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68.165597184498296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-5.6843418860808015E-14</v>
      </c>
      <c r="GA118" s="18">
        <f>FZ118*VLOOKUP('Données projet'!$B$17,Paramètres!$A$1:$I$89,3,0)*VLOOKUP('Données projet'!$B$17,Paramètres!$A$1:$I$89,5,0)</f>
        <v>-4.5224624045658861E-14</v>
      </c>
      <c r="GB118" s="14" t="e">
        <f t="shared" si="103"/>
        <v>#NUM!</v>
      </c>
      <c r="GC118" s="22" t="e">
        <f t="shared" si="79"/>
        <v>#NUM!</v>
      </c>
      <c r="GD118" s="62" t="e">
        <f t="shared" si="80"/>
        <v>#NUM!</v>
      </c>
      <c r="GE118" s="62">
        <f ca="1">AVERAGE(OFFSET($GD$3,0,0,'Données projet'!$E$17+1,1))-AVERAGE(OFFSET($H$3,0,0,'Données projet'!$E$17+1,1))</f>
        <v>383.71724511025587</v>
      </c>
      <c r="GF118" s="62">
        <f t="shared" si="104"/>
        <v>415.10774719533185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68.165597184498296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1.7053025658242404E-13</v>
      </c>
      <c r="GV118" s="18">
        <f>GU118*VLOOKUP('Données projet'!$B$18,Paramètres!$A$1:$I$89,3,0)*VLOOKUP('Données projet'!$B$18,Paramètres!$A$1:$I$89,5,0)</f>
        <v>1.1439169611549005E-13</v>
      </c>
      <c r="GW118" s="14">
        <f t="shared" si="105"/>
        <v>1.6918016515029816E-12</v>
      </c>
      <c r="GX118" s="22">
        <f t="shared" si="82"/>
        <v>3.1457867471021712E-12</v>
      </c>
      <c r="GY118" s="62">
        <f t="shared" si="83"/>
        <v>286.60718967649689</v>
      </c>
      <c r="GZ118" s="62">
        <f ca="1">AVERAGE(OFFSET($GY$3,0,0,'Données projet'!$E$18+1,1))-AVERAGE(OFFSET($H$3,0,0,'Données projet'!$E$18+1,1))</f>
        <v>329.93956600482801</v>
      </c>
      <c r="HA118" s="62">
        <f t="shared" si="106"/>
        <v>268.69186630599165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2.7450000000000001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10.065</v>
      </c>
      <c r="H119" s="70">
        <f t="shared" si="56"/>
        <v>216.40666666666667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68.197419972236929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333.99999999999989</v>
      </c>
      <c r="O119" s="14">
        <f>N119*VLOOKUP('Données projet'!$B$9,Paramètres!$A$1:$I$89,3,0)*VLOOKUP('Données projet'!$B$9,Paramètres!$A$1:$I$89,5,0)</f>
        <v>302.20319999999987</v>
      </c>
      <c r="P119" s="14">
        <f t="shared" si="87"/>
        <v>71.638141943842228</v>
      </c>
      <c r="Q119" s="22">
        <f t="shared" si="107"/>
        <v>651.10700388552493</v>
      </c>
      <c r="R119" s="62">
        <f t="shared" si="55"/>
        <v>937.83087711706025</v>
      </c>
      <c r="S119" s="62">
        <f ca="1">AVERAGE(OFFSET($R$3,0,0,'Données projet'!$E$9+1,1))-AVERAGE(OFFSET($H$3,0,0,'Données projet'!$E$9+1,1))</f>
        <v>551.67307965706379</v>
      </c>
      <c r="T119" s="62">
        <f t="shared" si="88"/>
        <v>288.70738860523943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68.197419972236929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4.5</v>
      </c>
      <c r="AI119" s="14">
        <f>IF('Données projet'!$A$62&gt;35,AI118+AH119-AQ118,IF(A119&lt;'Données projet'!$A$62,$AF$205^A119,IF(A119='Données projet'!$A$62,'Données projet'!$B$62,AI118+AH119-AQ118)))</f>
        <v>333.99999999999989</v>
      </c>
      <c r="AJ119" s="14">
        <f>AI119*VLOOKUP('Données projet'!$B$10,Paramètres!$A$1:$I$89,3,0)*VLOOKUP('Données projet'!$B$10,Paramètres!$A$1:$I$89,5,0)</f>
        <v>281.36159999999995</v>
      </c>
      <c r="AK119" s="14">
        <f t="shared" si="89"/>
        <v>67.254672812309309</v>
      </c>
      <c r="AL119" s="22">
        <f t="shared" si="58"/>
        <v>607.1733418147719</v>
      </c>
      <c r="AM119" s="62">
        <f t="shared" si="59"/>
        <v>893.89721504630734</v>
      </c>
      <c r="AN119" s="62">
        <f ca="1">AVERAGE(OFFSET($AM$3,0,0,'Données projet'!$E$10+1,1))-AVERAGE(OFFSET($H$3,0,0,'Données projet'!$E$10+1,1))</f>
        <v>518.18933270904506</v>
      </c>
      <c r="AO119" s="62">
        <f t="shared" si="90"/>
        <v>272.44431899810411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68.197419972236929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-9.7543306765146564E-14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464.73160475167867</v>
      </c>
      <c r="BJ119" s="62">
        <f t="shared" si="92"/>
        <v>241.31968359962227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68.197419972236929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2.2737367544323206E-13</v>
      </c>
      <c r="BZ119" s="14">
        <f>BY119*VLOOKUP('Données projet'!$B$12,Paramètres!$A$1:$I$89,3,0)*VLOOKUP('Données projet'!$B$12,Paramètres!$A$1:$I$89,5,0)</f>
        <v>1.4897523215040565E-13</v>
      </c>
      <c r="CA119" s="14">
        <f t="shared" si="93"/>
        <v>2.136562777003313E-12</v>
      </c>
      <c r="CB119" s="22">
        <f t="shared" si="64"/>
        <v>3.9806453659427267E-12</v>
      </c>
      <c r="CC119" s="62">
        <f t="shared" si="65"/>
        <v>286.72387323153936</v>
      </c>
      <c r="CD119" s="62">
        <f ca="1">AVERAGE(OFFSET($CC$3,0,0,'Données projet'!$E$12+1,1))-AVERAGE(OFFSET($H$3,0,0,'Données projet'!$E$12+1,1))</f>
        <v>292.13851489852607</v>
      </c>
      <c r="CE119" s="62">
        <f t="shared" si="94"/>
        <v>280.10866188737418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68.197419972236929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-1.1368683772161603E-13</v>
      </c>
      <c r="CU119" s="18">
        <f>CT119*VLOOKUP('Données projet'!$B$13,Paramètres!$A$1:$I$89,3,0)*VLOOKUP('Données projet'!$B$13,Paramètres!$A$1:$I$89,5,0)</f>
        <v>-9.2222762759774927E-14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265.25572936607409</v>
      </c>
      <c r="CZ119" s="62">
        <f t="shared" si="96"/>
        <v>307.96244316129071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68.197419972236929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3.141025641025641</v>
      </c>
      <c r="DO119" s="13">
        <f>IF('Données projet'!$A$166&gt;35,DO118+DN119-DW118,IF(A119&lt;'Données projet'!$A$166,$DL$205^A119,IF(A119='Données projet'!$A$166,'Données projet'!$B$166,DO118+DN119-DW118)))</f>
        <v>273.33333333333343</v>
      </c>
      <c r="DP119" s="18">
        <f>DO119*VLOOKUP('Données projet'!$B$14,Paramètres!$A$1:$I$89,3,0)*VLOOKUP('Données projet'!$B$14,Paramètres!$A$1:$I$89,5,0)</f>
        <v>260.1040000000001</v>
      </c>
      <c r="DQ119" s="14">
        <f t="shared" si="97"/>
        <v>62.744546037419411</v>
      </c>
      <c r="DR119" s="22">
        <f t="shared" si="70"/>
        <v>562.29455101517226</v>
      </c>
      <c r="DS119" s="62">
        <f t="shared" si="71"/>
        <v>849.01842424670758</v>
      </c>
      <c r="DT119" s="62">
        <f ca="1">AVERAGE(OFFSET($DS$3,0,0,'Données projet'!$E$14+1,1))-AVERAGE(OFFSET($H$3,0,0,'Données projet'!$E$14+1,1))</f>
        <v>425.41154182732936</v>
      </c>
      <c r="DU119" s="62">
        <f t="shared" si="98"/>
        <v>306.44721925744591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68.197419972236929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-5.6843418860808015E-14</v>
      </c>
      <c r="EK119" s="18">
        <f>EJ119*VLOOKUP('Données projet'!$B$15,Paramètres!$A$1:$I$89,3,0)*VLOOKUP('Données projet'!$B$15,Paramètres!$A$1:$I$89,5,0)</f>
        <v>-4.1677594708744434E-14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357.57626046668958</v>
      </c>
      <c r="EP119" s="62">
        <f t="shared" si="100"/>
        <v>386.90439522046199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68.197419972236929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1.1368683772161603E-13</v>
      </c>
      <c r="FF119" s="18">
        <f>FE119*VLOOKUP('Données projet'!$B$16,Paramètres!$A$1:$I$89,3,0)*VLOOKUP('Données projet'!$B$16,Paramètres!$A$1:$I$89,5,0)</f>
        <v>8.8675733422860506E-14</v>
      </c>
      <c r="FG119" s="14">
        <f t="shared" si="101"/>
        <v>1.3509285393066301E-12</v>
      </c>
      <c r="FH119" s="22">
        <f t="shared" si="76"/>
        <v>2.5073107750038623E-12</v>
      </c>
      <c r="FI119" s="62">
        <f t="shared" si="77"/>
        <v>286.72387323153788</v>
      </c>
      <c r="FJ119" s="62">
        <f ca="1">AVERAGE(OFFSET($FI$3,0,0,'Données projet'!$E$16+1,1))-AVERAGE(OFFSET($H$3,0,0,'Données projet'!$E$16+1,1))</f>
        <v>303.56663121833833</v>
      </c>
      <c r="FK119" s="62">
        <f t="shared" si="102"/>
        <v>293.97736357938038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68.197419972236929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-5.6843418860808015E-14</v>
      </c>
      <c r="GA119" s="18">
        <f>FZ119*VLOOKUP('Données projet'!$B$17,Paramètres!$A$1:$I$89,3,0)*VLOOKUP('Données projet'!$B$17,Paramètres!$A$1:$I$89,5,0)</f>
        <v>-4.5224624045658861E-14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383.71724511025587</v>
      </c>
      <c r="GF119" s="62">
        <f t="shared" si="104"/>
        <v>415.10774719533185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68.197419972236929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1.7053025658242404E-13</v>
      </c>
      <c r="GV119" s="18">
        <f>GU119*VLOOKUP('Données projet'!$B$18,Paramètres!$A$1:$I$89,3,0)*VLOOKUP('Données projet'!$B$18,Paramètres!$A$1:$I$89,5,0)</f>
        <v>1.1439169611549005E-13</v>
      </c>
      <c r="GW119" s="14">
        <f t="shared" si="105"/>
        <v>1.6918016515029816E-12</v>
      </c>
      <c r="GX119" s="22">
        <f t="shared" si="82"/>
        <v>3.1457867471021712E-12</v>
      </c>
      <c r="GY119" s="62">
        <f t="shared" si="83"/>
        <v>286.72387323153851</v>
      </c>
      <c r="GZ119" s="62">
        <f ca="1">AVERAGE(OFFSET($GY$3,0,0,'Données projet'!$E$18+1,1))-AVERAGE(OFFSET($H$3,0,0,'Données projet'!$E$18+1,1))</f>
        <v>329.93956600482801</v>
      </c>
      <c r="HA119" s="62">
        <f t="shared" si="106"/>
        <v>268.69186630599165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2.7450000000000001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10.065</v>
      </c>
      <c r="H120" s="70">
        <f t="shared" si="56"/>
        <v>216.40666666666667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68.228690705753422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338.49999999999989</v>
      </c>
      <c r="O120" s="14">
        <f>N120*VLOOKUP('Données projet'!$B$9,Paramètres!$A$1:$I$89,3,0)*VLOOKUP('Données projet'!$B$9,Paramètres!$A$1:$I$89,5,0)</f>
        <v>306.27479999999991</v>
      </c>
      <c r="P120" s="14">
        <f t="shared" si="87"/>
        <v>72.490313602283052</v>
      </c>
      <c r="Q120" s="22">
        <f t="shared" si="107"/>
        <v>659.68257285730954</v>
      </c>
      <c r="R120" s="62">
        <f t="shared" si="55"/>
        <v>946.52110544507207</v>
      </c>
      <c r="S120" s="62">
        <f ca="1">AVERAGE(OFFSET($R$3,0,0,'Données projet'!$E$9+1,1))-AVERAGE(OFFSET($H$3,0,0,'Données projet'!$E$9+1,1))</f>
        <v>551.67307965706379</v>
      </c>
      <c r="T120" s="62">
        <f t="shared" si="88"/>
        <v>288.70738860523943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68.228690705753422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4.5</v>
      </c>
      <c r="AI120" s="14">
        <f>IF('Données projet'!$A$62&gt;35,AI119+AH120-AQ119,IF(A120&lt;'Données projet'!$A$62,$AF$205^A120,IF(A120='Données projet'!$A$62,'Données projet'!$B$62,AI119+AH120-AQ119)))</f>
        <v>338.49999999999989</v>
      </c>
      <c r="AJ120" s="14">
        <f>AI120*VLOOKUP('Données projet'!$B$10,Paramètres!$A$1:$I$89,3,0)*VLOOKUP('Données projet'!$B$10,Paramètres!$A$1:$I$89,5,0)</f>
        <v>285.15239999999994</v>
      </c>
      <c r="AK120" s="14">
        <f t="shared" si="89"/>
        <v>68.054700905071499</v>
      </c>
      <c r="AL120" s="22">
        <f t="shared" si="58"/>
        <v>615.16903407633276</v>
      </c>
      <c r="AM120" s="62">
        <f t="shared" si="59"/>
        <v>902.00756666409529</v>
      </c>
      <c r="AN120" s="62">
        <f ca="1">AVERAGE(OFFSET($AM$3,0,0,'Données projet'!$E$10+1,1))-AVERAGE(OFFSET($H$3,0,0,'Données projet'!$E$10+1,1))</f>
        <v>518.18933270904506</v>
      </c>
      <c r="AO120" s="62">
        <f t="shared" si="90"/>
        <v>272.44431899810411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68.228690705753422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-9.7543306765146564E-14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464.73160475167867</v>
      </c>
      <c r="BJ120" s="62">
        <f t="shared" si="92"/>
        <v>241.31968359962227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68.228690705753422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2.2737367544323206E-13</v>
      </c>
      <c r="BZ120" s="14">
        <f>BY120*VLOOKUP('Données projet'!$B$12,Paramètres!$A$1:$I$89,3,0)*VLOOKUP('Données projet'!$B$12,Paramètres!$A$1:$I$89,5,0)</f>
        <v>1.4897523215040565E-13</v>
      </c>
      <c r="CA120" s="14">
        <f t="shared" si="93"/>
        <v>2.136562777003313E-12</v>
      </c>
      <c r="CB120" s="22">
        <f t="shared" si="64"/>
        <v>3.9806453659427267E-12</v>
      </c>
      <c r="CC120" s="62">
        <f t="shared" si="65"/>
        <v>286.83853258776651</v>
      </c>
      <c r="CD120" s="62">
        <f ca="1">AVERAGE(OFFSET($CC$3,0,0,'Données projet'!$E$12+1,1))-AVERAGE(OFFSET($H$3,0,0,'Données projet'!$E$12+1,1))</f>
        <v>292.13851489852607</v>
      </c>
      <c r="CE120" s="62">
        <f t="shared" si="94"/>
        <v>280.10866188737418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68.228690705753422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-1.1368683772161603E-13</v>
      </c>
      <c r="CU120" s="18">
        <f>CT120*VLOOKUP('Données projet'!$B$13,Paramètres!$A$1:$I$89,3,0)*VLOOKUP('Données projet'!$B$13,Paramètres!$A$1:$I$89,5,0)</f>
        <v>-9.2222762759774927E-14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265.25572936607409</v>
      </c>
      <c r="CZ120" s="62">
        <f t="shared" si="96"/>
        <v>307.96244316129071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68.228690705753422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3.141025641025641</v>
      </c>
      <c r="DO120" s="13">
        <f>IF('Données projet'!$A$166&gt;35,DO119+DN120-DW119,IF(A120&lt;'Données projet'!$A$166,$DL$205^A120,IF(A120='Données projet'!$A$166,'Données projet'!$B$166,DO119+DN120-DW119)))</f>
        <v>276.47435897435906</v>
      </c>
      <c r="DP120" s="18">
        <f>DO120*VLOOKUP('Données projet'!$B$14,Paramètres!$A$1:$I$89,3,0)*VLOOKUP('Données projet'!$B$14,Paramètres!$A$1:$I$89,5,0)</f>
        <v>263.09300000000007</v>
      </c>
      <c r="DQ120" s="14">
        <f t="shared" si="97"/>
        <v>63.381226101139966</v>
      </c>
      <c r="DR120" s="22">
        <f t="shared" si="70"/>
        <v>568.60927712615228</v>
      </c>
      <c r="DS120" s="62">
        <f t="shared" si="71"/>
        <v>855.44780971391481</v>
      </c>
      <c r="DT120" s="62">
        <f ca="1">AVERAGE(OFFSET($DS$3,0,0,'Données projet'!$E$14+1,1))-AVERAGE(OFFSET($H$3,0,0,'Données projet'!$E$14+1,1))</f>
        <v>425.41154182732936</v>
      </c>
      <c r="DU120" s="62">
        <f t="shared" si="98"/>
        <v>306.44721925744591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68.228690705753422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-5.6843418860808015E-14</v>
      </c>
      <c r="EK120" s="18">
        <f>EJ120*VLOOKUP('Données projet'!$B$15,Paramètres!$A$1:$I$89,3,0)*VLOOKUP('Données projet'!$B$15,Paramètres!$A$1:$I$89,5,0)</f>
        <v>-4.1677594708744434E-14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357.57626046668958</v>
      </c>
      <c r="EP120" s="62">
        <f t="shared" si="100"/>
        <v>386.90439522046199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68.228690705753422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1.1368683772161603E-13</v>
      </c>
      <c r="FF120" s="18">
        <f>FE120*VLOOKUP('Données projet'!$B$16,Paramètres!$A$1:$I$89,3,0)*VLOOKUP('Données projet'!$B$16,Paramètres!$A$1:$I$89,5,0)</f>
        <v>8.8675733422860506E-14</v>
      </c>
      <c r="FG120" s="14">
        <f t="shared" si="101"/>
        <v>1.3509285393066301E-12</v>
      </c>
      <c r="FH120" s="22">
        <f t="shared" si="76"/>
        <v>2.5073107750038623E-12</v>
      </c>
      <c r="FI120" s="62">
        <f t="shared" si="77"/>
        <v>286.83853258776503</v>
      </c>
      <c r="FJ120" s="62">
        <f ca="1">AVERAGE(OFFSET($FI$3,0,0,'Données projet'!$E$16+1,1))-AVERAGE(OFFSET($H$3,0,0,'Données projet'!$E$16+1,1))</f>
        <v>303.56663121833833</v>
      </c>
      <c r="FK120" s="62">
        <f t="shared" si="102"/>
        <v>293.97736357938038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68.228690705753422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-5.6843418860808015E-14</v>
      </c>
      <c r="GA120" s="18">
        <f>FZ120*VLOOKUP('Données projet'!$B$17,Paramètres!$A$1:$I$89,3,0)*VLOOKUP('Données projet'!$B$17,Paramètres!$A$1:$I$89,5,0)</f>
        <v>-4.5224624045658861E-14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383.71724511025587</v>
      </c>
      <c r="GF120" s="62">
        <f t="shared" si="104"/>
        <v>415.10774719533185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68.228690705753422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1.7053025658242404E-13</v>
      </c>
      <c r="GV120" s="18">
        <f>GU120*VLOOKUP('Données projet'!$B$18,Paramètres!$A$1:$I$89,3,0)*VLOOKUP('Données projet'!$B$18,Paramètres!$A$1:$I$89,5,0)</f>
        <v>1.1439169611549005E-13</v>
      </c>
      <c r="GW120" s="14">
        <f t="shared" si="105"/>
        <v>1.6918016515029816E-12</v>
      </c>
      <c r="GX120" s="22">
        <f t="shared" si="82"/>
        <v>3.1457867471021712E-12</v>
      </c>
      <c r="GY120" s="62">
        <f t="shared" si="83"/>
        <v>286.83853258776566</v>
      </c>
      <c r="GZ120" s="62">
        <f ca="1">AVERAGE(OFFSET($GY$3,0,0,'Données projet'!$E$18+1,1))-AVERAGE(OFFSET($H$3,0,0,'Données projet'!$E$18+1,1))</f>
        <v>329.93956600482801</v>
      </c>
      <c r="HA120" s="62">
        <f t="shared" si="106"/>
        <v>268.69186630599165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2.7450000000000001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10.065</v>
      </c>
      <c r="H121" s="70">
        <f t="shared" si="56"/>
        <v>216.40666666666667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68.259418961954268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342.99999999999989</v>
      </c>
      <c r="O121" s="14">
        <f>N121*VLOOKUP('Données projet'!$B$9,Paramètres!$A$1:$I$89,3,0)*VLOOKUP('Données projet'!$B$9,Paramètres!$A$1:$I$89,5,0)</f>
        <v>310.34639999999985</v>
      </c>
      <c r="P121" s="14">
        <f t="shared" si="87"/>
        <v>73.341167576152998</v>
      </c>
      <c r="Q121" s="22">
        <f t="shared" si="107"/>
        <v>668.25584686179957</v>
      </c>
      <c r="R121" s="62">
        <f t="shared" si="55"/>
        <v>955.20704972229851</v>
      </c>
      <c r="S121" s="62">
        <f ca="1">AVERAGE(OFFSET($R$3,0,0,'Données projet'!$E$9+1,1))-AVERAGE(OFFSET($H$3,0,0,'Données projet'!$E$9+1,1))</f>
        <v>551.67307965706379</v>
      </c>
      <c r="T121" s="62">
        <f t="shared" si="88"/>
        <v>288.70738860523943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68.259418961954268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4.5</v>
      </c>
      <c r="AI121" s="14">
        <f>IF('Données projet'!$A$62&gt;35,AI120+AH121-AQ120,IF(A121&lt;'Données projet'!$A$62,$AF$205^A121,IF(A121='Données projet'!$A$62,'Données projet'!$B$62,AI120+AH121-AQ120)))</f>
        <v>342.99999999999989</v>
      </c>
      <c r="AJ121" s="14">
        <f>AI121*VLOOKUP('Données projet'!$B$10,Paramètres!$A$1:$I$89,3,0)*VLOOKUP('Données projet'!$B$10,Paramètres!$A$1:$I$89,5,0)</f>
        <v>288.94319999999993</v>
      </c>
      <c r="AK121" s="14">
        <f t="shared" si="89"/>
        <v>68.853491941116729</v>
      </c>
      <c r="AL121" s="22">
        <f t="shared" si="58"/>
        <v>623.16257179744491</v>
      </c>
      <c r="AM121" s="62">
        <f t="shared" si="59"/>
        <v>910.11377465794385</v>
      </c>
      <c r="AN121" s="62">
        <f ca="1">AVERAGE(OFFSET($AM$3,0,0,'Données projet'!$E$10+1,1))-AVERAGE(OFFSET($H$3,0,0,'Données projet'!$E$10+1,1))</f>
        <v>518.18933270904506</v>
      </c>
      <c r="AO121" s="62">
        <f t="shared" si="90"/>
        <v>272.44431899810411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68.259418961954268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-9.7543306765146564E-14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464.73160475167867</v>
      </c>
      <c r="BJ121" s="62">
        <f t="shared" si="92"/>
        <v>241.31968359962227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68.259418961954268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2.2737367544323206E-13</v>
      </c>
      <c r="BZ121" s="14">
        <f>BY121*VLOOKUP('Données projet'!$B$12,Paramètres!$A$1:$I$89,3,0)*VLOOKUP('Données projet'!$B$12,Paramètres!$A$1:$I$89,5,0)</f>
        <v>1.4897523215040565E-13</v>
      </c>
      <c r="CA121" s="14">
        <f t="shared" si="93"/>
        <v>2.136562777003313E-12</v>
      </c>
      <c r="CB121" s="22">
        <f t="shared" si="64"/>
        <v>3.9806453659427267E-12</v>
      </c>
      <c r="CC121" s="62">
        <f t="shared" si="65"/>
        <v>286.95120286050297</v>
      </c>
      <c r="CD121" s="62">
        <f ca="1">AVERAGE(OFFSET($CC$3,0,0,'Données projet'!$E$12+1,1))-AVERAGE(OFFSET($H$3,0,0,'Données projet'!$E$12+1,1))</f>
        <v>292.13851489852607</v>
      </c>
      <c r="CE121" s="62">
        <f t="shared" si="94"/>
        <v>280.10866188737418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68.259418961954268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-1.1368683772161603E-13</v>
      </c>
      <c r="CU121" s="18">
        <f>CT121*VLOOKUP('Données projet'!$B$13,Paramètres!$A$1:$I$89,3,0)*VLOOKUP('Données projet'!$B$13,Paramètres!$A$1:$I$89,5,0)</f>
        <v>-9.2222762759774927E-14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265.25572936607409</v>
      </c>
      <c r="CZ121" s="62">
        <f t="shared" si="96"/>
        <v>307.96244316129071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68.259418961954268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3.141025641025641</v>
      </c>
      <c r="DO121" s="13">
        <f>IF('Données projet'!$A$166&gt;35,DO120+DN121-DW120,IF(A121&lt;'Données projet'!$A$166,$DL$205^A121,IF(A121='Données projet'!$A$166,'Données projet'!$B$166,DO120+DN121-DW120)))</f>
        <v>279.6153846153847</v>
      </c>
      <c r="DP121" s="18">
        <f>DO121*VLOOKUP('Données projet'!$B$14,Paramètres!$A$1:$I$89,3,0)*VLOOKUP('Données projet'!$B$14,Paramètres!$A$1:$I$89,5,0)</f>
        <v>266.08200000000005</v>
      </c>
      <c r="DQ121" s="14">
        <f t="shared" si="97"/>
        <v>64.017064743360152</v>
      </c>
      <c r="DR121" s="22">
        <f t="shared" si="70"/>
        <v>574.92253776135237</v>
      </c>
      <c r="DS121" s="62">
        <f t="shared" si="71"/>
        <v>861.87374062185131</v>
      </c>
      <c r="DT121" s="62">
        <f ca="1">AVERAGE(OFFSET($DS$3,0,0,'Données projet'!$E$14+1,1))-AVERAGE(OFFSET($H$3,0,0,'Données projet'!$E$14+1,1))</f>
        <v>425.41154182732936</v>
      </c>
      <c r="DU121" s="62">
        <f t="shared" si="98"/>
        <v>306.44721925744591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68.259418961954268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-5.6843418860808015E-14</v>
      </c>
      <c r="EK121" s="18">
        <f>EJ121*VLOOKUP('Données projet'!$B$15,Paramètres!$A$1:$I$89,3,0)*VLOOKUP('Données projet'!$B$15,Paramètres!$A$1:$I$89,5,0)</f>
        <v>-4.1677594708744434E-14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357.57626046668958</v>
      </c>
      <c r="EP121" s="62">
        <f t="shared" si="100"/>
        <v>386.90439522046199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68.259418961954268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1.1368683772161603E-13</v>
      </c>
      <c r="FF121" s="18">
        <f>FE121*VLOOKUP('Données projet'!$B$16,Paramètres!$A$1:$I$89,3,0)*VLOOKUP('Données projet'!$B$16,Paramètres!$A$1:$I$89,5,0)</f>
        <v>8.8675733422860506E-14</v>
      </c>
      <c r="FG121" s="14">
        <f t="shared" si="101"/>
        <v>1.3509285393066301E-12</v>
      </c>
      <c r="FH121" s="22">
        <f t="shared" si="76"/>
        <v>2.5073107750038623E-12</v>
      </c>
      <c r="FI121" s="62">
        <f t="shared" si="77"/>
        <v>286.9512028605015</v>
      </c>
      <c r="FJ121" s="62">
        <f ca="1">AVERAGE(OFFSET($FI$3,0,0,'Données projet'!$E$16+1,1))-AVERAGE(OFFSET($H$3,0,0,'Données projet'!$E$16+1,1))</f>
        <v>303.56663121833833</v>
      </c>
      <c r="FK121" s="62">
        <f t="shared" si="102"/>
        <v>293.97736357938038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68.259418961954268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-5.6843418860808015E-14</v>
      </c>
      <c r="GA121" s="18">
        <f>FZ121*VLOOKUP('Données projet'!$B$17,Paramètres!$A$1:$I$89,3,0)*VLOOKUP('Données projet'!$B$17,Paramètres!$A$1:$I$89,5,0)</f>
        <v>-4.5224624045658861E-14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383.71724511025587</v>
      </c>
      <c r="GF121" s="62">
        <f t="shared" si="104"/>
        <v>415.10774719533185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68.259418961954268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1.7053025658242404E-13</v>
      </c>
      <c r="GV121" s="18">
        <f>GU121*VLOOKUP('Données projet'!$B$18,Paramètres!$A$1:$I$89,3,0)*VLOOKUP('Données projet'!$B$18,Paramètres!$A$1:$I$89,5,0)</f>
        <v>1.1439169611549005E-13</v>
      </c>
      <c r="GW121" s="14">
        <f t="shared" si="105"/>
        <v>1.6918016515029816E-12</v>
      </c>
      <c r="GX121" s="22">
        <f t="shared" si="82"/>
        <v>3.1457867471021712E-12</v>
      </c>
      <c r="GY121" s="62">
        <f t="shared" si="83"/>
        <v>286.95120286050212</v>
      </c>
      <c r="GZ121" s="62">
        <f ca="1">AVERAGE(OFFSET($GY$3,0,0,'Données projet'!$E$18+1,1))-AVERAGE(OFFSET($H$3,0,0,'Données projet'!$E$18+1,1))</f>
        <v>329.93956600482801</v>
      </c>
      <c r="HA121" s="62">
        <f t="shared" si="106"/>
        <v>268.69186630599165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2.7450000000000001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10.065</v>
      </c>
      <c r="H122" s="70">
        <f t="shared" si="56"/>
        <v>216.40666666666667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68.289614151608134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347.49999999999989</v>
      </c>
      <c r="O122" s="14">
        <f>N122*VLOOKUP('Données projet'!$B$9,Paramètres!$A$1:$I$89,3,0)*VLOOKUP('Données projet'!$B$9,Paramètres!$A$1:$I$89,5,0)</f>
        <v>314.41799999999989</v>
      </c>
      <c r="P122" s="14">
        <f t="shared" si="87"/>
        <v>74.190723151497338</v>
      </c>
      <c r="Q122" s="22">
        <f t="shared" si="107"/>
        <v>676.82685948885762</v>
      </c>
      <c r="R122" s="62">
        <f t="shared" si="55"/>
        <v>963.88877804475419</v>
      </c>
      <c r="S122" s="62">
        <f ca="1">AVERAGE(OFFSET($R$3,0,0,'Données projet'!$E$9+1,1))-AVERAGE(OFFSET($H$3,0,0,'Données projet'!$E$9+1,1))</f>
        <v>551.67307965706379</v>
      </c>
      <c r="T122" s="62">
        <f t="shared" si="88"/>
        <v>288.70738860523943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68.289614151608134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4.5</v>
      </c>
      <c r="AI122" s="14">
        <f>IF('Données projet'!$A$62&gt;35,AI121+AH122-AQ121,IF(A122&lt;'Données projet'!$A$62,$AF$205^A122,IF(A122='Données projet'!$A$62,'Données projet'!$B$62,AI121+AH122-AQ121)))</f>
        <v>347.49999999999989</v>
      </c>
      <c r="AJ122" s="14">
        <f>AI122*VLOOKUP('Données projet'!$B$10,Paramètres!$A$1:$I$89,3,0)*VLOOKUP('Données projet'!$B$10,Paramètres!$A$1:$I$89,5,0)</f>
        <v>292.73399999999992</v>
      </c>
      <c r="AK122" s="14">
        <f t="shared" si="89"/>
        <v>69.651064026395645</v>
      </c>
      <c r="AL122" s="22">
        <f t="shared" si="58"/>
        <v>631.15398651263888</v>
      </c>
      <c r="AM122" s="62">
        <f t="shared" si="59"/>
        <v>918.21590506853545</v>
      </c>
      <c r="AN122" s="62">
        <f ca="1">AVERAGE(OFFSET($AM$3,0,0,'Données projet'!$E$10+1,1))-AVERAGE(OFFSET($H$3,0,0,'Données projet'!$E$10+1,1))</f>
        <v>518.18933270904506</v>
      </c>
      <c r="AO122" s="62">
        <f t="shared" si="90"/>
        <v>272.44431899810411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68.289614151608134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-9.7543306765146564E-14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464.73160475167867</v>
      </c>
      <c r="BJ122" s="62">
        <f t="shared" si="92"/>
        <v>241.31968359962227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68.289614151608134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2.2737367544323206E-13</v>
      </c>
      <c r="BZ122" s="14">
        <f>BY122*VLOOKUP('Données projet'!$B$12,Paramètres!$A$1:$I$89,3,0)*VLOOKUP('Données projet'!$B$12,Paramètres!$A$1:$I$89,5,0)</f>
        <v>1.4897523215040565E-13</v>
      </c>
      <c r="CA122" s="14">
        <f t="shared" si="93"/>
        <v>2.136562777003313E-12</v>
      </c>
      <c r="CB122" s="22">
        <f t="shared" si="64"/>
        <v>3.9806453659427267E-12</v>
      </c>
      <c r="CC122" s="62">
        <f t="shared" si="65"/>
        <v>287.06191855590049</v>
      </c>
      <c r="CD122" s="62">
        <f ca="1">AVERAGE(OFFSET($CC$3,0,0,'Données projet'!$E$12+1,1))-AVERAGE(OFFSET($H$3,0,0,'Données projet'!$E$12+1,1))</f>
        <v>292.13851489852607</v>
      </c>
      <c r="CE122" s="62">
        <f t="shared" si="94"/>
        <v>280.10866188737418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68.289614151608134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-1.1368683772161603E-13</v>
      </c>
      <c r="CU122" s="18">
        <f>CT122*VLOOKUP('Données projet'!$B$13,Paramètres!$A$1:$I$89,3,0)*VLOOKUP('Données projet'!$B$13,Paramètres!$A$1:$I$89,5,0)</f>
        <v>-9.2222762759774927E-14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265.25572936607409</v>
      </c>
      <c r="CZ122" s="62">
        <f t="shared" si="96"/>
        <v>307.96244316129071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68.289614151608134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3.141025641025641</v>
      </c>
      <c r="DO122" s="13">
        <f>IF('Données projet'!$A$166&gt;35,DO121+DN122-DW121,IF(A122&lt;'Données projet'!$A$166,$DL$205^A122,IF(A122='Données projet'!$A$166,'Données projet'!$B$166,DO121+DN122-DW121)))</f>
        <v>282.75641025641033</v>
      </c>
      <c r="DP122" s="18">
        <f>DO122*VLOOKUP('Données projet'!$B$14,Paramètres!$A$1:$I$89,3,0)*VLOOKUP('Données projet'!$B$14,Paramètres!$A$1:$I$89,5,0)</f>
        <v>269.07100000000008</v>
      </c>
      <c r="DQ122" s="14">
        <f t="shared" si="97"/>
        <v>64.652072509850228</v>
      </c>
      <c r="DR122" s="22">
        <f t="shared" si="70"/>
        <v>581.2343512879894</v>
      </c>
      <c r="DS122" s="62">
        <f t="shared" si="71"/>
        <v>868.29626984388597</v>
      </c>
      <c r="DT122" s="62">
        <f ca="1">AVERAGE(OFFSET($DS$3,0,0,'Données projet'!$E$14+1,1))-AVERAGE(OFFSET($H$3,0,0,'Données projet'!$E$14+1,1))</f>
        <v>425.41154182732936</v>
      </c>
      <c r="DU122" s="62">
        <f t="shared" si="98"/>
        <v>306.44721925744591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68.289614151608134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-5.6843418860808015E-14</v>
      </c>
      <c r="EK122" s="18">
        <f>EJ122*VLOOKUP('Données projet'!$B$15,Paramètres!$A$1:$I$89,3,0)*VLOOKUP('Données projet'!$B$15,Paramètres!$A$1:$I$89,5,0)</f>
        <v>-4.1677594708744434E-14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357.57626046668958</v>
      </c>
      <c r="EP122" s="62">
        <f t="shared" si="100"/>
        <v>386.90439522046199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68.289614151608134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1.1368683772161603E-13</v>
      </c>
      <c r="FF122" s="18">
        <f>FE122*VLOOKUP('Données projet'!$B$16,Paramètres!$A$1:$I$89,3,0)*VLOOKUP('Données projet'!$B$16,Paramètres!$A$1:$I$89,5,0)</f>
        <v>8.8675733422860506E-14</v>
      </c>
      <c r="FG122" s="14">
        <f t="shared" si="101"/>
        <v>1.3509285393066301E-12</v>
      </c>
      <c r="FH122" s="22">
        <f t="shared" si="76"/>
        <v>2.5073107750038623E-12</v>
      </c>
      <c r="FI122" s="62">
        <f t="shared" si="77"/>
        <v>287.06191855589901</v>
      </c>
      <c r="FJ122" s="62">
        <f ca="1">AVERAGE(OFFSET($FI$3,0,0,'Données projet'!$E$16+1,1))-AVERAGE(OFFSET($H$3,0,0,'Données projet'!$E$16+1,1))</f>
        <v>303.56663121833833</v>
      </c>
      <c r="FK122" s="62">
        <f t="shared" si="102"/>
        <v>293.97736357938038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68.289614151608134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-5.6843418860808015E-14</v>
      </c>
      <c r="GA122" s="18">
        <f>FZ122*VLOOKUP('Données projet'!$B$17,Paramètres!$A$1:$I$89,3,0)*VLOOKUP('Données projet'!$B$17,Paramètres!$A$1:$I$89,5,0)</f>
        <v>-4.5224624045658861E-14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383.71724511025587</v>
      </c>
      <c r="GF122" s="62">
        <f t="shared" si="104"/>
        <v>415.10774719533185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68.289614151608134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1.7053025658242404E-13</v>
      </c>
      <c r="GV122" s="18">
        <f>GU122*VLOOKUP('Données projet'!$B$18,Paramètres!$A$1:$I$89,3,0)*VLOOKUP('Données projet'!$B$18,Paramètres!$A$1:$I$89,5,0)</f>
        <v>1.1439169611549005E-13</v>
      </c>
      <c r="GW122" s="14">
        <f t="shared" si="105"/>
        <v>1.6918016515029816E-12</v>
      </c>
      <c r="GX122" s="22">
        <f t="shared" si="82"/>
        <v>3.1457867471021712E-12</v>
      </c>
      <c r="GY122" s="62">
        <f t="shared" si="83"/>
        <v>287.06191855589964</v>
      </c>
      <c r="GZ122" s="62">
        <f ca="1">AVERAGE(OFFSET($GY$3,0,0,'Données projet'!$E$18+1,1))-AVERAGE(OFFSET($H$3,0,0,'Données projet'!$E$18+1,1))</f>
        <v>329.93956600482801</v>
      </c>
      <c r="HA122" s="62">
        <f t="shared" si="106"/>
        <v>268.69186630599165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2.7450000000000001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10.065</v>
      </c>
      <c r="H123" s="70">
        <f t="shared" si="56"/>
        <v>216.40666666666667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68.31928552222783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351.99999999999989</v>
      </c>
      <c r="O123" s="14">
        <f>N123*VLOOKUP('Données projet'!$B$9,Paramètres!$A$1:$I$89,3,0)*VLOOKUP('Données projet'!$B$9,Paramètres!$A$1:$I$89,5,0)</f>
        <v>318.48959999999988</v>
      </c>
      <c r="P123" s="14">
        <f t="shared" si="87"/>
        <v>75.038999086150227</v>
      </c>
      <c r="Q123" s="22">
        <f t="shared" si="107"/>
        <v>685.39564340837808</v>
      </c>
      <c r="R123" s="62">
        <f t="shared" si="55"/>
        <v>972.56635698988021</v>
      </c>
      <c r="S123" s="62">
        <f ca="1">AVERAGE(OFFSET($R$3,0,0,'Données projet'!$E$9+1,1))-AVERAGE(OFFSET($H$3,0,0,'Données projet'!$E$9+1,1))</f>
        <v>551.67307965706379</v>
      </c>
      <c r="T123" s="62">
        <f t="shared" si="88"/>
        <v>288.70738860523943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68.31928552222783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352</v>
      </c>
      <c r="AG123" s="13">
        <f>VLOOKUP(A123,'Données projet'!$A$61:$I$81,9,0)</f>
        <v>4.5</v>
      </c>
      <c r="AH123" s="13">
        <f t="array" ref="AH123">INDEX(AG:AG,MIN(IF(ISNUMBER(AG123:AG319),ROW(AG123:AG319),"")))</f>
        <v>4.5</v>
      </c>
      <c r="AI123" s="14">
        <f>IF('Données projet'!$A$62&gt;35,AI122+AH123-AQ122,IF(A123&lt;'Données projet'!$A$62,$AF$205^A123,IF(A123='Données projet'!$A$62,'Données projet'!$B$62,AI122+AH123-AQ122)))</f>
        <v>351.99999999999989</v>
      </c>
      <c r="AJ123" s="14">
        <f>AI123*VLOOKUP('Données projet'!$B$10,Paramètres!$A$1:$I$89,3,0)*VLOOKUP('Données projet'!$B$10,Paramètres!$A$1:$I$89,5,0)</f>
        <v>296.52479999999991</v>
      </c>
      <c r="AK123" s="14">
        <f t="shared" si="89"/>
        <v>70.447434770968528</v>
      </c>
      <c r="AL123" s="22">
        <f t="shared" si="58"/>
        <v>639.14330889277005</v>
      </c>
      <c r="AM123" s="62">
        <f t="shared" si="59"/>
        <v>926.31402247427218</v>
      </c>
      <c r="AN123" s="62">
        <f ca="1">AVERAGE(OFFSET($AM$3,0,0,'Données projet'!$E$10+1,1))-AVERAGE(OFFSET($H$3,0,0,'Données projet'!$E$10+1,1))</f>
        <v>518.18933270904506</v>
      </c>
      <c r="AO123" s="62">
        <f t="shared" si="90"/>
        <v>272.44431899810411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68.31928552222783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-9.7543306765146564E-14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464.73160475167867</v>
      </c>
      <c r="BJ123" s="62">
        <f t="shared" si="92"/>
        <v>241.31968359962227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68.31928552222783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2.2737367544323206E-13</v>
      </c>
      <c r="BZ123" s="14">
        <f>BY123*VLOOKUP('Données projet'!$B$12,Paramètres!$A$1:$I$89,3,0)*VLOOKUP('Données projet'!$B$12,Paramètres!$A$1:$I$89,5,0)</f>
        <v>1.4897523215040565E-13</v>
      </c>
      <c r="CA123" s="14">
        <f t="shared" si="93"/>
        <v>2.136562777003313E-12</v>
      </c>
      <c r="CB123" s="22">
        <f t="shared" si="64"/>
        <v>3.9806453659427267E-12</v>
      </c>
      <c r="CC123" s="62">
        <f t="shared" si="65"/>
        <v>287.17071358150605</v>
      </c>
      <c r="CD123" s="62">
        <f ca="1">AVERAGE(OFFSET($CC$3,0,0,'Données projet'!$E$12+1,1))-AVERAGE(OFFSET($H$3,0,0,'Données projet'!$E$12+1,1))</f>
        <v>292.13851489852607</v>
      </c>
      <c r="CE123" s="62">
        <f t="shared" si="94"/>
        <v>280.10866188737418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68.31928552222783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-1.1368683772161603E-13</v>
      </c>
      <c r="CU123" s="18">
        <f>CT123*VLOOKUP('Données projet'!$B$13,Paramètres!$A$1:$I$89,3,0)*VLOOKUP('Données projet'!$B$13,Paramètres!$A$1:$I$89,5,0)</f>
        <v>-9.2222762759774927E-14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265.25572936607409</v>
      </c>
      <c r="CZ123" s="62">
        <f t="shared" si="96"/>
        <v>307.96244316129071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68.31928552222783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285.89743589743591</v>
      </c>
      <c r="DM123" s="13">
        <f>VLOOKUP(A123,'Données projet'!$A$165:$I$185,9,0)</f>
        <v>3.141025641025641</v>
      </c>
      <c r="DN123" s="13">
        <f t="array" ref="DN123">INDEX(DM:DM,MIN(IF(ISNUMBER(DM123:DM319),ROW(DM123:DM319),"")))</f>
        <v>3.141025641025641</v>
      </c>
      <c r="DO123" s="13">
        <f>IF('Données projet'!$A$166&gt;35,DO122+DN123-DW122,IF(A123&lt;'Données projet'!$A$166,$DL$205^A123,IF(A123='Données projet'!$A$166,'Données projet'!$B$166,DO122+DN123-DW122)))</f>
        <v>285.89743589743597</v>
      </c>
      <c r="DP123" s="18">
        <f>DO123*VLOOKUP('Données projet'!$B$14,Paramètres!$A$1:$I$89,3,0)*VLOOKUP('Données projet'!$B$14,Paramètres!$A$1:$I$89,5,0)</f>
        <v>272.06000000000006</v>
      </c>
      <c r="DQ123" s="14">
        <f t="shared" si="97"/>
        <v>65.286259698592175</v>
      </c>
      <c r="DR123" s="22">
        <f t="shared" si="70"/>
        <v>587.54473564171474</v>
      </c>
      <c r="DS123" s="62">
        <f t="shared" si="71"/>
        <v>874.71544922321686</v>
      </c>
      <c r="DT123" s="62">
        <f ca="1">AVERAGE(OFFSET($DS$3,0,0,'Données projet'!$E$14+1,1))-AVERAGE(OFFSET($H$3,0,0,'Données projet'!$E$14+1,1))</f>
        <v>425.41154182732936</v>
      </c>
      <c r="DU123" s="62">
        <f t="shared" si="98"/>
        <v>306.44721925744591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285.89743589743591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68.31928552222783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-5.6843418860808015E-14</v>
      </c>
      <c r="EK123" s="18">
        <f>EJ123*VLOOKUP('Données projet'!$B$15,Paramètres!$A$1:$I$89,3,0)*VLOOKUP('Données projet'!$B$15,Paramètres!$A$1:$I$89,5,0)</f>
        <v>-4.1677594708744434E-14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357.57626046668958</v>
      </c>
      <c r="EP123" s="62">
        <f t="shared" si="100"/>
        <v>386.90439522046199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68.31928552222783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1.1368683772161603E-13</v>
      </c>
      <c r="FF123" s="18">
        <f>FE123*VLOOKUP('Données projet'!$B$16,Paramètres!$A$1:$I$89,3,0)*VLOOKUP('Données projet'!$B$16,Paramètres!$A$1:$I$89,5,0)</f>
        <v>8.8675733422860506E-14</v>
      </c>
      <c r="FG123" s="14">
        <f t="shared" si="101"/>
        <v>1.3509285393066301E-12</v>
      </c>
      <c r="FH123" s="22">
        <f t="shared" si="76"/>
        <v>2.5073107750038623E-12</v>
      </c>
      <c r="FI123" s="62">
        <f t="shared" si="77"/>
        <v>287.17071358150457</v>
      </c>
      <c r="FJ123" s="62">
        <f ca="1">AVERAGE(OFFSET($FI$3,0,0,'Données projet'!$E$16+1,1))-AVERAGE(OFFSET($H$3,0,0,'Données projet'!$E$16+1,1))</f>
        <v>303.56663121833833</v>
      </c>
      <c r="FK123" s="62">
        <f t="shared" si="102"/>
        <v>293.97736357938038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68.31928552222783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-5.6843418860808015E-14</v>
      </c>
      <c r="GA123" s="18">
        <f>FZ123*VLOOKUP('Données projet'!$B$17,Paramètres!$A$1:$I$89,3,0)*VLOOKUP('Données projet'!$B$17,Paramètres!$A$1:$I$89,5,0)</f>
        <v>-4.5224624045658861E-14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383.71724511025587</v>
      </c>
      <c r="GF123" s="62">
        <f t="shared" si="104"/>
        <v>415.10774719533185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68.31928552222783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1.7053025658242404E-13</v>
      </c>
      <c r="GV123" s="18">
        <f>GU123*VLOOKUP('Données projet'!$B$18,Paramètres!$A$1:$I$89,3,0)*VLOOKUP('Données projet'!$B$18,Paramètres!$A$1:$I$89,5,0)</f>
        <v>1.1439169611549005E-13</v>
      </c>
      <c r="GW123" s="14">
        <f t="shared" si="105"/>
        <v>1.6918016515029816E-12</v>
      </c>
      <c r="GX123" s="22">
        <f t="shared" si="82"/>
        <v>3.1457867471021712E-12</v>
      </c>
      <c r="GY123" s="62">
        <f t="shared" si="83"/>
        <v>287.1707135815052</v>
      </c>
      <c r="GZ123" s="62">
        <f ca="1">AVERAGE(OFFSET($GY$3,0,0,'Données projet'!$E$18+1,1))-AVERAGE(OFFSET($H$3,0,0,'Données projet'!$E$18+1,1))</f>
        <v>329.93956600482801</v>
      </c>
      <c r="HA123" s="62">
        <f t="shared" si="106"/>
        <v>268.69186630599165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2.7450000000000001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10.065</v>
      </c>
      <c r="H124" s="70">
        <f t="shared" si="56"/>
        <v>216.40666666666667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68.348442160902522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356.19999999999987</v>
      </c>
      <c r="O124" s="14">
        <f>N124*VLOOKUP('Données projet'!$B$9,Paramètres!$A$1:$I$89,3,0)*VLOOKUP('Données projet'!$B$9,Paramètres!$A$1:$I$89,5,0)</f>
        <v>322.28975999999989</v>
      </c>
      <c r="P124" s="14">
        <f t="shared" si="87"/>
        <v>75.829584879013211</v>
      </c>
      <c r="Q124" s="22">
        <f t="shared" si="107"/>
        <v>693.39119233094789</v>
      </c>
      <c r="R124" s="62">
        <f t="shared" si="55"/>
        <v>980.66881358759042</v>
      </c>
      <c r="S124" s="62">
        <f ca="1">AVERAGE(OFFSET($R$3,0,0,'Données projet'!$E$9+1,1))-AVERAGE(OFFSET($H$3,0,0,'Données projet'!$E$9+1,1))</f>
        <v>551.67307965706379</v>
      </c>
      <c r="T124" s="62">
        <f t="shared" si="88"/>
        <v>288.70738860523943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68.348442160902522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4.2</v>
      </c>
      <c r="AI124" s="14">
        <f>IF('Données projet'!$A$62&gt;35,AI123+AH124-AQ123,IF(A124&lt;'Données projet'!$A$62,$AF$205^A124,IF(A124='Données projet'!$A$62,'Données projet'!$B$62,AI123+AH124-AQ123)))</f>
        <v>356.19999999999987</v>
      </c>
      <c r="AJ124" s="14">
        <f>AI124*VLOOKUP('Données projet'!$B$10,Paramètres!$A$1:$I$89,3,0)*VLOOKUP('Données projet'!$B$10,Paramètres!$A$1:$I$89,5,0)</f>
        <v>300.06287999999995</v>
      </c>
      <c r="AK124" s="14">
        <f t="shared" si="89"/>
        <v>71.189645378143979</v>
      </c>
      <c r="AL124" s="22">
        <f t="shared" si="58"/>
        <v>646.59814836693397</v>
      </c>
      <c r="AM124" s="62">
        <f t="shared" si="59"/>
        <v>933.87576962357662</v>
      </c>
      <c r="AN124" s="62">
        <f ca="1">AVERAGE(OFFSET($AM$3,0,0,'Données projet'!$E$10+1,1))-AVERAGE(OFFSET($H$3,0,0,'Données projet'!$E$10+1,1))</f>
        <v>518.18933270904506</v>
      </c>
      <c r="AO124" s="62">
        <f t="shared" si="90"/>
        <v>272.44431899810411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68.348442160902522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-9.7543306765146564E-14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464.73160475167867</v>
      </c>
      <c r="BJ124" s="62">
        <f t="shared" si="92"/>
        <v>241.31968359962227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68.348442160902522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2.2737367544323206E-13</v>
      </c>
      <c r="BZ124" s="14">
        <f>BY124*VLOOKUP('Données projet'!$B$12,Paramètres!$A$1:$I$89,3,0)*VLOOKUP('Données projet'!$B$12,Paramètres!$A$1:$I$89,5,0)</f>
        <v>1.4897523215040565E-13</v>
      </c>
      <c r="CA124" s="14">
        <f t="shared" si="93"/>
        <v>2.136562777003313E-12</v>
      </c>
      <c r="CB124" s="22">
        <f t="shared" si="64"/>
        <v>3.9806453659427267E-12</v>
      </c>
      <c r="CC124" s="62">
        <f t="shared" si="65"/>
        <v>287.27762125664657</v>
      </c>
      <c r="CD124" s="62">
        <f ca="1">AVERAGE(OFFSET($CC$3,0,0,'Données projet'!$E$12+1,1))-AVERAGE(OFFSET($H$3,0,0,'Données projet'!$E$12+1,1))</f>
        <v>292.13851489852607</v>
      </c>
      <c r="CE124" s="62">
        <f t="shared" si="94"/>
        <v>280.10866188737418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68.348442160902522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-1.1368683772161603E-13</v>
      </c>
      <c r="CU124" s="18">
        <f>CT124*VLOOKUP('Données projet'!$B$13,Paramètres!$A$1:$I$89,3,0)*VLOOKUP('Données projet'!$B$13,Paramètres!$A$1:$I$89,5,0)</f>
        <v>-9.2222762759774927E-14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265.25572936607409</v>
      </c>
      <c r="CZ124" s="62">
        <f t="shared" si="96"/>
        <v>307.96244316129071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68.348442160902522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5.6843418860808015E-14</v>
      </c>
      <c r="DP124" s="18">
        <f>DO124*VLOOKUP('Données projet'!$B$14,Paramètres!$A$1:$I$89,3,0)*VLOOKUP('Données projet'!$B$14,Paramètres!$A$1:$I$89,5,0)</f>
        <v>5.4092197387944907E-14</v>
      </c>
      <c r="DQ124" s="14">
        <f t="shared" si="97"/>
        <v>8.7287050538073676E-13</v>
      </c>
      <c r="DR124" s="22">
        <f t="shared" si="70"/>
        <v>1.6144600406554537E-12</v>
      </c>
      <c r="DS124" s="62">
        <f t="shared" si="71"/>
        <v>287.27762125664418</v>
      </c>
      <c r="DT124" s="62">
        <f ca="1">AVERAGE(OFFSET($DS$3,0,0,'Données projet'!$E$14+1,1))-AVERAGE(OFFSET($H$3,0,0,'Données projet'!$E$14+1,1))</f>
        <v>425.41154182732936</v>
      </c>
      <c r="DU124" s="62">
        <f t="shared" si="98"/>
        <v>306.44721925744591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68.348442160902522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-5.6843418860808015E-14</v>
      </c>
      <c r="EK124" s="18">
        <f>EJ124*VLOOKUP('Données projet'!$B$15,Paramètres!$A$1:$I$89,3,0)*VLOOKUP('Données projet'!$B$15,Paramètres!$A$1:$I$89,5,0)</f>
        <v>-4.1677594708744434E-14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357.57626046668958</v>
      </c>
      <c r="EP124" s="62">
        <f t="shared" si="100"/>
        <v>386.90439522046199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68.348442160902522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1.1368683772161603E-13</v>
      </c>
      <c r="FF124" s="18">
        <f>FE124*VLOOKUP('Données projet'!$B$16,Paramètres!$A$1:$I$89,3,0)*VLOOKUP('Données projet'!$B$16,Paramètres!$A$1:$I$89,5,0)</f>
        <v>8.8675733422860506E-14</v>
      </c>
      <c r="FG124" s="14">
        <f t="shared" si="101"/>
        <v>1.3509285393066301E-12</v>
      </c>
      <c r="FH124" s="22">
        <f t="shared" si="76"/>
        <v>2.5073107750038623E-12</v>
      </c>
      <c r="FI124" s="62">
        <f t="shared" si="77"/>
        <v>287.27762125664509</v>
      </c>
      <c r="FJ124" s="62">
        <f ca="1">AVERAGE(OFFSET($FI$3,0,0,'Données projet'!$E$16+1,1))-AVERAGE(OFFSET($H$3,0,0,'Données projet'!$E$16+1,1))</f>
        <v>303.56663121833833</v>
      </c>
      <c r="FK124" s="62">
        <f t="shared" si="102"/>
        <v>293.97736357938038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68.348442160902522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-5.6843418860808015E-14</v>
      </c>
      <c r="GA124" s="18">
        <f>FZ124*VLOOKUP('Données projet'!$B$17,Paramètres!$A$1:$I$89,3,0)*VLOOKUP('Données projet'!$B$17,Paramètres!$A$1:$I$89,5,0)</f>
        <v>-4.5224624045658861E-14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383.71724511025587</v>
      </c>
      <c r="GF124" s="62">
        <f t="shared" si="104"/>
        <v>415.10774719533185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68.348442160902522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1.7053025658242404E-13</v>
      </c>
      <c r="GV124" s="18">
        <f>GU124*VLOOKUP('Données projet'!$B$18,Paramètres!$A$1:$I$89,3,0)*VLOOKUP('Données projet'!$B$18,Paramètres!$A$1:$I$89,5,0)</f>
        <v>1.1439169611549005E-13</v>
      </c>
      <c r="GW124" s="14">
        <f t="shared" si="105"/>
        <v>1.6918016515029816E-12</v>
      </c>
      <c r="GX124" s="22">
        <f t="shared" si="82"/>
        <v>3.1457867471021712E-12</v>
      </c>
      <c r="GY124" s="62">
        <f t="shared" si="83"/>
        <v>287.27762125664572</v>
      </c>
      <c r="GZ124" s="62">
        <f ca="1">AVERAGE(OFFSET($GY$3,0,0,'Données projet'!$E$18+1,1))-AVERAGE(OFFSET($H$3,0,0,'Données projet'!$E$18+1,1))</f>
        <v>329.93956600482801</v>
      </c>
      <c r="HA124" s="62">
        <f t="shared" si="106"/>
        <v>268.69186630599165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2.7450000000000001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10.065</v>
      </c>
      <c r="H125" s="70">
        <f t="shared" si="56"/>
        <v>216.40666666666667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68.37709299708068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360.39999999999986</v>
      </c>
      <c r="O125" s="14">
        <f>N125*VLOOKUP('Données projet'!$B$9,Paramètres!$A$1:$I$89,3,0)*VLOOKUP('Données projet'!$B$9,Paramètres!$A$1:$I$89,5,0)</f>
        <v>326.08991999999984</v>
      </c>
      <c r="P125" s="14">
        <f t="shared" si="87"/>
        <v>76.619086320573132</v>
      </c>
      <c r="Q125" s="22">
        <f t="shared" si="107"/>
        <v>701.38485267499789</v>
      </c>
      <c r="R125" s="62">
        <f t="shared" si="55"/>
        <v>988.7675269976271</v>
      </c>
      <c r="S125" s="62">
        <f ca="1">AVERAGE(OFFSET($R$3,0,0,'Données projet'!$E$9+1,1))-AVERAGE(OFFSET($H$3,0,0,'Données projet'!$E$9+1,1))</f>
        <v>551.67307965706379</v>
      </c>
      <c r="T125" s="62">
        <f t="shared" si="88"/>
        <v>288.70738860523943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68.37709299708068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4.2</v>
      </c>
      <c r="AI125" s="14">
        <f>IF('Données projet'!$A$62&gt;35,AI124+AH125-AQ124,IF(A125&lt;'Données projet'!$A$62,$AF$205^A125,IF(A125='Données projet'!$A$62,'Données projet'!$B$62,AI124+AH125-AQ124)))</f>
        <v>360.39999999999986</v>
      </c>
      <c r="AJ125" s="14">
        <f>AI125*VLOOKUP('Données projet'!$B$10,Paramètres!$A$1:$I$89,3,0)*VLOOKUP('Données projet'!$B$10,Paramètres!$A$1:$I$89,5,0)</f>
        <v>303.60095999999987</v>
      </c>
      <c r="AK125" s="14">
        <f t="shared" si="89"/>
        <v>71.930837984431591</v>
      </c>
      <c r="AL125" s="22">
        <f t="shared" si="58"/>
        <v>654.05121482288484</v>
      </c>
      <c r="AM125" s="62">
        <f t="shared" si="59"/>
        <v>941.43388914551406</v>
      </c>
      <c r="AN125" s="62">
        <f ca="1">AVERAGE(OFFSET($AM$3,0,0,'Données projet'!$E$10+1,1))-AVERAGE(OFFSET($H$3,0,0,'Données projet'!$E$10+1,1))</f>
        <v>518.18933270904506</v>
      </c>
      <c r="AO125" s="62">
        <f t="shared" si="90"/>
        <v>272.44431899810411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68.37709299708068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-9.7543306765146564E-14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464.73160475167867</v>
      </c>
      <c r="BJ125" s="62">
        <f t="shared" si="92"/>
        <v>241.31968359962227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68.37709299708068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2.2737367544323206E-13</v>
      </c>
      <c r="BZ125" s="14">
        <f>BY125*VLOOKUP('Données projet'!$B$12,Paramètres!$A$1:$I$89,3,0)*VLOOKUP('Données projet'!$B$12,Paramètres!$A$1:$I$89,5,0)</f>
        <v>1.4897523215040565E-13</v>
      </c>
      <c r="CA125" s="14">
        <f t="shared" si="93"/>
        <v>2.136562777003313E-12</v>
      </c>
      <c r="CB125" s="22">
        <f t="shared" si="64"/>
        <v>3.9806453659427267E-12</v>
      </c>
      <c r="CC125" s="62">
        <f t="shared" si="65"/>
        <v>287.38267432263314</v>
      </c>
      <c r="CD125" s="62">
        <f ca="1">AVERAGE(OFFSET($CC$3,0,0,'Données projet'!$E$12+1,1))-AVERAGE(OFFSET($H$3,0,0,'Données projet'!$E$12+1,1))</f>
        <v>292.13851489852607</v>
      </c>
      <c r="CE125" s="62">
        <f t="shared" si="94"/>
        <v>280.10866188737418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68.37709299708068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-1.1368683772161603E-13</v>
      </c>
      <c r="CU125" s="18">
        <f>CT125*VLOOKUP('Données projet'!$B$13,Paramètres!$A$1:$I$89,3,0)*VLOOKUP('Données projet'!$B$13,Paramètres!$A$1:$I$89,5,0)</f>
        <v>-9.2222762759774927E-14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265.25572936607409</v>
      </c>
      <c r="CZ125" s="62">
        <f t="shared" si="96"/>
        <v>307.96244316129071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68.37709299708068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5.6843418860808015E-14</v>
      </c>
      <c r="DP125" s="18">
        <f>DO125*VLOOKUP('Données projet'!$B$14,Paramètres!$A$1:$I$89,3,0)*VLOOKUP('Données projet'!$B$14,Paramètres!$A$1:$I$89,5,0)</f>
        <v>5.4092197387944907E-14</v>
      </c>
      <c r="DQ125" s="14">
        <f t="shared" si="97"/>
        <v>8.7287050538073676E-13</v>
      </c>
      <c r="DR125" s="22">
        <f t="shared" si="70"/>
        <v>1.6144600406554537E-12</v>
      </c>
      <c r="DS125" s="62">
        <f t="shared" si="71"/>
        <v>287.38267432263075</v>
      </c>
      <c r="DT125" s="62">
        <f ca="1">AVERAGE(OFFSET($DS$3,0,0,'Données projet'!$E$14+1,1))-AVERAGE(OFFSET($H$3,0,0,'Données projet'!$E$14+1,1))</f>
        <v>425.41154182732936</v>
      </c>
      <c r="DU125" s="62">
        <f t="shared" si="98"/>
        <v>306.44721925744591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68.37709299708068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-5.6843418860808015E-14</v>
      </c>
      <c r="EK125" s="18">
        <f>EJ125*VLOOKUP('Données projet'!$B$15,Paramètres!$A$1:$I$89,3,0)*VLOOKUP('Données projet'!$B$15,Paramètres!$A$1:$I$89,5,0)</f>
        <v>-4.1677594708744434E-14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357.57626046668958</v>
      </c>
      <c r="EP125" s="62">
        <f t="shared" si="100"/>
        <v>386.90439522046199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68.37709299708068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1.1368683772161603E-13</v>
      </c>
      <c r="FF125" s="18">
        <f>FE125*VLOOKUP('Données projet'!$B$16,Paramètres!$A$1:$I$89,3,0)*VLOOKUP('Données projet'!$B$16,Paramètres!$A$1:$I$89,5,0)</f>
        <v>8.8675733422860506E-14</v>
      </c>
      <c r="FG125" s="14">
        <f t="shared" si="101"/>
        <v>1.3509285393066301E-12</v>
      </c>
      <c r="FH125" s="22">
        <f t="shared" si="76"/>
        <v>2.5073107750038623E-12</v>
      </c>
      <c r="FI125" s="62">
        <f t="shared" si="77"/>
        <v>287.38267432263166</v>
      </c>
      <c r="FJ125" s="62">
        <f ca="1">AVERAGE(OFFSET($FI$3,0,0,'Données projet'!$E$16+1,1))-AVERAGE(OFFSET($H$3,0,0,'Données projet'!$E$16+1,1))</f>
        <v>303.56663121833833</v>
      </c>
      <c r="FK125" s="62">
        <f t="shared" si="102"/>
        <v>293.97736357938038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68.37709299708068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-5.6843418860808015E-14</v>
      </c>
      <c r="GA125" s="18">
        <f>FZ125*VLOOKUP('Données projet'!$B$17,Paramètres!$A$1:$I$89,3,0)*VLOOKUP('Données projet'!$B$17,Paramètres!$A$1:$I$89,5,0)</f>
        <v>-4.5224624045658861E-14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383.71724511025587</v>
      </c>
      <c r="GF125" s="62">
        <f t="shared" si="104"/>
        <v>415.10774719533185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68.37709299708068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1.7053025658242404E-13</v>
      </c>
      <c r="GV125" s="18">
        <f>GU125*VLOOKUP('Données projet'!$B$18,Paramètres!$A$1:$I$89,3,0)*VLOOKUP('Données projet'!$B$18,Paramètres!$A$1:$I$89,5,0)</f>
        <v>1.1439169611549005E-13</v>
      </c>
      <c r="GW125" s="14">
        <f t="shared" si="105"/>
        <v>1.6918016515029816E-12</v>
      </c>
      <c r="GX125" s="22">
        <f t="shared" si="82"/>
        <v>3.1457867471021712E-12</v>
      </c>
      <c r="GY125" s="62">
        <f t="shared" si="83"/>
        <v>287.38267432263228</v>
      </c>
      <c r="GZ125" s="62">
        <f ca="1">AVERAGE(OFFSET($GY$3,0,0,'Données projet'!$E$18+1,1))-AVERAGE(OFFSET($H$3,0,0,'Données projet'!$E$18+1,1))</f>
        <v>329.93956600482801</v>
      </c>
      <c r="HA125" s="62">
        <f t="shared" si="106"/>
        <v>268.69186630599165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2.7450000000000001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10.065</v>
      </c>
      <c r="H126" s="70">
        <f t="shared" si="56"/>
        <v>216.40666666666667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68.405246805304827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364.59999999999985</v>
      </c>
      <c r="O126" s="14">
        <f>N126*VLOOKUP('Données projet'!$B$9,Paramètres!$A$1:$I$89,3,0)*VLOOKUP('Données projet'!$B$9,Paramètres!$A$1:$I$89,5,0)</f>
        <v>329.89007999999984</v>
      </c>
      <c r="P126" s="14">
        <f t="shared" si="87"/>
        <v>77.407517509546452</v>
      </c>
      <c r="Q126" s="22">
        <f t="shared" si="107"/>
        <v>709.37664899579306</v>
      </c>
      <c r="R126" s="62">
        <f t="shared" si="55"/>
        <v>996.86255394857744</v>
      </c>
      <c r="S126" s="62">
        <f ca="1">AVERAGE(OFFSET($R$3,0,0,'Données projet'!$E$9+1,1))-AVERAGE(OFFSET($H$3,0,0,'Données projet'!$E$9+1,1))</f>
        <v>551.67307965706379</v>
      </c>
      <c r="T126" s="62">
        <f t="shared" si="88"/>
        <v>288.70738860523943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68.405246805304827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4.2</v>
      </c>
      <c r="AI126" s="14">
        <f>IF('Données projet'!$A$62&gt;35,AI125+AH126-AQ125,IF(A126&lt;'Données projet'!$A$62,$AF$205^A126,IF(A126='Données projet'!$A$62,'Données projet'!$B$62,AI125+AH126-AQ125)))</f>
        <v>364.59999999999985</v>
      </c>
      <c r="AJ126" s="14">
        <f>AI126*VLOOKUP('Données projet'!$B$10,Paramètres!$A$1:$I$89,3,0)*VLOOKUP('Données projet'!$B$10,Paramètres!$A$1:$I$89,5,0)</f>
        <v>307.13903999999991</v>
      </c>
      <c r="AK126" s="14">
        <f t="shared" si="89"/>
        <v>72.671025825860937</v>
      </c>
      <c r="AL126" s="22">
        <f t="shared" si="58"/>
        <v>661.50253131337433</v>
      </c>
      <c r="AM126" s="62">
        <f t="shared" si="59"/>
        <v>948.98843626615871</v>
      </c>
      <c r="AN126" s="62">
        <f ca="1">AVERAGE(OFFSET($AM$3,0,0,'Données projet'!$E$10+1,1))-AVERAGE(OFFSET($H$3,0,0,'Données projet'!$E$10+1,1))</f>
        <v>518.18933270904506</v>
      </c>
      <c r="AO126" s="62">
        <f t="shared" si="90"/>
        <v>272.44431899810411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68.405246805304827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-9.7543306765146564E-14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464.73160475167867</v>
      </c>
      <c r="BJ126" s="62">
        <f t="shared" si="92"/>
        <v>241.31968359962227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68.405246805304827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2.2737367544323206E-13</v>
      </c>
      <c r="BZ126" s="14">
        <f>BY126*VLOOKUP('Données projet'!$B$12,Paramètres!$A$1:$I$89,3,0)*VLOOKUP('Données projet'!$B$12,Paramètres!$A$1:$I$89,5,0)</f>
        <v>1.4897523215040565E-13</v>
      </c>
      <c r="CA126" s="14">
        <f t="shared" si="93"/>
        <v>2.136562777003313E-12</v>
      </c>
      <c r="CB126" s="22">
        <f t="shared" si="64"/>
        <v>3.9806453659427267E-12</v>
      </c>
      <c r="CC126" s="62">
        <f t="shared" si="65"/>
        <v>287.48590495278836</v>
      </c>
      <c r="CD126" s="62">
        <f ca="1">AVERAGE(OFFSET($CC$3,0,0,'Données projet'!$E$12+1,1))-AVERAGE(OFFSET($H$3,0,0,'Données projet'!$E$12+1,1))</f>
        <v>292.13851489852607</v>
      </c>
      <c r="CE126" s="62">
        <f t="shared" si="94"/>
        <v>280.10866188737418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68.405246805304827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-1.1368683772161603E-13</v>
      </c>
      <c r="CU126" s="18">
        <f>CT126*VLOOKUP('Données projet'!$B$13,Paramètres!$A$1:$I$89,3,0)*VLOOKUP('Données projet'!$B$13,Paramètres!$A$1:$I$89,5,0)</f>
        <v>-9.2222762759774927E-14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265.25572936607409</v>
      </c>
      <c r="CZ126" s="62">
        <f t="shared" si="96"/>
        <v>307.96244316129071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68.405246805304827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5.6843418860808015E-14</v>
      </c>
      <c r="DP126" s="18">
        <f>DO126*VLOOKUP('Données projet'!$B$14,Paramètres!$A$1:$I$89,3,0)*VLOOKUP('Données projet'!$B$14,Paramètres!$A$1:$I$89,5,0)</f>
        <v>5.4092197387944907E-14</v>
      </c>
      <c r="DQ126" s="14">
        <f t="shared" si="97"/>
        <v>8.7287050538073676E-13</v>
      </c>
      <c r="DR126" s="22">
        <f t="shared" si="70"/>
        <v>1.6144600406554537E-12</v>
      </c>
      <c r="DS126" s="62">
        <f t="shared" si="71"/>
        <v>287.48590495278597</v>
      </c>
      <c r="DT126" s="62">
        <f ca="1">AVERAGE(OFFSET($DS$3,0,0,'Données projet'!$E$14+1,1))-AVERAGE(OFFSET($H$3,0,0,'Données projet'!$E$14+1,1))</f>
        <v>425.41154182732936</v>
      </c>
      <c r="DU126" s="62">
        <f t="shared" si="98"/>
        <v>306.44721925744591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68.405246805304827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-5.6843418860808015E-14</v>
      </c>
      <c r="EK126" s="18">
        <f>EJ126*VLOOKUP('Données projet'!$B$15,Paramètres!$A$1:$I$89,3,0)*VLOOKUP('Données projet'!$B$15,Paramètres!$A$1:$I$89,5,0)</f>
        <v>-4.1677594708744434E-14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357.57626046668958</v>
      </c>
      <c r="EP126" s="62">
        <f t="shared" si="100"/>
        <v>386.90439522046199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68.405246805304827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1.1368683772161603E-13</v>
      </c>
      <c r="FF126" s="18">
        <f>FE126*VLOOKUP('Données projet'!$B$16,Paramètres!$A$1:$I$89,3,0)*VLOOKUP('Données projet'!$B$16,Paramètres!$A$1:$I$89,5,0)</f>
        <v>8.8675733422860506E-14</v>
      </c>
      <c r="FG126" s="14">
        <f t="shared" si="101"/>
        <v>1.3509285393066301E-12</v>
      </c>
      <c r="FH126" s="22">
        <f t="shared" si="76"/>
        <v>2.5073107750038623E-12</v>
      </c>
      <c r="FI126" s="62">
        <f t="shared" si="77"/>
        <v>287.48590495278688</v>
      </c>
      <c r="FJ126" s="62">
        <f ca="1">AVERAGE(OFFSET($FI$3,0,0,'Données projet'!$E$16+1,1))-AVERAGE(OFFSET($H$3,0,0,'Données projet'!$E$16+1,1))</f>
        <v>303.56663121833833</v>
      </c>
      <c r="FK126" s="62">
        <f t="shared" si="102"/>
        <v>293.97736357938038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68.405246805304827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-5.6843418860808015E-14</v>
      </c>
      <c r="GA126" s="18">
        <f>FZ126*VLOOKUP('Données projet'!$B$17,Paramètres!$A$1:$I$89,3,0)*VLOOKUP('Données projet'!$B$17,Paramètres!$A$1:$I$89,5,0)</f>
        <v>-4.5224624045658861E-14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383.71724511025587</v>
      </c>
      <c r="GF126" s="62">
        <f t="shared" si="104"/>
        <v>415.10774719533185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68.405246805304827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1.7053025658242404E-13</v>
      </c>
      <c r="GV126" s="18">
        <f>GU126*VLOOKUP('Données projet'!$B$18,Paramètres!$A$1:$I$89,3,0)*VLOOKUP('Données projet'!$B$18,Paramètres!$A$1:$I$89,5,0)</f>
        <v>1.1439169611549005E-13</v>
      </c>
      <c r="GW126" s="14">
        <f t="shared" si="105"/>
        <v>1.6918016515029816E-12</v>
      </c>
      <c r="GX126" s="22">
        <f t="shared" si="82"/>
        <v>3.1457867471021712E-12</v>
      </c>
      <c r="GY126" s="62">
        <f t="shared" si="83"/>
        <v>287.48590495278751</v>
      </c>
      <c r="GZ126" s="62">
        <f ca="1">AVERAGE(OFFSET($GY$3,0,0,'Données projet'!$E$18+1,1))-AVERAGE(OFFSET($H$3,0,0,'Données projet'!$E$18+1,1))</f>
        <v>329.93956600482801</v>
      </c>
      <c r="HA126" s="62">
        <f t="shared" si="106"/>
        <v>268.69186630599165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2.7450000000000001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10.065</v>
      </c>
      <c r="H127" s="70">
        <f t="shared" si="56"/>
        <v>216.40666666666667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68.432912207898767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368.79999999999984</v>
      </c>
      <c r="O127" s="14">
        <f>N127*VLOOKUP('Données projet'!$B$9,Paramètres!$A$1:$I$89,3,0)*VLOOKUP('Données projet'!$B$9,Paramètres!$A$1:$I$89,5,0)</f>
        <v>333.69023999999985</v>
      </c>
      <c r="P127" s="14">
        <f t="shared" si="87"/>
        <v>78.194892201133555</v>
      </c>
      <c r="Q127" s="22">
        <f t="shared" si="107"/>
        <v>717.36660525030732</v>
      </c>
      <c r="R127" s="62">
        <f t="shared" si="55"/>
        <v>1004.9539500126027</v>
      </c>
      <c r="S127" s="62">
        <f ca="1">AVERAGE(OFFSET($R$3,0,0,'Données projet'!$E$9+1,1))-AVERAGE(OFFSET($H$3,0,0,'Données projet'!$E$9+1,1))</f>
        <v>551.67307965706379</v>
      </c>
      <c r="T127" s="62">
        <f t="shared" si="88"/>
        <v>288.70738860523943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68.432912207898767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4.2</v>
      </c>
      <c r="AI127" s="14">
        <f>IF('Données projet'!$A$62&gt;35,AI126+AH127-AQ126,IF(A127&lt;'Données projet'!$A$62,$AF$205^A127,IF(A127='Données projet'!$A$62,'Données projet'!$B$62,AI126+AH127-AQ126)))</f>
        <v>368.79999999999984</v>
      </c>
      <c r="AJ127" s="14">
        <f>AI127*VLOOKUP('Données projet'!$B$10,Paramètres!$A$1:$I$89,3,0)*VLOOKUP('Données projet'!$B$10,Paramètres!$A$1:$I$89,5,0)</f>
        <v>310.67711999999989</v>
      </c>
      <c r="AK127" s="14">
        <f t="shared" si="89"/>
        <v>73.410221815964775</v>
      </c>
      <c r="AL127" s="22">
        <f t="shared" si="58"/>
        <v>668.95212032947177</v>
      </c>
      <c r="AM127" s="62">
        <f t="shared" si="59"/>
        <v>956.53946509176717</v>
      </c>
      <c r="AN127" s="62">
        <f ca="1">AVERAGE(OFFSET($AM$3,0,0,'Données projet'!$E$10+1,1))-AVERAGE(OFFSET($H$3,0,0,'Données projet'!$E$10+1,1))</f>
        <v>518.18933270904506</v>
      </c>
      <c r="AO127" s="62">
        <f t="shared" si="90"/>
        <v>272.44431899810411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68.432912207898767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-9.7543306765146564E-14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464.73160475167867</v>
      </c>
      <c r="BJ127" s="62">
        <f t="shared" si="92"/>
        <v>241.31968359962227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68.432912207898767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2.2737367544323206E-13</v>
      </c>
      <c r="BZ127" s="14">
        <f>BY127*VLOOKUP('Données projet'!$B$12,Paramètres!$A$1:$I$89,3,0)*VLOOKUP('Données projet'!$B$12,Paramètres!$A$1:$I$89,5,0)</f>
        <v>1.4897523215040565E-13</v>
      </c>
      <c r="CA127" s="14">
        <f t="shared" si="93"/>
        <v>2.136562777003313E-12</v>
      </c>
      <c r="CB127" s="22">
        <f t="shared" si="64"/>
        <v>3.9806453659427267E-12</v>
      </c>
      <c r="CC127" s="62">
        <f t="shared" si="65"/>
        <v>287.58734476229944</v>
      </c>
      <c r="CD127" s="62">
        <f ca="1">AVERAGE(OFFSET($CC$3,0,0,'Données projet'!$E$12+1,1))-AVERAGE(OFFSET($H$3,0,0,'Données projet'!$E$12+1,1))</f>
        <v>292.13851489852607</v>
      </c>
      <c r="CE127" s="62">
        <f t="shared" si="94"/>
        <v>280.10866188737418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68.432912207898767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-1.1368683772161603E-13</v>
      </c>
      <c r="CU127" s="18">
        <f>CT127*VLOOKUP('Données projet'!$B$13,Paramètres!$A$1:$I$89,3,0)*VLOOKUP('Données projet'!$B$13,Paramètres!$A$1:$I$89,5,0)</f>
        <v>-9.2222762759774927E-14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265.25572936607409</v>
      </c>
      <c r="CZ127" s="62">
        <f t="shared" si="96"/>
        <v>307.96244316129071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68.432912207898767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5.6843418860808015E-14</v>
      </c>
      <c r="DP127" s="18">
        <f>DO127*VLOOKUP('Données projet'!$B$14,Paramètres!$A$1:$I$89,3,0)*VLOOKUP('Données projet'!$B$14,Paramètres!$A$1:$I$89,5,0)</f>
        <v>5.4092197387944907E-14</v>
      </c>
      <c r="DQ127" s="14">
        <f t="shared" si="97"/>
        <v>8.7287050538073676E-13</v>
      </c>
      <c r="DR127" s="22">
        <f t="shared" si="70"/>
        <v>1.6144600406554537E-12</v>
      </c>
      <c r="DS127" s="62">
        <f t="shared" si="71"/>
        <v>287.58734476229705</v>
      </c>
      <c r="DT127" s="62">
        <f ca="1">AVERAGE(OFFSET($DS$3,0,0,'Données projet'!$E$14+1,1))-AVERAGE(OFFSET($H$3,0,0,'Données projet'!$E$14+1,1))</f>
        <v>425.41154182732936</v>
      </c>
      <c r="DU127" s="62">
        <f t="shared" si="98"/>
        <v>306.44721925744591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68.432912207898767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-5.6843418860808015E-14</v>
      </c>
      <c r="EK127" s="18">
        <f>EJ127*VLOOKUP('Données projet'!$B$15,Paramètres!$A$1:$I$89,3,0)*VLOOKUP('Données projet'!$B$15,Paramètres!$A$1:$I$89,5,0)</f>
        <v>-4.1677594708744434E-14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357.57626046668958</v>
      </c>
      <c r="EP127" s="62">
        <f t="shared" si="100"/>
        <v>386.90439522046199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68.432912207898767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1.1368683772161603E-13</v>
      </c>
      <c r="FF127" s="18">
        <f>FE127*VLOOKUP('Données projet'!$B$16,Paramètres!$A$1:$I$89,3,0)*VLOOKUP('Données projet'!$B$16,Paramètres!$A$1:$I$89,5,0)</f>
        <v>8.8675733422860506E-14</v>
      </c>
      <c r="FG127" s="14">
        <f t="shared" si="101"/>
        <v>1.3509285393066301E-12</v>
      </c>
      <c r="FH127" s="22">
        <f t="shared" si="76"/>
        <v>2.5073107750038623E-12</v>
      </c>
      <c r="FI127" s="62">
        <f t="shared" si="77"/>
        <v>287.58734476229796</v>
      </c>
      <c r="FJ127" s="62">
        <f ca="1">AVERAGE(OFFSET($FI$3,0,0,'Données projet'!$E$16+1,1))-AVERAGE(OFFSET($H$3,0,0,'Données projet'!$E$16+1,1))</f>
        <v>303.56663121833833</v>
      </c>
      <c r="FK127" s="62">
        <f t="shared" si="102"/>
        <v>293.97736357938038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68.432912207898767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-5.6843418860808015E-14</v>
      </c>
      <c r="GA127" s="18">
        <f>FZ127*VLOOKUP('Données projet'!$B$17,Paramètres!$A$1:$I$89,3,0)*VLOOKUP('Données projet'!$B$17,Paramètres!$A$1:$I$89,5,0)</f>
        <v>-4.5224624045658861E-14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383.71724511025587</v>
      </c>
      <c r="GF127" s="62">
        <f t="shared" si="104"/>
        <v>415.10774719533185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68.432912207898767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1.7053025658242404E-13</v>
      </c>
      <c r="GV127" s="18">
        <f>GU127*VLOOKUP('Données projet'!$B$18,Paramètres!$A$1:$I$89,3,0)*VLOOKUP('Données projet'!$B$18,Paramètres!$A$1:$I$89,5,0)</f>
        <v>1.1439169611549005E-13</v>
      </c>
      <c r="GW127" s="14">
        <f t="shared" si="105"/>
        <v>1.6918016515029816E-12</v>
      </c>
      <c r="GX127" s="22">
        <f t="shared" si="82"/>
        <v>3.1457867471021712E-12</v>
      </c>
      <c r="GY127" s="62">
        <f t="shared" si="83"/>
        <v>287.58734476229859</v>
      </c>
      <c r="GZ127" s="62">
        <f ca="1">AVERAGE(OFFSET($GY$3,0,0,'Données projet'!$E$18+1,1))-AVERAGE(OFFSET($H$3,0,0,'Données projet'!$E$18+1,1))</f>
        <v>329.93956600482801</v>
      </c>
      <c r="HA127" s="62">
        <f t="shared" si="106"/>
        <v>268.69186630599165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2.7450000000000001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10.065</v>
      </c>
      <c r="H128" s="70">
        <f t="shared" si="56"/>
        <v>216.40666666666667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68.460097677608289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372.99999999999983</v>
      </c>
      <c r="O128" s="14">
        <f>N128*VLOOKUP('Données projet'!$B$9,Paramètres!$A$1:$I$89,3,0)*VLOOKUP('Données projet'!$B$9,Paramètres!$A$1:$I$89,5,0)</f>
        <v>337.49039999999985</v>
      </c>
      <c r="P128" s="14">
        <f t="shared" si="87"/>
        <v>78.981223819202711</v>
      </c>
      <c r="Q128" s="22">
        <f t="shared" si="107"/>
        <v>725.35474481844449</v>
      </c>
      <c r="R128" s="62">
        <f t="shared" si="55"/>
        <v>1013.0417696363415</v>
      </c>
      <c r="S128" s="62">
        <f ca="1">AVERAGE(OFFSET($R$3,0,0,'Données projet'!$E$9+1,1))-AVERAGE(OFFSET($H$3,0,0,'Données projet'!$E$9+1,1))</f>
        <v>551.67307965706379</v>
      </c>
      <c r="T128" s="62">
        <f t="shared" si="88"/>
        <v>288.70738860523943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68.460097677608289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4.2</v>
      </c>
      <c r="AI128" s="14">
        <f>IF('Données projet'!$A$62&gt;35,AI127+AH128-AQ127,IF(A128&lt;'Données projet'!$A$62,$AF$205^A128,IF(A128='Données projet'!$A$62,'Données projet'!$B$62,AI127+AH128-AQ127)))</f>
        <v>372.99999999999983</v>
      </c>
      <c r="AJ128" s="14">
        <f>AI128*VLOOKUP('Données projet'!$B$10,Paramètres!$A$1:$I$89,3,0)*VLOOKUP('Données projet'!$B$10,Paramètres!$A$1:$I$89,5,0)</f>
        <v>314.21519999999992</v>
      </c>
      <c r="AK128" s="14">
        <f t="shared" si="89"/>
        <v>74.148438557218014</v>
      </c>
      <c r="AL128" s="22">
        <f t="shared" si="58"/>
        <v>676.40000382048788</v>
      </c>
      <c r="AM128" s="62">
        <f t="shared" si="59"/>
        <v>964.08702863838494</v>
      </c>
      <c r="AN128" s="62">
        <f ca="1">AVERAGE(OFFSET($AM$3,0,0,'Données projet'!$E$10+1,1))-AVERAGE(OFFSET($H$3,0,0,'Données projet'!$E$10+1,1))</f>
        <v>518.18933270904506</v>
      </c>
      <c r="AO128" s="62">
        <f t="shared" si="90"/>
        <v>272.44431899810411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68.460097677608289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-9.7543306765146564E-14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464.73160475167867</v>
      </c>
      <c r="BJ128" s="62">
        <f t="shared" si="92"/>
        <v>241.31968359962227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68.460097677608289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2.2737367544323206E-13</v>
      </c>
      <c r="BZ128" s="14">
        <f>BY128*VLOOKUP('Données projet'!$B$12,Paramètres!$A$1:$I$89,3,0)*VLOOKUP('Données projet'!$B$12,Paramètres!$A$1:$I$89,5,0)</f>
        <v>1.4897523215040565E-13</v>
      </c>
      <c r="CA128" s="14">
        <f t="shared" si="93"/>
        <v>2.136562777003313E-12</v>
      </c>
      <c r="CB128" s="22">
        <f t="shared" si="64"/>
        <v>3.9806453659427267E-12</v>
      </c>
      <c r="CC128" s="62">
        <f t="shared" si="65"/>
        <v>287.68702481790103</v>
      </c>
      <c r="CD128" s="62">
        <f ca="1">AVERAGE(OFFSET($CC$3,0,0,'Données projet'!$E$12+1,1))-AVERAGE(OFFSET($H$3,0,0,'Données projet'!$E$12+1,1))</f>
        <v>292.13851489852607</v>
      </c>
      <c r="CE128" s="62">
        <f t="shared" si="94"/>
        <v>280.10866188737418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68.460097677608289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-1.1368683772161603E-13</v>
      </c>
      <c r="CU128" s="18">
        <f>CT128*VLOOKUP('Données projet'!$B$13,Paramètres!$A$1:$I$89,3,0)*VLOOKUP('Données projet'!$B$13,Paramètres!$A$1:$I$89,5,0)</f>
        <v>-9.2222762759774927E-14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265.25572936607409</v>
      </c>
      <c r="CZ128" s="62">
        <f t="shared" si="96"/>
        <v>307.96244316129071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68.460097677608289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5.6843418860808015E-14</v>
      </c>
      <c r="DP128" s="18">
        <f>DO128*VLOOKUP('Données projet'!$B$14,Paramètres!$A$1:$I$89,3,0)*VLOOKUP('Données projet'!$B$14,Paramètres!$A$1:$I$89,5,0)</f>
        <v>5.4092197387944907E-14</v>
      </c>
      <c r="DQ128" s="14">
        <f t="shared" si="97"/>
        <v>8.7287050538073676E-13</v>
      </c>
      <c r="DR128" s="22">
        <f t="shared" si="70"/>
        <v>1.6144600406554537E-12</v>
      </c>
      <c r="DS128" s="62">
        <f t="shared" si="71"/>
        <v>287.68702481789865</v>
      </c>
      <c r="DT128" s="62">
        <f ca="1">AVERAGE(OFFSET($DS$3,0,0,'Données projet'!$E$14+1,1))-AVERAGE(OFFSET($H$3,0,0,'Données projet'!$E$14+1,1))</f>
        <v>425.41154182732936</v>
      </c>
      <c r="DU128" s="62">
        <f t="shared" si="98"/>
        <v>306.44721925744591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68.460097677608289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-5.6843418860808015E-14</v>
      </c>
      <c r="EK128" s="18">
        <f>EJ128*VLOOKUP('Données projet'!$B$15,Paramètres!$A$1:$I$89,3,0)*VLOOKUP('Données projet'!$B$15,Paramètres!$A$1:$I$89,5,0)</f>
        <v>-4.1677594708744434E-14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357.57626046668958</v>
      </c>
      <c r="EP128" s="62">
        <f t="shared" si="100"/>
        <v>386.90439522046199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68.460097677608289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1.1368683772161603E-13</v>
      </c>
      <c r="FF128" s="18">
        <f>FE128*VLOOKUP('Données projet'!$B$16,Paramètres!$A$1:$I$89,3,0)*VLOOKUP('Données projet'!$B$16,Paramètres!$A$1:$I$89,5,0)</f>
        <v>8.8675733422860506E-14</v>
      </c>
      <c r="FG128" s="14">
        <f t="shared" si="101"/>
        <v>1.3509285393066301E-12</v>
      </c>
      <c r="FH128" s="22">
        <f t="shared" si="76"/>
        <v>2.5073107750038623E-12</v>
      </c>
      <c r="FI128" s="62">
        <f t="shared" si="77"/>
        <v>287.68702481789956</v>
      </c>
      <c r="FJ128" s="62">
        <f ca="1">AVERAGE(OFFSET($FI$3,0,0,'Données projet'!$E$16+1,1))-AVERAGE(OFFSET($H$3,0,0,'Données projet'!$E$16+1,1))</f>
        <v>303.56663121833833</v>
      </c>
      <c r="FK128" s="62">
        <f t="shared" si="102"/>
        <v>293.97736357938038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68.460097677608289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-5.6843418860808015E-14</v>
      </c>
      <c r="GA128" s="18">
        <f>FZ128*VLOOKUP('Données projet'!$B$17,Paramètres!$A$1:$I$89,3,0)*VLOOKUP('Données projet'!$B$17,Paramètres!$A$1:$I$89,5,0)</f>
        <v>-4.5224624045658861E-14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383.71724511025587</v>
      </c>
      <c r="GF128" s="62">
        <f t="shared" si="104"/>
        <v>415.10774719533185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68.460097677608289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1.7053025658242404E-13</v>
      </c>
      <c r="GV128" s="18">
        <f>GU128*VLOOKUP('Données projet'!$B$18,Paramètres!$A$1:$I$89,3,0)*VLOOKUP('Données projet'!$B$18,Paramètres!$A$1:$I$89,5,0)</f>
        <v>1.1439169611549005E-13</v>
      </c>
      <c r="GW128" s="14">
        <f t="shared" si="105"/>
        <v>1.6918016515029816E-12</v>
      </c>
      <c r="GX128" s="22">
        <f t="shared" si="82"/>
        <v>3.1457867471021712E-12</v>
      </c>
      <c r="GY128" s="62">
        <f t="shared" si="83"/>
        <v>287.68702481790018</v>
      </c>
      <c r="GZ128" s="62">
        <f ca="1">AVERAGE(OFFSET($GY$3,0,0,'Données projet'!$E$18+1,1))-AVERAGE(OFFSET($H$3,0,0,'Données projet'!$E$18+1,1))</f>
        <v>329.93956600482801</v>
      </c>
      <c r="HA128" s="62">
        <f t="shared" si="106"/>
        <v>268.69186630599165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2.7450000000000001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10.065</v>
      </c>
      <c r="H129" s="70">
        <f t="shared" si="56"/>
        <v>216.40666666666667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68.486811540195944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4.2</v>
      </c>
      <c r="N129" s="14">
        <f>IF('Données projet'!$A$36&gt;35,N128+M129-V128,IF(A129&lt;'Données projet'!$A$36,$K$205^A129,IF(A129='Données projet'!$A$36,'Données projet'!$B$36,N128+M129-V128)))</f>
        <v>377.19999999999982</v>
      </c>
      <c r="O129" s="14">
        <f>N129*VLOOKUP('Données projet'!$B$9,Paramètres!$A$1:$I$89,3,0)*VLOOKUP('Données projet'!$B$9,Paramètres!$A$1:$I$89,5,0)</f>
        <v>341.2905599999998</v>
      </c>
      <c r="P129" s="14">
        <f t="shared" si="87"/>
        <v>79.766525467910597</v>
      </c>
      <c r="Q129" s="22">
        <f t="shared" si="107"/>
        <v>733.34109052327722</v>
      </c>
      <c r="R129" s="62">
        <f t="shared" si="55"/>
        <v>1021.1260661706624</v>
      </c>
      <c r="S129" s="62">
        <f ca="1">AVERAGE(OFFSET($R$3,0,0,'Données projet'!$E$9+1,1))-AVERAGE(OFFSET($H$3,0,0,'Données projet'!$E$9+1,1))</f>
        <v>551.67307965706379</v>
      </c>
      <c r="T129" s="62">
        <f t="shared" si="88"/>
        <v>288.70738860523943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68.486811540195944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4.2</v>
      </c>
      <c r="AI129" s="14">
        <f>IF('Données projet'!$A$62&gt;35,AI128+AH129-AQ128,IF(A129&lt;'Données projet'!$A$62,$AF$205^A129,IF(A129='Données projet'!$A$62,'Données projet'!$B$62,AI128+AH129-AQ128)))</f>
        <v>377.19999999999982</v>
      </c>
      <c r="AJ129" s="14">
        <f>AI129*VLOOKUP('Données projet'!$B$10,Paramètres!$A$1:$I$89,3,0)*VLOOKUP('Données projet'!$B$10,Paramètres!$A$1:$I$89,5,0)</f>
        <v>317.75327999999985</v>
      </c>
      <c r="AK129" s="14">
        <f t="shared" si="89"/>
        <v>74.885688351946342</v>
      </c>
      <c r="AL129" s="22">
        <f t="shared" si="58"/>
        <v>683.84620321297291</v>
      </c>
      <c r="AM129" s="62">
        <f t="shared" si="59"/>
        <v>971.63117886035798</v>
      </c>
      <c r="AN129" s="62">
        <f ca="1">AVERAGE(OFFSET($AM$3,0,0,'Données projet'!$E$10+1,1))-AVERAGE(OFFSET($H$3,0,0,'Données projet'!$E$10+1,1))</f>
        <v>518.18933270904506</v>
      </c>
      <c r="AO129" s="62">
        <f t="shared" si="90"/>
        <v>272.44431899810411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68.486811540195944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-9.7543306765146564E-14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464.73160475167867</v>
      </c>
      <c r="BJ129" s="62">
        <f t="shared" si="92"/>
        <v>241.31968359962227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68.486811540195944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2.2737367544323206E-13</v>
      </c>
      <c r="BZ129" s="14">
        <f>BY129*VLOOKUP('Données projet'!$B$12,Paramètres!$A$1:$I$89,3,0)*VLOOKUP('Données projet'!$B$12,Paramètres!$A$1:$I$89,5,0)</f>
        <v>1.4897523215040565E-13</v>
      </c>
      <c r="CA129" s="14">
        <f t="shared" si="93"/>
        <v>2.136562777003313E-12</v>
      </c>
      <c r="CB129" s="22">
        <f t="shared" si="64"/>
        <v>3.9806453659427267E-12</v>
      </c>
      <c r="CC129" s="62">
        <f t="shared" si="65"/>
        <v>287.7849756473891</v>
      </c>
      <c r="CD129" s="62">
        <f ca="1">AVERAGE(OFFSET($CC$3,0,0,'Données projet'!$E$12+1,1))-AVERAGE(OFFSET($H$3,0,0,'Données projet'!$E$12+1,1))</f>
        <v>292.13851489852607</v>
      </c>
      <c r="CE129" s="62">
        <f t="shared" si="94"/>
        <v>280.10866188737418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68.486811540195944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-1.1368683772161603E-13</v>
      </c>
      <c r="CU129" s="18">
        <f>CT129*VLOOKUP('Données projet'!$B$13,Paramètres!$A$1:$I$89,3,0)*VLOOKUP('Données projet'!$B$13,Paramètres!$A$1:$I$89,5,0)</f>
        <v>-9.2222762759774927E-14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265.25572936607409</v>
      </c>
      <c r="CZ129" s="62">
        <f t="shared" si="96"/>
        <v>307.96244316129071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68.486811540195944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5.6843418860808015E-14</v>
      </c>
      <c r="DP129" s="18">
        <f>DO129*VLOOKUP('Données projet'!$B$14,Paramètres!$A$1:$I$89,3,0)*VLOOKUP('Données projet'!$B$14,Paramètres!$A$1:$I$89,5,0)</f>
        <v>5.4092197387944907E-14</v>
      </c>
      <c r="DQ129" s="14">
        <f t="shared" si="97"/>
        <v>8.7287050538073676E-13</v>
      </c>
      <c r="DR129" s="22">
        <f t="shared" si="70"/>
        <v>1.6144600406554537E-12</v>
      </c>
      <c r="DS129" s="62">
        <f t="shared" si="71"/>
        <v>287.78497564738672</v>
      </c>
      <c r="DT129" s="62">
        <f ca="1">AVERAGE(OFFSET($DS$3,0,0,'Données projet'!$E$14+1,1))-AVERAGE(OFFSET($H$3,0,0,'Données projet'!$E$14+1,1))</f>
        <v>425.41154182732936</v>
      </c>
      <c r="DU129" s="62">
        <f t="shared" si="98"/>
        <v>306.44721925744591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68.486811540195944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-5.6843418860808015E-14</v>
      </c>
      <c r="EK129" s="18">
        <f>EJ129*VLOOKUP('Données projet'!$B$15,Paramètres!$A$1:$I$89,3,0)*VLOOKUP('Données projet'!$B$15,Paramètres!$A$1:$I$89,5,0)</f>
        <v>-4.1677594708744434E-14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357.57626046668958</v>
      </c>
      <c r="EP129" s="62">
        <f t="shared" si="100"/>
        <v>386.90439522046199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68.486811540195944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1.1368683772161603E-13</v>
      </c>
      <c r="FF129" s="18">
        <f>FE129*VLOOKUP('Données projet'!$B$16,Paramètres!$A$1:$I$89,3,0)*VLOOKUP('Données projet'!$B$16,Paramètres!$A$1:$I$89,5,0)</f>
        <v>8.8675733422860506E-14</v>
      </c>
      <c r="FG129" s="14">
        <f t="shared" si="101"/>
        <v>1.3509285393066301E-12</v>
      </c>
      <c r="FH129" s="22">
        <f t="shared" si="76"/>
        <v>2.5073107750038623E-12</v>
      </c>
      <c r="FI129" s="62">
        <f t="shared" si="77"/>
        <v>287.78497564738763</v>
      </c>
      <c r="FJ129" s="62">
        <f ca="1">AVERAGE(OFFSET($FI$3,0,0,'Données projet'!$E$16+1,1))-AVERAGE(OFFSET($H$3,0,0,'Données projet'!$E$16+1,1))</f>
        <v>303.56663121833833</v>
      </c>
      <c r="FK129" s="62">
        <f t="shared" si="102"/>
        <v>293.97736357938038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68.486811540195944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-5.6843418860808015E-14</v>
      </c>
      <c r="GA129" s="18">
        <f>FZ129*VLOOKUP('Données projet'!$B$17,Paramètres!$A$1:$I$89,3,0)*VLOOKUP('Données projet'!$B$17,Paramètres!$A$1:$I$89,5,0)</f>
        <v>-4.5224624045658861E-14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383.71724511025587</v>
      </c>
      <c r="GF129" s="62">
        <f t="shared" si="104"/>
        <v>415.10774719533185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68.486811540195944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1.7053025658242404E-13</v>
      </c>
      <c r="GV129" s="18">
        <f>GU129*VLOOKUP('Données projet'!$B$18,Paramètres!$A$1:$I$89,3,0)*VLOOKUP('Données projet'!$B$18,Paramètres!$A$1:$I$89,5,0)</f>
        <v>1.1439169611549005E-13</v>
      </c>
      <c r="GW129" s="14">
        <f t="shared" si="105"/>
        <v>1.6918016515029816E-12</v>
      </c>
      <c r="GX129" s="22">
        <f t="shared" si="82"/>
        <v>3.1457867471021712E-12</v>
      </c>
      <c r="GY129" s="62">
        <f t="shared" si="83"/>
        <v>287.78497564738825</v>
      </c>
      <c r="GZ129" s="62">
        <f ca="1">AVERAGE(OFFSET($GY$3,0,0,'Données projet'!$E$18+1,1))-AVERAGE(OFFSET($H$3,0,0,'Données projet'!$E$18+1,1))</f>
        <v>329.93956600482801</v>
      </c>
      <c r="HA129" s="62">
        <f t="shared" si="106"/>
        <v>268.69186630599165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2.7450000000000001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10.065</v>
      </c>
      <c r="H130" s="70">
        <f t="shared" si="56"/>
        <v>216.40666666666667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68.513061976990954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4.2</v>
      </c>
      <c r="N130" s="14">
        <f>IF('Données projet'!$A$36&gt;35,N129+M130-V129,IF(A130&lt;'Données projet'!$A$36,$K$205^A130,IF(A130='Données projet'!$A$36,'Données projet'!$B$36,N129+M130-V129)))</f>
        <v>381.39999999999981</v>
      </c>
      <c r="O130" s="14">
        <f>N130*VLOOKUP('Données projet'!$B$9,Paramètres!$A$1:$I$89,3,0)*VLOOKUP('Données projet'!$B$9,Paramètres!$A$1:$I$89,5,0)</f>
        <v>345.09071999999981</v>
      </c>
      <c r="P130" s="14">
        <f t="shared" si="87"/>
        <v>80.550809942790039</v>
      </c>
      <c r="Q130" s="22">
        <f t="shared" si="107"/>
        <v>741.32566465035904</v>
      </c>
      <c r="R130" s="62">
        <f t="shared" si="55"/>
        <v>1029.2068918993259</v>
      </c>
      <c r="S130" s="62">
        <f ca="1">AVERAGE(OFFSET($R$3,0,0,'Données projet'!$E$9+1,1))-AVERAGE(OFFSET($H$3,0,0,'Données projet'!$E$9+1,1))</f>
        <v>551.67307965706379</v>
      </c>
      <c r="T130" s="62">
        <f t="shared" si="88"/>
        <v>288.70738860523943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68.513061976990954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4.2</v>
      </c>
      <c r="AI130" s="14">
        <f>IF('Données projet'!$A$62&gt;35,AI129+AH130-AQ129,IF(A130&lt;'Données projet'!$A$62,$AF$205^A130,IF(A130='Données projet'!$A$62,'Données projet'!$B$62,AI129+AH130-AQ129)))</f>
        <v>381.39999999999981</v>
      </c>
      <c r="AJ130" s="14">
        <f>AI130*VLOOKUP('Données projet'!$B$10,Paramètres!$A$1:$I$89,3,0)*VLOOKUP('Données projet'!$B$10,Paramètres!$A$1:$I$89,5,0)</f>
        <v>321.29135999999988</v>
      </c>
      <c r="AK130" s="14">
        <f t="shared" si="89"/>
        <v>75.621983212736268</v>
      </c>
      <c r="AL130" s="22">
        <f t="shared" si="58"/>
        <v>691.29073942884872</v>
      </c>
      <c r="AM130" s="62">
        <f t="shared" si="59"/>
        <v>979.17196667781559</v>
      </c>
      <c r="AN130" s="62">
        <f ca="1">AVERAGE(OFFSET($AM$3,0,0,'Données projet'!$E$10+1,1))-AVERAGE(OFFSET($H$3,0,0,'Données projet'!$E$10+1,1))</f>
        <v>518.18933270904506</v>
      </c>
      <c r="AO130" s="62">
        <f t="shared" si="90"/>
        <v>272.44431899810411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68.513061976990954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-9.7543306765146564E-14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464.73160475167867</v>
      </c>
      <c r="BJ130" s="62">
        <f t="shared" si="92"/>
        <v>241.31968359962227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68.513061976990954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2.2737367544323206E-13</v>
      </c>
      <c r="BZ130" s="14">
        <f>BY130*VLOOKUP('Données projet'!$B$12,Paramètres!$A$1:$I$89,3,0)*VLOOKUP('Données projet'!$B$12,Paramètres!$A$1:$I$89,5,0)</f>
        <v>1.4897523215040565E-13</v>
      </c>
      <c r="CA130" s="14">
        <f t="shared" si="93"/>
        <v>2.136562777003313E-12</v>
      </c>
      <c r="CB130" s="22">
        <f t="shared" si="64"/>
        <v>3.9806453659427267E-12</v>
      </c>
      <c r="CC130" s="62">
        <f t="shared" si="65"/>
        <v>287.88122724897079</v>
      </c>
      <c r="CD130" s="62">
        <f ca="1">AVERAGE(OFFSET($CC$3,0,0,'Données projet'!$E$12+1,1))-AVERAGE(OFFSET($H$3,0,0,'Données projet'!$E$12+1,1))</f>
        <v>292.13851489852607</v>
      </c>
      <c r="CE130" s="62">
        <f t="shared" si="94"/>
        <v>280.10866188737418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68.513061976990954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-1.1368683772161603E-13</v>
      </c>
      <c r="CU130" s="18">
        <f>CT130*VLOOKUP('Données projet'!$B$13,Paramètres!$A$1:$I$89,3,0)*VLOOKUP('Données projet'!$B$13,Paramètres!$A$1:$I$89,5,0)</f>
        <v>-9.2222762759774927E-14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265.25572936607409</v>
      </c>
      <c r="CZ130" s="62">
        <f t="shared" si="96"/>
        <v>307.96244316129071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68.513061976990954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5.6843418860808015E-14</v>
      </c>
      <c r="DP130" s="18">
        <f>DO130*VLOOKUP('Données projet'!$B$14,Paramètres!$A$1:$I$89,3,0)*VLOOKUP('Données projet'!$B$14,Paramètres!$A$1:$I$89,5,0)</f>
        <v>5.4092197387944907E-14</v>
      </c>
      <c r="DQ130" s="14">
        <f t="shared" si="97"/>
        <v>8.7287050538073676E-13</v>
      </c>
      <c r="DR130" s="22">
        <f t="shared" si="70"/>
        <v>1.6144600406554537E-12</v>
      </c>
      <c r="DS130" s="62">
        <f t="shared" si="71"/>
        <v>287.8812272489684</v>
      </c>
      <c r="DT130" s="62">
        <f ca="1">AVERAGE(OFFSET($DS$3,0,0,'Données projet'!$E$14+1,1))-AVERAGE(OFFSET($H$3,0,0,'Données projet'!$E$14+1,1))</f>
        <v>425.41154182732936</v>
      </c>
      <c r="DU130" s="62">
        <f t="shared" si="98"/>
        <v>306.44721925744591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68.513061976990954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-5.6843418860808015E-14</v>
      </c>
      <c r="EK130" s="18">
        <f>EJ130*VLOOKUP('Données projet'!$B$15,Paramètres!$A$1:$I$89,3,0)*VLOOKUP('Données projet'!$B$15,Paramètres!$A$1:$I$89,5,0)</f>
        <v>-4.1677594708744434E-14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357.57626046668958</v>
      </c>
      <c r="EP130" s="62">
        <f t="shared" si="100"/>
        <v>386.90439522046199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68.513061976990954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1.1368683772161603E-13</v>
      </c>
      <c r="FF130" s="18">
        <f>FE130*VLOOKUP('Données projet'!$B$16,Paramètres!$A$1:$I$89,3,0)*VLOOKUP('Données projet'!$B$16,Paramètres!$A$1:$I$89,5,0)</f>
        <v>8.8675733422860506E-14</v>
      </c>
      <c r="FG130" s="14">
        <f t="shared" si="101"/>
        <v>1.3509285393066301E-12</v>
      </c>
      <c r="FH130" s="22">
        <f t="shared" si="76"/>
        <v>2.5073107750038623E-12</v>
      </c>
      <c r="FI130" s="62">
        <f t="shared" si="77"/>
        <v>287.88122724896931</v>
      </c>
      <c r="FJ130" s="62">
        <f ca="1">AVERAGE(OFFSET($FI$3,0,0,'Données projet'!$E$16+1,1))-AVERAGE(OFFSET($H$3,0,0,'Données projet'!$E$16+1,1))</f>
        <v>303.56663121833833</v>
      </c>
      <c r="FK130" s="62">
        <f t="shared" si="102"/>
        <v>293.97736357938038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68.513061976990954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-5.6843418860808015E-14</v>
      </c>
      <c r="GA130" s="18">
        <f>FZ130*VLOOKUP('Données projet'!$B$17,Paramètres!$A$1:$I$89,3,0)*VLOOKUP('Données projet'!$B$17,Paramètres!$A$1:$I$89,5,0)</f>
        <v>-4.5224624045658861E-14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383.71724511025587</v>
      </c>
      <c r="GF130" s="62">
        <f t="shared" si="104"/>
        <v>415.10774719533185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68.513061976990954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1.7053025658242404E-13</v>
      </c>
      <c r="GV130" s="18">
        <f>GU130*VLOOKUP('Données projet'!$B$18,Paramètres!$A$1:$I$89,3,0)*VLOOKUP('Données projet'!$B$18,Paramètres!$A$1:$I$89,5,0)</f>
        <v>1.1439169611549005E-13</v>
      </c>
      <c r="GW130" s="14">
        <f t="shared" si="105"/>
        <v>1.6918016515029816E-12</v>
      </c>
      <c r="GX130" s="22">
        <f t="shared" si="82"/>
        <v>3.1457867471021712E-12</v>
      </c>
      <c r="GY130" s="62">
        <f t="shared" si="83"/>
        <v>287.88122724896994</v>
      </c>
      <c r="GZ130" s="62">
        <f ca="1">AVERAGE(OFFSET($GY$3,0,0,'Données projet'!$E$18+1,1))-AVERAGE(OFFSET($H$3,0,0,'Données projet'!$E$18+1,1))</f>
        <v>329.93956600482801</v>
      </c>
      <c r="HA130" s="62">
        <f t="shared" si="106"/>
        <v>268.69186630599165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2.7450000000000001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10.065</v>
      </c>
      <c r="H131" s="70">
        <f t="shared" si="56"/>
        <v>216.40666666666667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68.538857027394755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4.2</v>
      </c>
      <c r="N131" s="14">
        <f>IF('Données projet'!$A$36&gt;35,N130+M131-V130,IF(A131&lt;'Données projet'!$A$36,$K$205^A131,IF(A131='Données projet'!$A$36,'Données projet'!$B$36,N130+M131-V130)))</f>
        <v>385.5999999999998</v>
      </c>
      <c r="O131" s="14">
        <f>N131*VLOOKUP('Données projet'!$B$9,Paramètres!$A$1:$I$89,3,0)*VLOOKUP('Données projet'!$B$9,Paramètres!$A$1:$I$89,5,0)</f>
        <v>348.89087999999981</v>
      </c>
      <c r="P131" s="14">
        <f t="shared" si="87"/>
        <v>81.33408974133495</v>
      </c>
      <c r="Q131" s="22">
        <f t="shared" ref="Q131:Q153" si="108">(O131+P131)*0.475*44/12</f>
        <v>749.30848896615805</v>
      </c>
      <c r="R131" s="62">
        <f t="shared" ref="R131:R194" si="109">Q131+(I131+J131)*44/12</f>
        <v>1037.2842980666055</v>
      </c>
      <c r="S131" s="62">
        <f ca="1">AVERAGE(OFFSET($R$3,0,0,'Données projet'!$E$9+1,1))-AVERAGE(OFFSET($H$3,0,0,'Données projet'!$E$9+1,1))</f>
        <v>551.67307965706379</v>
      </c>
      <c r="T131" s="62">
        <f t="shared" si="88"/>
        <v>288.70738860523943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68.538857027394755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4.2</v>
      </c>
      <c r="AI131" s="14">
        <f>IF('Données projet'!$A$62&gt;35,AI130+AH131-AQ130,IF(A131&lt;'Données projet'!$A$62,$AF$205^A131,IF(A131='Données projet'!$A$62,'Données projet'!$B$62,AI130+AH131-AQ130)))</f>
        <v>385.5999999999998</v>
      </c>
      <c r="AJ131" s="14">
        <f>AI131*VLOOKUP('Données projet'!$B$10,Paramètres!$A$1:$I$89,3,0)*VLOOKUP('Données projet'!$B$10,Paramètres!$A$1:$I$89,5,0)</f>
        <v>324.82943999999986</v>
      </c>
      <c r="AK131" s="14">
        <f t="shared" si="89"/>
        <v>76.357334872371993</v>
      </c>
      <c r="AL131" s="22">
        <f t="shared" si="58"/>
        <v>698.73363290271425</v>
      </c>
      <c r="AM131" s="62">
        <f t="shared" si="59"/>
        <v>986.70944200316171</v>
      </c>
      <c r="AN131" s="62">
        <f ca="1">AVERAGE(OFFSET($AM$3,0,0,'Données projet'!$E$10+1,1))-AVERAGE(OFFSET($H$3,0,0,'Données projet'!$E$10+1,1))</f>
        <v>518.18933270904506</v>
      </c>
      <c r="AO131" s="62">
        <f t="shared" si="90"/>
        <v>272.44431899810411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68.538857027394755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-9.7543306765146564E-14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464.73160475167867</v>
      </c>
      <c r="BJ131" s="62">
        <f t="shared" si="92"/>
        <v>241.31968359962227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68.538857027394755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2.2737367544323206E-13</v>
      </c>
      <c r="BZ131" s="14">
        <f>BY131*VLOOKUP('Données projet'!$B$12,Paramètres!$A$1:$I$89,3,0)*VLOOKUP('Données projet'!$B$12,Paramètres!$A$1:$I$89,5,0)</f>
        <v>1.4897523215040565E-13</v>
      </c>
      <c r="CA131" s="14">
        <f t="shared" si="93"/>
        <v>2.136562777003313E-12</v>
      </c>
      <c r="CB131" s="22">
        <f t="shared" si="64"/>
        <v>3.9806453659427267E-12</v>
      </c>
      <c r="CC131" s="62">
        <f t="shared" si="65"/>
        <v>287.97580910045139</v>
      </c>
      <c r="CD131" s="62">
        <f ca="1">AVERAGE(OFFSET($CC$3,0,0,'Données projet'!$E$12+1,1))-AVERAGE(OFFSET($H$3,0,0,'Données projet'!$E$12+1,1))</f>
        <v>292.13851489852607</v>
      </c>
      <c r="CE131" s="62">
        <f t="shared" si="94"/>
        <v>280.10866188737418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68.538857027394755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-1.1368683772161603E-13</v>
      </c>
      <c r="CU131" s="18">
        <f>CT131*VLOOKUP('Données projet'!$B$13,Paramètres!$A$1:$I$89,3,0)*VLOOKUP('Données projet'!$B$13,Paramètres!$A$1:$I$89,5,0)</f>
        <v>-9.2222762759774927E-14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265.25572936607409</v>
      </c>
      <c r="CZ131" s="62">
        <f t="shared" si="96"/>
        <v>307.96244316129071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68.538857027394755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5.6843418860808015E-14</v>
      </c>
      <c r="DP131" s="18">
        <f>DO131*VLOOKUP('Données projet'!$B$14,Paramètres!$A$1:$I$89,3,0)*VLOOKUP('Données projet'!$B$14,Paramètres!$A$1:$I$89,5,0)</f>
        <v>5.4092197387944907E-14</v>
      </c>
      <c r="DQ131" s="14">
        <f t="shared" si="97"/>
        <v>8.7287050538073676E-13</v>
      </c>
      <c r="DR131" s="22">
        <f t="shared" si="70"/>
        <v>1.6144600406554537E-12</v>
      </c>
      <c r="DS131" s="62">
        <f t="shared" si="71"/>
        <v>287.975809100449</v>
      </c>
      <c r="DT131" s="62">
        <f ca="1">AVERAGE(OFFSET($DS$3,0,0,'Données projet'!$E$14+1,1))-AVERAGE(OFFSET($H$3,0,0,'Données projet'!$E$14+1,1))</f>
        <v>425.41154182732936</v>
      </c>
      <c r="DU131" s="62">
        <f t="shared" si="98"/>
        <v>306.44721925744591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68.538857027394755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-5.6843418860808015E-14</v>
      </c>
      <c r="EK131" s="18">
        <f>EJ131*VLOOKUP('Données projet'!$B$15,Paramètres!$A$1:$I$89,3,0)*VLOOKUP('Données projet'!$B$15,Paramètres!$A$1:$I$89,5,0)</f>
        <v>-4.1677594708744434E-14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357.57626046668958</v>
      </c>
      <c r="EP131" s="62">
        <f t="shared" si="100"/>
        <v>386.90439522046199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68.538857027394755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1.1368683772161603E-13</v>
      </c>
      <c r="FF131" s="18">
        <f>FE131*VLOOKUP('Données projet'!$B$16,Paramètres!$A$1:$I$89,3,0)*VLOOKUP('Données projet'!$B$16,Paramètres!$A$1:$I$89,5,0)</f>
        <v>8.8675733422860506E-14</v>
      </c>
      <c r="FG131" s="14">
        <f t="shared" si="101"/>
        <v>1.3509285393066301E-12</v>
      </c>
      <c r="FH131" s="22">
        <f t="shared" si="76"/>
        <v>2.5073107750038623E-12</v>
      </c>
      <c r="FI131" s="62">
        <f t="shared" si="77"/>
        <v>287.97580910044991</v>
      </c>
      <c r="FJ131" s="62">
        <f ca="1">AVERAGE(OFFSET($FI$3,0,0,'Données projet'!$E$16+1,1))-AVERAGE(OFFSET($H$3,0,0,'Données projet'!$E$16+1,1))</f>
        <v>303.56663121833833</v>
      </c>
      <c r="FK131" s="62">
        <f t="shared" si="102"/>
        <v>293.97736357938038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68.538857027394755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-5.6843418860808015E-14</v>
      </c>
      <c r="GA131" s="18">
        <f>FZ131*VLOOKUP('Données projet'!$B$17,Paramètres!$A$1:$I$89,3,0)*VLOOKUP('Données projet'!$B$17,Paramètres!$A$1:$I$89,5,0)</f>
        <v>-4.5224624045658861E-14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383.71724511025587</v>
      </c>
      <c r="GF131" s="62">
        <f t="shared" si="104"/>
        <v>415.10774719533185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68.538857027394755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1.7053025658242404E-13</v>
      </c>
      <c r="GV131" s="18">
        <f>GU131*VLOOKUP('Données projet'!$B$18,Paramètres!$A$1:$I$89,3,0)*VLOOKUP('Données projet'!$B$18,Paramètres!$A$1:$I$89,5,0)</f>
        <v>1.1439169611549005E-13</v>
      </c>
      <c r="GW131" s="14">
        <f t="shared" si="105"/>
        <v>1.6918016515029816E-12</v>
      </c>
      <c r="GX131" s="22">
        <f t="shared" si="82"/>
        <v>3.1457867471021712E-12</v>
      </c>
      <c r="GY131" s="62">
        <f t="shared" si="83"/>
        <v>287.97580910045053</v>
      </c>
      <c r="GZ131" s="62">
        <f ca="1">AVERAGE(OFFSET($GY$3,0,0,'Données projet'!$E$18+1,1))-AVERAGE(OFFSET($H$3,0,0,'Données projet'!$E$18+1,1))</f>
        <v>329.93956600482801</v>
      </c>
      <c r="HA131" s="62">
        <f t="shared" si="106"/>
        <v>268.69186630599165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2.7450000000000001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10.065</v>
      </c>
      <c r="H132" s="70">
        <f t="shared" ref="H132:H195" si="110">(B132+E132+F132)*44/12+(C132+D132)*0.475*44/12</f>
        <v>216.40666666666667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68.564204591343156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4.2</v>
      </c>
      <c r="N132" s="14">
        <f>IF('Données projet'!$A$36&gt;35,N131+M132-V131,IF(A132&lt;'Données projet'!$A$36,$K$205^A132,IF(A132='Données projet'!$A$36,'Données projet'!$B$36,N131+M132-V131)))</f>
        <v>389.79999999999978</v>
      </c>
      <c r="O132" s="14">
        <f>N132*VLOOKUP('Données projet'!$B$9,Paramètres!$A$1:$I$89,3,0)*VLOOKUP('Données projet'!$B$9,Paramètres!$A$1:$I$89,5,0)</f>
        <v>352.69103999999982</v>
      </c>
      <c r="P132" s="14">
        <f t="shared" si="87"/>
        <v>82.116377073111735</v>
      </c>
      <c r="Q132" s="22">
        <f t="shared" si="108"/>
        <v>757.28958473566934</v>
      </c>
      <c r="R132" s="62">
        <f t="shared" si="109"/>
        <v>1045.3583349039277</v>
      </c>
      <c r="S132" s="62">
        <f ca="1">AVERAGE(OFFSET($R$3,0,0,'Données projet'!$E$9+1,1))-AVERAGE(OFFSET($H$3,0,0,'Données projet'!$E$9+1,1))</f>
        <v>551.67307965706379</v>
      </c>
      <c r="T132" s="62">
        <f t="shared" si="88"/>
        <v>288.70738860523943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68.564204591343156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4.2</v>
      </c>
      <c r="AI132" s="14">
        <f>IF('Données projet'!$A$62&gt;35,AI131+AH132-AQ131,IF(A132&lt;'Données projet'!$A$62,$AF$205^A132,IF(A132='Données projet'!$A$62,'Données projet'!$B$62,AI131+AH132-AQ131)))</f>
        <v>389.79999999999978</v>
      </c>
      <c r="AJ132" s="14">
        <f>AI132*VLOOKUP('Données projet'!$B$10,Paramètres!$A$1:$I$89,3,0)*VLOOKUP('Données projet'!$B$10,Paramètres!$A$1:$I$89,5,0)</f>
        <v>328.36751999999984</v>
      </c>
      <c r="AK132" s="14">
        <f t="shared" si="89"/>
        <v>77.091754793328491</v>
      </c>
      <c r="AL132" s="22">
        <f t="shared" ref="AL132:AL153" si="112">(AJ132+AK132)*0.475*44/12</f>
        <v>706.1749035983803</v>
      </c>
      <c r="AM132" s="62">
        <f t="shared" ref="AM132:AM195" si="113">AL132+(AD132+AE132)*44/12</f>
        <v>994.24365376663854</v>
      </c>
      <c r="AN132" s="62">
        <f ca="1">AVERAGE(OFFSET($AM$3,0,0,'Données projet'!$E$10+1,1))-AVERAGE(OFFSET($H$3,0,0,'Données projet'!$E$10+1,1))</f>
        <v>518.18933270904506</v>
      </c>
      <c r="AO132" s="62">
        <f t="shared" si="90"/>
        <v>272.44431899810411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68.564204591343156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-9.7543306765146564E-14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464.73160475167867</v>
      </c>
      <c r="BJ132" s="62">
        <f t="shared" si="92"/>
        <v>241.31968359962227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68.564204591343156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2.2737367544323206E-13</v>
      </c>
      <c r="BZ132" s="14">
        <f>BY132*VLOOKUP('Données projet'!$B$12,Paramètres!$A$1:$I$89,3,0)*VLOOKUP('Données projet'!$B$12,Paramètres!$A$1:$I$89,5,0)</f>
        <v>1.4897523215040565E-13</v>
      </c>
      <c r="CA132" s="14">
        <f t="shared" si="93"/>
        <v>2.136562777003313E-12</v>
      </c>
      <c r="CB132" s="22">
        <f t="shared" ref="CB132:CB153" si="118">(BZ132+CA132)*0.475*44/12</f>
        <v>3.9806453659427267E-12</v>
      </c>
      <c r="CC132" s="62">
        <f t="shared" ref="CC132:CC195" si="119">CB132+(BT132+BU132)*44/12</f>
        <v>288.06875016826223</v>
      </c>
      <c r="CD132" s="62">
        <f ca="1">AVERAGE(OFFSET($CC$3,0,0,'Données projet'!$E$12+1,1))-AVERAGE(OFFSET($H$3,0,0,'Données projet'!$E$12+1,1))</f>
        <v>292.13851489852607</v>
      </c>
      <c r="CE132" s="62">
        <f t="shared" si="94"/>
        <v>280.10866188737418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68.564204591343156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-1.1368683772161603E-13</v>
      </c>
      <c r="CU132" s="18">
        <f>CT132*VLOOKUP('Données projet'!$B$13,Paramètres!$A$1:$I$89,3,0)*VLOOKUP('Données projet'!$B$13,Paramètres!$A$1:$I$89,5,0)</f>
        <v>-9.2222762759774927E-14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265.25572936607409</v>
      </c>
      <c r="CZ132" s="62">
        <f t="shared" si="96"/>
        <v>307.96244316129071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68.564204591343156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5.6843418860808015E-14</v>
      </c>
      <c r="DP132" s="18">
        <f>DO132*VLOOKUP('Données projet'!$B$14,Paramètres!$A$1:$I$89,3,0)*VLOOKUP('Données projet'!$B$14,Paramètres!$A$1:$I$89,5,0)</f>
        <v>5.4092197387944907E-14</v>
      </c>
      <c r="DQ132" s="14">
        <f t="shared" si="97"/>
        <v>8.7287050538073676E-13</v>
      </c>
      <c r="DR132" s="22">
        <f t="shared" ref="DR132:DR153" si="124">(DP132+DQ132)*0.475*44/12</f>
        <v>1.6144600406554537E-12</v>
      </c>
      <c r="DS132" s="62">
        <f t="shared" ref="DS132:DS195" si="125">DR132+(DJ132+DK132)*44/12</f>
        <v>288.06875016825984</v>
      </c>
      <c r="DT132" s="62">
        <f ca="1">AVERAGE(OFFSET($DS$3,0,0,'Données projet'!$E$14+1,1))-AVERAGE(OFFSET($H$3,0,0,'Données projet'!$E$14+1,1))</f>
        <v>425.41154182732936</v>
      </c>
      <c r="DU132" s="62">
        <f t="shared" si="98"/>
        <v>306.44721925744591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68.564204591343156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-5.6843418860808015E-14</v>
      </c>
      <c r="EK132" s="18">
        <f>EJ132*VLOOKUP('Données projet'!$B$15,Paramètres!$A$1:$I$89,3,0)*VLOOKUP('Données projet'!$B$15,Paramètres!$A$1:$I$89,5,0)</f>
        <v>-4.1677594708744434E-14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357.57626046668958</v>
      </c>
      <c r="EP132" s="62">
        <f t="shared" si="100"/>
        <v>386.90439522046199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68.564204591343156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1.1368683772161603E-13</v>
      </c>
      <c r="FF132" s="18">
        <f>FE132*VLOOKUP('Données projet'!$B$16,Paramètres!$A$1:$I$89,3,0)*VLOOKUP('Données projet'!$B$16,Paramètres!$A$1:$I$89,5,0)</f>
        <v>8.8675733422860506E-14</v>
      </c>
      <c r="FG132" s="14">
        <f t="shared" si="101"/>
        <v>1.3509285393066301E-12</v>
      </c>
      <c r="FH132" s="22">
        <f t="shared" ref="FH132:FH153" si="130">(FF132+FG132)*0.475*44/12</f>
        <v>2.5073107750038623E-12</v>
      </c>
      <c r="FI132" s="62">
        <f t="shared" ref="FI132:FI195" si="131">FH132+(EZ132+FA132)*44/12</f>
        <v>288.06875016826075</v>
      </c>
      <c r="FJ132" s="62">
        <f ca="1">AVERAGE(OFFSET($FI$3,0,0,'Données projet'!$E$16+1,1))-AVERAGE(OFFSET($H$3,0,0,'Données projet'!$E$16+1,1))</f>
        <v>303.56663121833833</v>
      </c>
      <c r="FK132" s="62">
        <f t="shared" si="102"/>
        <v>293.97736357938038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68.564204591343156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-5.6843418860808015E-14</v>
      </c>
      <c r="GA132" s="18">
        <f>FZ132*VLOOKUP('Données projet'!$B$17,Paramètres!$A$1:$I$89,3,0)*VLOOKUP('Données projet'!$B$17,Paramètres!$A$1:$I$89,5,0)</f>
        <v>-4.5224624045658861E-14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383.71724511025587</v>
      </c>
      <c r="GF132" s="62">
        <f t="shared" si="104"/>
        <v>415.10774719533185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68.564204591343156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1.7053025658242404E-13</v>
      </c>
      <c r="GV132" s="18">
        <f>GU132*VLOOKUP('Données projet'!$B$18,Paramètres!$A$1:$I$89,3,0)*VLOOKUP('Données projet'!$B$18,Paramètres!$A$1:$I$89,5,0)</f>
        <v>1.1439169611549005E-13</v>
      </c>
      <c r="GW132" s="14">
        <f t="shared" si="105"/>
        <v>1.6918016515029816E-12</v>
      </c>
      <c r="GX132" s="22">
        <f t="shared" ref="GX132:GX153" si="136">(GV132+GW132)*0.475*44/12</f>
        <v>3.1457867471021712E-12</v>
      </c>
      <c r="GY132" s="62">
        <f t="shared" ref="GY132:GY195" si="137">GX132+(GP132+GQ132)*44/12</f>
        <v>288.06875016826137</v>
      </c>
      <c r="GZ132" s="62">
        <f ca="1">AVERAGE(OFFSET($GY$3,0,0,'Données projet'!$E$18+1,1))-AVERAGE(OFFSET($H$3,0,0,'Données projet'!$E$18+1,1))</f>
        <v>329.93956600482801</v>
      </c>
      <c r="HA132" s="62">
        <f t="shared" si="106"/>
        <v>268.69186630599165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2.7450000000000001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10.065</v>
      </c>
      <c r="H133" s="70">
        <f t="shared" si="110"/>
        <v>216.40666666666667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68.589112431725709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394</v>
      </c>
      <c r="L133" s="13">
        <f>VLOOKUP(A133,'Données projet'!$A$35:$I$55,9,0)</f>
        <v>4.2</v>
      </c>
      <c r="M133" s="13">
        <f t="array" ref="M133">INDEX(L:L,MIN(IF(ISNUMBER(L133:L329),ROW(L133:L329),"")))</f>
        <v>4.2</v>
      </c>
      <c r="N133" s="14">
        <f>IF('Données projet'!$A$36&gt;35,N132+M133-V132,IF(A133&lt;'Données projet'!$A$36,$K$205^A133,IF(A133='Données projet'!$A$36,'Données projet'!$B$36,N132+M133-V132)))</f>
        <v>393.99999999999977</v>
      </c>
      <c r="O133" s="14">
        <f>N133*VLOOKUP('Données projet'!$B$9,Paramètres!$A$1:$I$89,3,0)*VLOOKUP('Données projet'!$B$9,Paramètres!$A$1:$I$89,5,0)</f>
        <v>356.49119999999976</v>
      </c>
      <c r="P133" s="14">
        <f t="shared" ref="P133:P196" si="141">EXP(-1.0587+0.8836*LN(O133)+0.284)</f>
        <v>82.897683869422281</v>
      </c>
      <c r="Q133" s="22">
        <f t="shared" si="108"/>
        <v>765.2689727392434</v>
      </c>
      <c r="R133" s="62">
        <f t="shared" si="109"/>
        <v>1053.4290516555711</v>
      </c>
      <c r="S133" s="62">
        <f ca="1">AVERAGE(OFFSET($R$3,0,0,'Données projet'!$E$9+1,1))-AVERAGE(OFFSET($H$3,0,0,'Données projet'!$E$9+1,1))</f>
        <v>551.67307965706379</v>
      </c>
      <c r="T133" s="62">
        <f t="shared" ref="T133:T196" si="142">$T$3</f>
        <v>288.70738860523943</v>
      </c>
      <c r="U133" s="16">
        <f>IF(ISNA(VLOOKUP(A133,'Données projet'!$A$35:$I$55,3,0)),0,VLOOKUP(A133,'Données projet'!$A$35:$I$55,3,0))</f>
        <v>9</v>
      </c>
      <c r="V133" s="16">
        <f>IF(ISNA(VLOOKUP(A133,'Données projet'!$A$35:$I$55,4,0)),0,VLOOKUP(A133,'Données projet'!$A$35:$I$55,4,0))</f>
        <v>91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68.589112431725709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394</v>
      </c>
      <c r="AG133" s="13">
        <f>VLOOKUP(A133,'Données projet'!$A$61:$I$81,9,0)</f>
        <v>4.2</v>
      </c>
      <c r="AH133" s="13">
        <f t="array" ref="AH133">INDEX(AG:AG,MIN(IF(ISNUMBER(AG133:AG329),ROW(AG133:AG329),"")))</f>
        <v>4.2</v>
      </c>
      <c r="AI133" s="14">
        <f>IF('Données projet'!$A$62&gt;35,AI132+AH133-AQ132,IF(A133&lt;'Données projet'!$A$62,$AF$205^A133,IF(A133='Données projet'!$A$62,'Données projet'!$B$62,AI132+AH133-AQ132)))</f>
        <v>393.99999999999977</v>
      </c>
      <c r="AJ133" s="14">
        <f>AI133*VLOOKUP('Données projet'!$B$10,Paramètres!$A$1:$I$89,3,0)*VLOOKUP('Données projet'!$B$10,Paramètres!$A$1:$I$89,5,0)</f>
        <v>331.90559999999982</v>
      </c>
      <c r="AK133" s="14">
        <f t="shared" ref="AK133:AK153" si="143">EXP(-1.0587+0.8836*LN(AJ133)+0.284)</f>
        <v>77.825254176842535</v>
      </c>
      <c r="AL133" s="22">
        <f t="shared" si="112"/>
        <v>713.61457102466704</v>
      </c>
      <c r="AM133" s="62">
        <f t="shared" si="113"/>
        <v>1001.7746499409947</v>
      </c>
      <c r="AN133" s="62">
        <f ca="1">AVERAGE(OFFSET($AM$3,0,0,'Données projet'!$E$10+1,1))-AVERAGE(OFFSET($H$3,0,0,'Données projet'!$E$10+1,1))</f>
        <v>518.18933270904506</v>
      </c>
      <c r="AO133" s="62">
        <f t="shared" ref="AO133:AO196" si="144">$AO$3</f>
        <v>272.44431899810411</v>
      </c>
      <c r="AP133" s="16">
        <f>IF(ISNA(VLOOKUP(A133,'Données projet'!$A$61:$I$81,3,0)),0,VLOOKUP(A133,'Données projet'!$A$61:$I$81,3,0))</f>
        <v>9</v>
      </c>
      <c r="AQ133" s="16">
        <f>IF(ISNA(VLOOKUP(A133,'Données projet'!$A$61:$I$81,4,0)),0,VLOOKUP(A133,'Données projet'!$A$61:$I$81,4,0))</f>
        <v>91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68.589112431725709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-9.7543306765146564E-14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464.73160475167867</v>
      </c>
      <c r="BJ133" s="62">
        <f t="shared" ref="BJ133:BJ196" si="146">$BJ$3</f>
        <v>241.31968359962227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68.589112431725709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2.2737367544323206E-13</v>
      </c>
      <c r="BZ133" s="14">
        <f>BY133*VLOOKUP('Données projet'!$B$12,Paramètres!$A$1:$I$89,3,0)*VLOOKUP('Données projet'!$B$12,Paramètres!$A$1:$I$89,5,0)</f>
        <v>1.4897523215040565E-13</v>
      </c>
      <c r="CA133" s="14">
        <f t="shared" ref="CA133:CA153" si="147">EXP(-1.0587+0.8836*LN(BZ133)+0.284)</f>
        <v>2.136562777003313E-12</v>
      </c>
      <c r="CB133" s="22">
        <f t="shared" si="118"/>
        <v>3.9806453659427267E-12</v>
      </c>
      <c r="CC133" s="62">
        <f t="shared" si="119"/>
        <v>288.1600789163316</v>
      </c>
      <c r="CD133" s="62">
        <f ca="1">AVERAGE(OFFSET($CC$3,0,0,'Données projet'!$E$12+1,1))-AVERAGE(OFFSET($H$3,0,0,'Données projet'!$E$12+1,1))</f>
        <v>292.13851489852607</v>
      </c>
      <c r="CE133" s="62">
        <f t="shared" ref="CE133:CE196" si="148">$CE$3</f>
        <v>280.10866188737418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68.589112431725709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-1.1368683772161603E-13</v>
      </c>
      <c r="CU133" s="18">
        <f>CT133*VLOOKUP('Données projet'!$B$13,Paramètres!$A$1:$I$89,3,0)*VLOOKUP('Données projet'!$B$13,Paramètres!$A$1:$I$89,5,0)</f>
        <v>-9.2222762759774927E-14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265.25572936607409</v>
      </c>
      <c r="CZ133" s="62">
        <f t="shared" ref="CZ133:CZ196" si="150">$CZ$3</f>
        <v>307.96244316129071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68.589112431725709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5.6843418860808015E-14</v>
      </c>
      <c r="DP133" s="18">
        <f>DO133*VLOOKUP('Données projet'!$B$14,Paramètres!$A$1:$I$89,3,0)*VLOOKUP('Données projet'!$B$14,Paramètres!$A$1:$I$89,5,0)</f>
        <v>5.4092197387944907E-14</v>
      </c>
      <c r="DQ133" s="14">
        <f t="shared" ref="DQ133:DQ153" si="151">EXP(-1.0587+0.8836*LN(DP133)+0.284)</f>
        <v>8.7287050538073676E-13</v>
      </c>
      <c r="DR133" s="22">
        <f t="shared" si="124"/>
        <v>1.6144600406554537E-12</v>
      </c>
      <c r="DS133" s="62">
        <f t="shared" si="125"/>
        <v>288.16007891632921</v>
      </c>
      <c r="DT133" s="62">
        <f ca="1">AVERAGE(OFFSET($DS$3,0,0,'Données projet'!$E$14+1,1))-AVERAGE(OFFSET($H$3,0,0,'Données projet'!$E$14+1,1))</f>
        <v>425.41154182732936</v>
      </c>
      <c r="DU133" s="62">
        <f t="shared" ref="DU133:DU196" si="152">$DU$3</f>
        <v>306.44721925744591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68.589112431725709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-5.6843418860808015E-14</v>
      </c>
      <c r="EK133" s="18">
        <f>EJ133*VLOOKUP('Données projet'!$B$15,Paramètres!$A$1:$I$89,3,0)*VLOOKUP('Données projet'!$B$15,Paramètres!$A$1:$I$89,5,0)</f>
        <v>-4.1677594708744434E-14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357.57626046668958</v>
      </c>
      <c r="EP133" s="62">
        <f t="shared" ref="EP133:EP196" si="154">$EP$3</f>
        <v>386.90439522046199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68.589112431725709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1.1368683772161603E-13</v>
      </c>
      <c r="FF133" s="18">
        <f>FE133*VLOOKUP('Données projet'!$B$16,Paramètres!$A$1:$I$89,3,0)*VLOOKUP('Données projet'!$B$16,Paramètres!$A$1:$I$89,5,0)</f>
        <v>8.8675733422860506E-14</v>
      </c>
      <c r="FG133" s="14">
        <f t="shared" ref="FG133:FG153" si="155">EXP(-1.0587+0.8836*LN(FF133)+0.284)</f>
        <v>1.3509285393066301E-12</v>
      </c>
      <c r="FH133" s="22">
        <f t="shared" si="130"/>
        <v>2.5073107750038623E-12</v>
      </c>
      <c r="FI133" s="62">
        <f t="shared" si="131"/>
        <v>288.16007891633012</v>
      </c>
      <c r="FJ133" s="62">
        <f ca="1">AVERAGE(OFFSET($FI$3,0,0,'Données projet'!$E$16+1,1))-AVERAGE(OFFSET($H$3,0,0,'Données projet'!$E$16+1,1))</f>
        <v>303.56663121833833</v>
      </c>
      <c r="FK133" s="62">
        <f t="shared" ref="FK133:FK196" si="156">$FK$3</f>
        <v>293.97736357938038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68.589112431725709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-5.6843418860808015E-14</v>
      </c>
      <c r="GA133" s="18">
        <f>FZ133*VLOOKUP('Données projet'!$B$17,Paramètres!$A$1:$I$89,3,0)*VLOOKUP('Données projet'!$B$17,Paramètres!$A$1:$I$89,5,0)</f>
        <v>-4.5224624045658861E-14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383.71724511025587</v>
      </c>
      <c r="GF133" s="62">
        <f t="shared" ref="GF133:GF196" si="158">$GF$3</f>
        <v>415.10774719533185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68.589112431725709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1.7053025658242404E-13</v>
      </c>
      <c r="GV133" s="18">
        <f>GU133*VLOOKUP('Données projet'!$B$18,Paramètres!$A$1:$I$89,3,0)*VLOOKUP('Données projet'!$B$18,Paramètres!$A$1:$I$89,5,0)</f>
        <v>1.1439169611549005E-13</v>
      </c>
      <c r="GW133" s="14">
        <f t="shared" ref="GW133:GW153" si="159">EXP(-1.0587+0.8836*LN(GV133)+0.284)</f>
        <v>1.6918016515029816E-12</v>
      </c>
      <c r="GX133" s="22">
        <f t="shared" si="136"/>
        <v>3.1457867471021712E-12</v>
      </c>
      <c r="GY133" s="62">
        <f t="shared" si="137"/>
        <v>288.16007891633075</v>
      </c>
      <c r="GZ133" s="62">
        <f ca="1">AVERAGE(OFFSET($GY$3,0,0,'Données projet'!$E$18+1,1))-AVERAGE(OFFSET($H$3,0,0,'Données projet'!$E$18+1,1))</f>
        <v>329.93956600482801</v>
      </c>
      <c r="HA133" s="62">
        <f t="shared" ref="HA133:HA196" si="160">$HA$3</f>
        <v>268.69186630599165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2.7450000000000001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10.065</v>
      </c>
      <c r="H134" s="70">
        <f t="shared" si="110"/>
        <v>216.40666666666667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68.613588176763201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3.8</v>
      </c>
      <c r="N134" s="14">
        <f>IF('Données projet'!$A$36&gt;35,N133+M134-V133,IF(A134&lt;'Données projet'!$A$36,$K$205^A134,IF(A134='Données projet'!$A$36,'Données projet'!$B$36,N133+M134-V133)))</f>
        <v>306.79999999999978</v>
      </c>
      <c r="O134" s="14">
        <f>N134*VLOOKUP('Données projet'!$B$9,Paramètres!$A$1:$I$89,3,0)*VLOOKUP('Données projet'!$B$9,Paramètres!$A$1:$I$89,5,0)</f>
        <v>277.59263999999979</v>
      </c>
      <c r="P134" s="14">
        <f t="shared" si="141"/>
        <v>66.458009122425523</v>
      </c>
      <c r="Q134" s="22">
        <f t="shared" si="108"/>
        <v>599.22154722155733</v>
      </c>
      <c r="R134" s="62">
        <f t="shared" si="109"/>
        <v>887.47137053635572</v>
      </c>
      <c r="S134" s="62">
        <f ca="1">AVERAGE(OFFSET($R$3,0,0,'Données projet'!$E$9+1,1))-AVERAGE(OFFSET($H$3,0,0,'Données projet'!$E$9+1,1))</f>
        <v>551.67307965706379</v>
      </c>
      <c r="T134" s="62">
        <f t="shared" si="142"/>
        <v>288.70738860523943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68.613588176763201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3.8</v>
      </c>
      <c r="AI134" s="14">
        <f>IF('Données projet'!$A$62&gt;35,AI133+AH134-AQ133,IF(A134&lt;'Données projet'!$A$62,$AF$205^A134,IF(A134='Données projet'!$A$62,'Données projet'!$B$62,AI133+AH134-AQ133)))</f>
        <v>306.79999999999978</v>
      </c>
      <c r="AJ134" s="14">
        <f>AI134*VLOOKUP('Données projet'!$B$10,Paramètres!$A$1:$I$89,3,0)*VLOOKUP('Données projet'!$B$10,Paramètres!$A$1:$I$89,5,0)</f>
        <v>258.44831999999985</v>
      </c>
      <c r="AK134" s="14">
        <f t="shared" si="143"/>
        <v>62.391507345206676</v>
      </c>
      <c r="AL134" s="22">
        <f t="shared" si="112"/>
        <v>558.79603262623471</v>
      </c>
      <c r="AM134" s="62">
        <f t="shared" si="113"/>
        <v>847.0458559410331</v>
      </c>
      <c r="AN134" s="62">
        <f ca="1">AVERAGE(OFFSET($AM$3,0,0,'Données projet'!$E$10+1,1))-AVERAGE(OFFSET($H$3,0,0,'Données projet'!$E$10+1,1))</f>
        <v>518.18933270904506</v>
      </c>
      <c r="AO134" s="62">
        <f t="shared" si="144"/>
        <v>272.44431899810411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68.613588176763201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-9.7543306765146564E-14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464.73160475167867</v>
      </c>
      <c r="BJ134" s="62">
        <f t="shared" si="146"/>
        <v>241.31968359962227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68.613588176763201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2.2737367544323206E-13</v>
      </c>
      <c r="BZ134" s="14">
        <f>BY134*VLOOKUP('Données projet'!$B$12,Paramètres!$A$1:$I$89,3,0)*VLOOKUP('Données projet'!$B$12,Paramètres!$A$1:$I$89,5,0)</f>
        <v>1.4897523215040565E-13</v>
      </c>
      <c r="CA134" s="14">
        <f t="shared" si="147"/>
        <v>2.136562777003313E-12</v>
      </c>
      <c r="CB134" s="22">
        <f t="shared" si="118"/>
        <v>3.9806453659427267E-12</v>
      </c>
      <c r="CC134" s="62">
        <f t="shared" si="119"/>
        <v>288.24982331480237</v>
      </c>
      <c r="CD134" s="62">
        <f ca="1">AVERAGE(OFFSET($CC$3,0,0,'Données projet'!$E$12+1,1))-AVERAGE(OFFSET($H$3,0,0,'Données projet'!$E$12+1,1))</f>
        <v>292.13851489852607</v>
      </c>
      <c r="CE134" s="62">
        <f t="shared" si="148"/>
        <v>280.10866188737418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68.613588176763201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-1.1368683772161603E-13</v>
      </c>
      <c r="CU134" s="18">
        <f>CT134*VLOOKUP('Données projet'!$B$13,Paramètres!$A$1:$I$89,3,0)*VLOOKUP('Données projet'!$B$13,Paramètres!$A$1:$I$89,5,0)</f>
        <v>-9.2222762759774927E-14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265.25572936607409</v>
      </c>
      <c r="CZ134" s="62">
        <f t="shared" si="150"/>
        <v>307.96244316129071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68.613588176763201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5.6843418860808015E-14</v>
      </c>
      <c r="DP134" s="18">
        <f>DO134*VLOOKUP('Données projet'!$B$14,Paramètres!$A$1:$I$89,3,0)*VLOOKUP('Données projet'!$B$14,Paramètres!$A$1:$I$89,5,0)</f>
        <v>5.4092197387944907E-14</v>
      </c>
      <c r="DQ134" s="14">
        <f t="shared" si="151"/>
        <v>8.7287050538073676E-13</v>
      </c>
      <c r="DR134" s="22">
        <f t="shared" si="124"/>
        <v>1.6144600406554537E-12</v>
      </c>
      <c r="DS134" s="62">
        <f t="shared" si="125"/>
        <v>288.24982331479998</v>
      </c>
      <c r="DT134" s="62">
        <f ca="1">AVERAGE(OFFSET($DS$3,0,0,'Données projet'!$E$14+1,1))-AVERAGE(OFFSET($H$3,0,0,'Données projet'!$E$14+1,1))</f>
        <v>425.41154182732936</v>
      </c>
      <c r="DU134" s="62">
        <f t="shared" si="152"/>
        <v>306.44721925744591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68.613588176763201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-5.6843418860808015E-14</v>
      </c>
      <c r="EK134" s="18">
        <f>EJ134*VLOOKUP('Données projet'!$B$15,Paramètres!$A$1:$I$89,3,0)*VLOOKUP('Données projet'!$B$15,Paramètres!$A$1:$I$89,5,0)</f>
        <v>-4.1677594708744434E-14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357.57626046668958</v>
      </c>
      <c r="EP134" s="62">
        <f t="shared" si="154"/>
        <v>386.90439522046199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68.613588176763201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1.1368683772161603E-13</v>
      </c>
      <c r="FF134" s="18">
        <f>FE134*VLOOKUP('Données projet'!$B$16,Paramètres!$A$1:$I$89,3,0)*VLOOKUP('Données projet'!$B$16,Paramètres!$A$1:$I$89,5,0)</f>
        <v>8.8675733422860506E-14</v>
      </c>
      <c r="FG134" s="14">
        <f t="shared" si="155"/>
        <v>1.3509285393066301E-12</v>
      </c>
      <c r="FH134" s="22">
        <f t="shared" si="130"/>
        <v>2.5073107750038623E-12</v>
      </c>
      <c r="FI134" s="62">
        <f t="shared" si="131"/>
        <v>288.24982331480089</v>
      </c>
      <c r="FJ134" s="62">
        <f ca="1">AVERAGE(OFFSET($FI$3,0,0,'Données projet'!$E$16+1,1))-AVERAGE(OFFSET($H$3,0,0,'Données projet'!$E$16+1,1))</f>
        <v>303.56663121833833</v>
      </c>
      <c r="FK134" s="62">
        <f t="shared" si="156"/>
        <v>293.97736357938038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68.613588176763201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-5.6843418860808015E-14</v>
      </c>
      <c r="GA134" s="18">
        <f>FZ134*VLOOKUP('Données projet'!$B$17,Paramètres!$A$1:$I$89,3,0)*VLOOKUP('Données projet'!$B$17,Paramètres!$A$1:$I$89,5,0)</f>
        <v>-4.5224624045658861E-14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383.71724511025587</v>
      </c>
      <c r="GF134" s="62">
        <f t="shared" si="158"/>
        <v>415.10774719533185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68.613588176763201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1.7053025658242404E-13</v>
      </c>
      <c r="GV134" s="18">
        <f>GU134*VLOOKUP('Données projet'!$B$18,Paramètres!$A$1:$I$89,3,0)*VLOOKUP('Données projet'!$B$18,Paramètres!$A$1:$I$89,5,0)</f>
        <v>1.1439169611549005E-13</v>
      </c>
      <c r="GW134" s="14">
        <f t="shared" si="159"/>
        <v>1.6918016515029816E-12</v>
      </c>
      <c r="GX134" s="22">
        <f t="shared" si="136"/>
        <v>3.1457867471021712E-12</v>
      </c>
      <c r="GY134" s="62">
        <f t="shared" si="137"/>
        <v>288.24982331480152</v>
      </c>
      <c r="GZ134" s="62">
        <f ca="1">AVERAGE(OFFSET($GY$3,0,0,'Données projet'!$E$18+1,1))-AVERAGE(OFFSET($H$3,0,0,'Données projet'!$E$18+1,1))</f>
        <v>329.93956600482801</v>
      </c>
      <c r="HA134" s="62">
        <f t="shared" si="160"/>
        <v>268.69186630599165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2.7450000000000001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10.065</v>
      </c>
      <c r="H135" s="70">
        <f t="shared" si="110"/>
        <v>216.40666666666667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68.637639322343873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3.8</v>
      </c>
      <c r="N135" s="14">
        <f>IF('Données projet'!$A$36&gt;35,N134+M135-V134,IF(A135&lt;'Données projet'!$A$36,$K$205^A135,IF(A135='Données projet'!$A$36,'Données projet'!$B$36,N134+M135-V134)))</f>
        <v>310.5999999999998</v>
      </c>
      <c r="O135" s="14">
        <f>N135*VLOOKUP('Données projet'!$B$9,Paramètres!$A$1:$I$89,3,0)*VLOOKUP('Données projet'!$B$9,Paramètres!$A$1:$I$89,5,0)</f>
        <v>281.03087999999985</v>
      </c>
      <c r="P135" s="14">
        <f t="shared" si="141"/>
        <v>67.184816842275467</v>
      </c>
      <c r="Q135" s="22">
        <f t="shared" si="108"/>
        <v>606.47567200029607</v>
      </c>
      <c r="R135" s="62">
        <f t="shared" si="109"/>
        <v>894.81368284889027</v>
      </c>
      <c r="S135" s="62">
        <f ca="1">AVERAGE(OFFSET($R$3,0,0,'Données projet'!$E$9+1,1))-AVERAGE(OFFSET($H$3,0,0,'Données projet'!$E$9+1,1))</f>
        <v>551.67307965706379</v>
      </c>
      <c r="T135" s="62">
        <f t="shared" si="142"/>
        <v>288.70738860523943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68.637639322343873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3.8</v>
      </c>
      <c r="AI135" s="14">
        <f>IF('Données projet'!$A$62&gt;35,AI134+AH135-AQ134,IF(A135&lt;'Données projet'!$A$62,$AF$205^A135,IF(A135='Données projet'!$A$62,'Données projet'!$B$62,AI134+AH135-AQ134)))</f>
        <v>310.5999999999998</v>
      </c>
      <c r="AJ135" s="14">
        <f>AI135*VLOOKUP('Données projet'!$B$10,Paramètres!$A$1:$I$89,3,0)*VLOOKUP('Données projet'!$B$10,Paramètres!$A$1:$I$89,5,0)</f>
        <v>261.64943999999986</v>
      </c>
      <c r="AK135" s="14">
        <f t="shared" si="143"/>
        <v>63.073842398428624</v>
      </c>
      <c r="AL135" s="22">
        <f t="shared" si="112"/>
        <v>565.55971684392955</v>
      </c>
      <c r="AM135" s="62">
        <f t="shared" si="113"/>
        <v>853.89772769252374</v>
      </c>
      <c r="AN135" s="62">
        <f ca="1">AVERAGE(OFFSET($AM$3,0,0,'Données projet'!$E$10+1,1))-AVERAGE(OFFSET($H$3,0,0,'Données projet'!$E$10+1,1))</f>
        <v>518.18933270904506</v>
      </c>
      <c r="AO135" s="62">
        <f t="shared" si="144"/>
        <v>272.44431899810411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68.637639322343873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-9.7543306765146564E-14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464.73160475167867</v>
      </c>
      <c r="BJ135" s="62">
        <f t="shared" si="146"/>
        <v>241.31968359962227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68.637639322343873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2.2737367544323206E-13</v>
      </c>
      <c r="BZ135" s="14">
        <f>BY135*VLOOKUP('Données projet'!$B$12,Paramètres!$A$1:$I$89,3,0)*VLOOKUP('Données projet'!$B$12,Paramètres!$A$1:$I$89,5,0)</f>
        <v>1.4897523215040565E-13</v>
      </c>
      <c r="CA135" s="14">
        <f t="shared" si="147"/>
        <v>2.136562777003313E-12</v>
      </c>
      <c r="CB135" s="22">
        <f t="shared" si="118"/>
        <v>3.9806453659427267E-12</v>
      </c>
      <c r="CC135" s="62">
        <f t="shared" si="119"/>
        <v>288.33801084859817</v>
      </c>
      <c r="CD135" s="62">
        <f ca="1">AVERAGE(OFFSET($CC$3,0,0,'Données projet'!$E$12+1,1))-AVERAGE(OFFSET($H$3,0,0,'Données projet'!$E$12+1,1))</f>
        <v>292.13851489852607</v>
      </c>
      <c r="CE135" s="62">
        <f t="shared" si="148"/>
        <v>280.10866188737418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68.637639322343873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-1.1368683772161603E-13</v>
      </c>
      <c r="CU135" s="18">
        <f>CT135*VLOOKUP('Données projet'!$B$13,Paramètres!$A$1:$I$89,3,0)*VLOOKUP('Données projet'!$B$13,Paramètres!$A$1:$I$89,5,0)</f>
        <v>-9.2222762759774927E-14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265.25572936607409</v>
      </c>
      <c r="CZ135" s="62">
        <f t="shared" si="150"/>
        <v>307.96244316129071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68.637639322343873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5.6843418860808015E-14</v>
      </c>
      <c r="DP135" s="18">
        <f>DO135*VLOOKUP('Données projet'!$B$14,Paramètres!$A$1:$I$89,3,0)*VLOOKUP('Données projet'!$B$14,Paramètres!$A$1:$I$89,5,0)</f>
        <v>5.4092197387944907E-14</v>
      </c>
      <c r="DQ135" s="14">
        <f t="shared" si="151"/>
        <v>8.7287050538073676E-13</v>
      </c>
      <c r="DR135" s="22">
        <f t="shared" si="124"/>
        <v>1.6144600406554537E-12</v>
      </c>
      <c r="DS135" s="62">
        <f t="shared" si="125"/>
        <v>288.33801084859579</v>
      </c>
      <c r="DT135" s="62">
        <f ca="1">AVERAGE(OFFSET($DS$3,0,0,'Données projet'!$E$14+1,1))-AVERAGE(OFFSET($H$3,0,0,'Données projet'!$E$14+1,1))</f>
        <v>425.41154182732936</v>
      </c>
      <c r="DU135" s="62">
        <f t="shared" si="152"/>
        <v>306.44721925744591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68.637639322343873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-5.6843418860808015E-14</v>
      </c>
      <c r="EK135" s="18">
        <f>EJ135*VLOOKUP('Données projet'!$B$15,Paramètres!$A$1:$I$89,3,0)*VLOOKUP('Données projet'!$B$15,Paramètres!$A$1:$I$89,5,0)</f>
        <v>-4.1677594708744434E-14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357.57626046668958</v>
      </c>
      <c r="EP135" s="62">
        <f t="shared" si="154"/>
        <v>386.90439522046199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68.637639322343873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1.1368683772161603E-13</v>
      </c>
      <c r="FF135" s="18">
        <f>FE135*VLOOKUP('Données projet'!$B$16,Paramètres!$A$1:$I$89,3,0)*VLOOKUP('Données projet'!$B$16,Paramètres!$A$1:$I$89,5,0)</f>
        <v>8.8675733422860506E-14</v>
      </c>
      <c r="FG135" s="14">
        <f t="shared" si="155"/>
        <v>1.3509285393066301E-12</v>
      </c>
      <c r="FH135" s="22">
        <f t="shared" si="130"/>
        <v>2.5073107750038623E-12</v>
      </c>
      <c r="FI135" s="62">
        <f t="shared" si="131"/>
        <v>288.3380108485967</v>
      </c>
      <c r="FJ135" s="62">
        <f ca="1">AVERAGE(OFFSET($FI$3,0,0,'Données projet'!$E$16+1,1))-AVERAGE(OFFSET($H$3,0,0,'Données projet'!$E$16+1,1))</f>
        <v>303.56663121833833</v>
      </c>
      <c r="FK135" s="62">
        <f t="shared" si="156"/>
        <v>293.97736357938038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68.637639322343873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-5.6843418860808015E-14</v>
      </c>
      <c r="GA135" s="18">
        <f>FZ135*VLOOKUP('Données projet'!$B$17,Paramètres!$A$1:$I$89,3,0)*VLOOKUP('Données projet'!$B$17,Paramètres!$A$1:$I$89,5,0)</f>
        <v>-4.5224624045658861E-14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383.71724511025587</v>
      </c>
      <c r="GF135" s="62">
        <f t="shared" si="158"/>
        <v>415.10774719533185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68.637639322343873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1.7053025658242404E-13</v>
      </c>
      <c r="GV135" s="18">
        <f>GU135*VLOOKUP('Données projet'!$B$18,Paramètres!$A$1:$I$89,3,0)*VLOOKUP('Données projet'!$B$18,Paramètres!$A$1:$I$89,5,0)</f>
        <v>1.1439169611549005E-13</v>
      </c>
      <c r="GW135" s="14">
        <f t="shared" si="159"/>
        <v>1.6918016515029816E-12</v>
      </c>
      <c r="GX135" s="22">
        <f t="shared" si="136"/>
        <v>3.1457867471021712E-12</v>
      </c>
      <c r="GY135" s="62">
        <f t="shared" si="137"/>
        <v>288.33801084859732</v>
      </c>
      <c r="GZ135" s="62">
        <f ca="1">AVERAGE(OFFSET($GY$3,0,0,'Données projet'!$E$18+1,1))-AVERAGE(OFFSET($H$3,0,0,'Données projet'!$E$18+1,1))</f>
        <v>329.93956600482801</v>
      </c>
      <c r="HA135" s="62">
        <f t="shared" si="160"/>
        <v>268.69186630599165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2.7450000000000001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10.065</v>
      </c>
      <c r="H136" s="70">
        <f t="shared" si="110"/>
        <v>216.40666666666667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68.661273234319026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3.8</v>
      </c>
      <c r="N136" s="14">
        <f>IF('Données projet'!$A$36&gt;35,N135+M136-V135,IF(A136&lt;'Données projet'!$A$36,$K$205^A136,IF(A136='Données projet'!$A$36,'Données projet'!$B$36,N135+M136-V135)))</f>
        <v>314.39999999999981</v>
      </c>
      <c r="O136" s="14">
        <f>N136*VLOOKUP('Données projet'!$B$9,Paramètres!$A$1:$I$89,3,0)*VLOOKUP('Données projet'!$B$9,Paramètres!$A$1:$I$89,5,0)</f>
        <v>284.4691199999998</v>
      </c>
      <c r="P136" s="14">
        <f t="shared" si="141"/>
        <v>67.910590237378983</v>
      </c>
      <c r="Q136" s="22">
        <f t="shared" si="108"/>
        <v>613.72799533010129</v>
      </c>
      <c r="R136" s="62">
        <f t="shared" si="109"/>
        <v>902.15266385593782</v>
      </c>
      <c r="S136" s="62">
        <f ca="1">AVERAGE(OFFSET($R$3,0,0,'Données projet'!$E$9+1,1))-AVERAGE(OFFSET($H$3,0,0,'Données projet'!$E$9+1,1))</f>
        <v>551.67307965706379</v>
      </c>
      <c r="T136" s="62">
        <f t="shared" si="142"/>
        <v>288.70738860523943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68.661273234319026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3.8</v>
      </c>
      <c r="AI136" s="14">
        <f>IF('Données projet'!$A$62&gt;35,AI135+AH136-AQ135,IF(A136&lt;'Données projet'!$A$62,$AF$205^A136,IF(A136='Données projet'!$A$62,'Données projet'!$B$62,AI135+AH136-AQ135)))</f>
        <v>314.39999999999981</v>
      </c>
      <c r="AJ136" s="14">
        <f>AI136*VLOOKUP('Données projet'!$B$10,Paramètres!$A$1:$I$89,3,0)*VLOOKUP('Données projet'!$B$10,Paramètres!$A$1:$I$89,5,0)</f>
        <v>264.85055999999986</v>
      </c>
      <c r="AK136" s="14">
        <f t="shared" si="143"/>
        <v>63.755206416242338</v>
      </c>
      <c r="AL136" s="22">
        <f t="shared" si="112"/>
        <v>572.32170984162178</v>
      </c>
      <c r="AM136" s="62">
        <f t="shared" si="113"/>
        <v>860.74637836745819</v>
      </c>
      <c r="AN136" s="62">
        <f ca="1">AVERAGE(OFFSET($AM$3,0,0,'Données projet'!$E$10+1,1))-AVERAGE(OFFSET($H$3,0,0,'Données projet'!$E$10+1,1))</f>
        <v>518.18933270904506</v>
      </c>
      <c r="AO136" s="62">
        <f t="shared" si="144"/>
        <v>272.44431899810411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68.661273234319026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-9.7543306765146564E-14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464.73160475167867</v>
      </c>
      <c r="BJ136" s="62">
        <f t="shared" si="146"/>
        <v>241.31968359962227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68.661273234319026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2.2737367544323206E-13</v>
      </c>
      <c r="BZ136" s="14">
        <f>BY136*VLOOKUP('Données projet'!$B$12,Paramètres!$A$1:$I$89,3,0)*VLOOKUP('Données projet'!$B$12,Paramètres!$A$1:$I$89,5,0)</f>
        <v>1.4897523215040565E-13</v>
      </c>
      <c r="CA136" s="14">
        <f t="shared" si="147"/>
        <v>2.136562777003313E-12</v>
      </c>
      <c r="CB136" s="22">
        <f t="shared" si="118"/>
        <v>3.9806453659427267E-12</v>
      </c>
      <c r="CC136" s="62">
        <f t="shared" si="119"/>
        <v>288.42466852584045</v>
      </c>
      <c r="CD136" s="62">
        <f ca="1">AVERAGE(OFFSET($CC$3,0,0,'Données projet'!$E$12+1,1))-AVERAGE(OFFSET($H$3,0,0,'Données projet'!$E$12+1,1))</f>
        <v>292.13851489852607</v>
      </c>
      <c r="CE136" s="62">
        <f t="shared" si="148"/>
        <v>280.10866188737418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68.661273234319026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-1.1368683772161603E-13</v>
      </c>
      <c r="CU136" s="18">
        <f>CT136*VLOOKUP('Données projet'!$B$13,Paramètres!$A$1:$I$89,3,0)*VLOOKUP('Données projet'!$B$13,Paramètres!$A$1:$I$89,5,0)</f>
        <v>-9.2222762759774927E-14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265.25572936607409</v>
      </c>
      <c r="CZ136" s="62">
        <f t="shared" si="150"/>
        <v>307.96244316129071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68.661273234319026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5.6843418860808015E-14</v>
      </c>
      <c r="DP136" s="18">
        <f>DO136*VLOOKUP('Données projet'!$B$14,Paramètres!$A$1:$I$89,3,0)*VLOOKUP('Données projet'!$B$14,Paramètres!$A$1:$I$89,5,0)</f>
        <v>5.4092197387944907E-14</v>
      </c>
      <c r="DQ136" s="14">
        <f t="shared" si="151"/>
        <v>8.7287050538073676E-13</v>
      </c>
      <c r="DR136" s="22">
        <f t="shared" si="124"/>
        <v>1.6144600406554537E-12</v>
      </c>
      <c r="DS136" s="62">
        <f t="shared" si="125"/>
        <v>288.42466852583806</v>
      </c>
      <c r="DT136" s="62">
        <f ca="1">AVERAGE(OFFSET($DS$3,0,0,'Données projet'!$E$14+1,1))-AVERAGE(OFFSET($H$3,0,0,'Données projet'!$E$14+1,1))</f>
        <v>425.41154182732936</v>
      </c>
      <c r="DU136" s="62">
        <f t="shared" si="152"/>
        <v>306.44721925744591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68.661273234319026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-5.6843418860808015E-14</v>
      </c>
      <c r="EK136" s="18">
        <f>EJ136*VLOOKUP('Données projet'!$B$15,Paramètres!$A$1:$I$89,3,0)*VLOOKUP('Données projet'!$B$15,Paramètres!$A$1:$I$89,5,0)</f>
        <v>-4.1677594708744434E-14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357.57626046668958</v>
      </c>
      <c r="EP136" s="62">
        <f t="shared" si="154"/>
        <v>386.90439522046199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68.661273234319026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1.1368683772161603E-13</v>
      </c>
      <c r="FF136" s="18">
        <f>FE136*VLOOKUP('Données projet'!$B$16,Paramètres!$A$1:$I$89,3,0)*VLOOKUP('Données projet'!$B$16,Paramètres!$A$1:$I$89,5,0)</f>
        <v>8.8675733422860506E-14</v>
      </c>
      <c r="FG136" s="14">
        <f t="shared" si="155"/>
        <v>1.3509285393066301E-12</v>
      </c>
      <c r="FH136" s="22">
        <f t="shared" si="130"/>
        <v>2.5073107750038623E-12</v>
      </c>
      <c r="FI136" s="62">
        <f t="shared" si="131"/>
        <v>288.42466852583897</v>
      </c>
      <c r="FJ136" s="62">
        <f ca="1">AVERAGE(OFFSET($FI$3,0,0,'Données projet'!$E$16+1,1))-AVERAGE(OFFSET($H$3,0,0,'Données projet'!$E$16+1,1))</f>
        <v>303.56663121833833</v>
      </c>
      <c r="FK136" s="62">
        <f t="shared" si="156"/>
        <v>293.97736357938038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68.661273234319026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-5.6843418860808015E-14</v>
      </c>
      <c r="GA136" s="18">
        <f>FZ136*VLOOKUP('Données projet'!$B$17,Paramètres!$A$1:$I$89,3,0)*VLOOKUP('Données projet'!$B$17,Paramètres!$A$1:$I$89,5,0)</f>
        <v>-4.5224624045658861E-14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383.71724511025587</v>
      </c>
      <c r="GF136" s="62">
        <f t="shared" si="158"/>
        <v>415.10774719533185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68.661273234319026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1.7053025658242404E-13</v>
      </c>
      <c r="GV136" s="18">
        <f>GU136*VLOOKUP('Données projet'!$B$18,Paramètres!$A$1:$I$89,3,0)*VLOOKUP('Données projet'!$B$18,Paramètres!$A$1:$I$89,5,0)</f>
        <v>1.1439169611549005E-13</v>
      </c>
      <c r="GW136" s="14">
        <f t="shared" si="159"/>
        <v>1.6918016515029816E-12</v>
      </c>
      <c r="GX136" s="22">
        <f t="shared" si="136"/>
        <v>3.1457867471021712E-12</v>
      </c>
      <c r="GY136" s="62">
        <f t="shared" si="137"/>
        <v>288.42466852583959</v>
      </c>
      <c r="GZ136" s="62">
        <f ca="1">AVERAGE(OFFSET($GY$3,0,0,'Données projet'!$E$18+1,1))-AVERAGE(OFFSET($H$3,0,0,'Données projet'!$E$18+1,1))</f>
        <v>329.93956600482801</v>
      </c>
      <c r="HA136" s="62">
        <f t="shared" si="160"/>
        <v>268.69186630599165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2.7450000000000001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10.065</v>
      </c>
      <c r="H137" s="70">
        <f t="shared" si="110"/>
        <v>216.40666666666667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68.684497150758915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3.8</v>
      </c>
      <c r="N137" s="14">
        <f>IF('Données projet'!$A$36&gt;35,N136+M137-V136,IF(A137&lt;'Données projet'!$A$36,$K$205^A137,IF(A137='Données projet'!$A$36,'Données projet'!$B$36,N136+M137-V136)))</f>
        <v>318.19999999999982</v>
      </c>
      <c r="O137" s="14">
        <f>N137*VLOOKUP('Données projet'!$B$9,Paramètres!$A$1:$I$89,3,0)*VLOOKUP('Données projet'!$B$9,Paramètres!$A$1:$I$89,5,0)</f>
        <v>287.90735999999981</v>
      </c>
      <c r="P137" s="14">
        <f t="shared" si="141"/>
        <v>68.635343255147305</v>
      </c>
      <c r="Q137" s="22">
        <f t="shared" si="108"/>
        <v>620.97854150271451</v>
      </c>
      <c r="R137" s="62">
        <f t="shared" si="109"/>
        <v>909.48836438883052</v>
      </c>
      <c r="S137" s="62">
        <f ca="1">AVERAGE(OFFSET($R$3,0,0,'Données projet'!$E$9+1,1))-AVERAGE(OFFSET($H$3,0,0,'Données projet'!$E$9+1,1))</f>
        <v>551.67307965706379</v>
      </c>
      <c r="T137" s="62">
        <f t="shared" si="142"/>
        <v>288.70738860523943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68.684497150758915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3.8</v>
      </c>
      <c r="AI137" s="14">
        <f>IF('Données projet'!$A$62&gt;35,AI136+AH137-AQ136,IF(A137&lt;'Données projet'!$A$62,$AF$205^A137,IF(A137='Données projet'!$A$62,'Données projet'!$B$62,AI136+AH137-AQ136)))</f>
        <v>318.19999999999982</v>
      </c>
      <c r="AJ137" s="14">
        <f>AI137*VLOOKUP('Données projet'!$B$10,Paramètres!$A$1:$I$89,3,0)*VLOOKUP('Données projet'!$B$10,Paramètres!$A$1:$I$89,5,0)</f>
        <v>268.05167999999986</v>
      </c>
      <c r="AK137" s="14">
        <f t="shared" si="143"/>
        <v>64.435612492630369</v>
      </c>
      <c r="AL137" s="22">
        <f t="shared" si="112"/>
        <v>579.08203442466424</v>
      </c>
      <c r="AM137" s="62">
        <f t="shared" si="113"/>
        <v>867.59185731078026</v>
      </c>
      <c r="AN137" s="62">
        <f ca="1">AVERAGE(OFFSET($AM$3,0,0,'Données projet'!$E$10+1,1))-AVERAGE(OFFSET($H$3,0,0,'Données projet'!$E$10+1,1))</f>
        <v>518.18933270904506</v>
      </c>
      <c r="AO137" s="62">
        <f t="shared" si="144"/>
        <v>272.44431899810411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68.684497150758915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-9.7543306765146564E-14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464.73160475167867</v>
      </c>
      <c r="BJ137" s="62">
        <f t="shared" si="146"/>
        <v>241.31968359962227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68.684497150758915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2.2737367544323206E-13</v>
      </c>
      <c r="BZ137" s="14">
        <f>BY137*VLOOKUP('Données projet'!$B$12,Paramètres!$A$1:$I$89,3,0)*VLOOKUP('Données projet'!$B$12,Paramètres!$A$1:$I$89,5,0)</f>
        <v>1.4897523215040565E-13</v>
      </c>
      <c r="CA137" s="14">
        <f t="shared" si="147"/>
        <v>2.136562777003313E-12</v>
      </c>
      <c r="CB137" s="22">
        <f t="shared" si="118"/>
        <v>3.9806453659427267E-12</v>
      </c>
      <c r="CC137" s="62">
        <f t="shared" si="119"/>
        <v>288.50982288611999</v>
      </c>
      <c r="CD137" s="62">
        <f ca="1">AVERAGE(OFFSET($CC$3,0,0,'Données projet'!$E$12+1,1))-AVERAGE(OFFSET($H$3,0,0,'Données projet'!$E$12+1,1))</f>
        <v>292.13851489852607</v>
      </c>
      <c r="CE137" s="62">
        <f t="shared" si="148"/>
        <v>280.10866188737418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68.684497150758915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-1.1368683772161603E-13</v>
      </c>
      <c r="CU137" s="18">
        <f>CT137*VLOOKUP('Données projet'!$B$13,Paramètres!$A$1:$I$89,3,0)*VLOOKUP('Données projet'!$B$13,Paramètres!$A$1:$I$89,5,0)</f>
        <v>-9.2222762759774927E-14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265.25572936607409</v>
      </c>
      <c r="CZ137" s="62">
        <f t="shared" si="150"/>
        <v>307.96244316129071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68.684497150758915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5.6843418860808015E-14</v>
      </c>
      <c r="DP137" s="18">
        <f>DO137*VLOOKUP('Données projet'!$B$14,Paramètres!$A$1:$I$89,3,0)*VLOOKUP('Données projet'!$B$14,Paramètres!$A$1:$I$89,5,0)</f>
        <v>5.4092197387944907E-14</v>
      </c>
      <c r="DQ137" s="14">
        <f t="shared" si="151"/>
        <v>8.7287050538073676E-13</v>
      </c>
      <c r="DR137" s="22">
        <f t="shared" si="124"/>
        <v>1.6144600406554537E-12</v>
      </c>
      <c r="DS137" s="62">
        <f t="shared" si="125"/>
        <v>288.5098228861176</v>
      </c>
      <c r="DT137" s="62">
        <f ca="1">AVERAGE(OFFSET($DS$3,0,0,'Données projet'!$E$14+1,1))-AVERAGE(OFFSET($H$3,0,0,'Données projet'!$E$14+1,1))</f>
        <v>425.41154182732936</v>
      </c>
      <c r="DU137" s="62">
        <f t="shared" si="152"/>
        <v>306.44721925744591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68.684497150758915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-5.6843418860808015E-14</v>
      </c>
      <c r="EK137" s="18">
        <f>EJ137*VLOOKUP('Données projet'!$B$15,Paramètres!$A$1:$I$89,3,0)*VLOOKUP('Données projet'!$B$15,Paramètres!$A$1:$I$89,5,0)</f>
        <v>-4.1677594708744434E-14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357.57626046668958</v>
      </c>
      <c r="EP137" s="62">
        <f t="shared" si="154"/>
        <v>386.90439522046199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68.684497150758915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1.1368683772161603E-13</v>
      </c>
      <c r="FF137" s="18">
        <f>FE137*VLOOKUP('Données projet'!$B$16,Paramètres!$A$1:$I$89,3,0)*VLOOKUP('Données projet'!$B$16,Paramètres!$A$1:$I$89,5,0)</f>
        <v>8.8675733422860506E-14</v>
      </c>
      <c r="FG137" s="14">
        <f t="shared" si="155"/>
        <v>1.3509285393066301E-12</v>
      </c>
      <c r="FH137" s="22">
        <f t="shared" si="130"/>
        <v>2.5073107750038623E-12</v>
      </c>
      <c r="FI137" s="62">
        <f t="shared" si="131"/>
        <v>288.50982288611851</v>
      </c>
      <c r="FJ137" s="62">
        <f ca="1">AVERAGE(OFFSET($FI$3,0,0,'Données projet'!$E$16+1,1))-AVERAGE(OFFSET($H$3,0,0,'Données projet'!$E$16+1,1))</f>
        <v>303.56663121833833</v>
      </c>
      <c r="FK137" s="62">
        <f t="shared" si="156"/>
        <v>293.97736357938038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68.684497150758915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-5.6843418860808015E-14</v>
      </c>
      <c r="GA137" s="18">
        <f>FZ137*VLOOKUP('Données projet'!$B$17,Paramètres!$A$1:$I$89,3,0)*VLOOKUP('Données projet'!$B$17,Paramètres!$A$1:$I$89,5,0)</f>
        <v>-4.5224624045658861E-14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383.71724511025587</v>
      </c>
      <c r="GF137" s="62">
        <f t="shared" si="158"/>
        <v>415.10774719533185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68.684497150758915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1.7053025658242404E-13</v>
      </c>
      <c r="GV137" s="18">
        <f>GU137*VLOOKUP('Données projet'!$B$18,Paramètres!$A$1:$I$89,3,0)*VLOOKUP('Données projet'!$B$18,Paramètres!$A$1:$I$89,5,0)</f>
        <v>1.1439169611549005E-13</v>
      </c>
      <c r="GW137" s="14">
        <f t="shared" si="159"/>
        <v>1.6918016515029816E-12</v>
      </c>
      <c r="GX137" s="22">
        <f t="shared" si="136"/>
        <v>3.1457867471021712E-12</v>
      </c>
      <c r="GY137" s="62">
        <f t="shared" si="137"/>
        <v>288.50982288611914</v>
      </c>
      <c r="GZ137" s="62">
        <f ca="1">AVERAGE(OFFSET($GY$3,0,0,'Données projet'!$E$18+1,1))-AVERAGE(OFFSET($H$3,0,0,'Données projet'!$E$18+1,1))</f>
        <v>329.93956600482801</v>
      </c>
      <c r="HA137" s="62">
        <f t="shared" si="160"/>
        <v>268.69186630599165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2.7450000000000001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10.065</v>
      </c>
      <c r="H138" s="70">
        <f t="shared" si="110"/>
        <v>216.40666666666667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68.707318184169466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3.8</v>
      </c>
      <c r="N138" s="14">
        <f>IF('Données projet'!$A$36&gt;35,N137+M138-V137,IF(A138&lt;'Données projet'!$A$36,$K$205^A138,IF(A138='Données projet'!$A$36,'Données projet'!$B$36,N137+M138-V137)))</f>
        <v>321.99999999999983</v>
      </c>
      <c r="O138" s="14">
        <f>N138*VLOOKUP('Données projet'!$B$9,Paramètres!$A$1:$I$89,3,0)*VLOOKUP('Données projet'!$B$9,Paramètres!$A$1:$I$89,5,0)</f>
        <v>291.34559999999982</v>
      </c>
      <c r="P138" s="14">
        <f t="shared" si="141"/>
        <v>69.359089490698651</v>
      </c>
      <c r="Q138" s="22">
        <f t="shared" si="108"/>
        <v>628.22733419629969</v>
      </c>
      <c r="R138" s="62">
        <f t="shared" si="109"/>
        <v>916.82083420492108</v>
      </c>
      <c r="S138" s="62">
        <f ca="1">AVERAGE(OFFSET($R$3,0,0,'Données projet'!$E$9+1,1))-AVERAGE(OFFSET($H$3,0,0,'Données projet'!$E$9+1,1))</f>
        <v>551.67307965706379</v>
      </c>
      <c r="T138" s="62">
        <f t="shared" si="142"/>
        <v>288.70738860523943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68.707318184169466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3.8</v>
      </c>
      <c r="AI138" s="14">
        <f>IF('Données projet'!$A$62&gt;35,AI137+AH138-AQ137,IF(A138&lt;'Données projet'!$A$62,$AF$205^A138,IF(A138='Données projet'!$A$62,'Données projet'!$B$62,AI137+AH138-AQ137)))</f>
        <v>321.99999999999983</v>
      </c>
      <c r="AJ138" s="14">
        <f>AI138*VLOOKUP('Données projet'!$B$10,Paramètres!$A$1:$I$89,3,0)*VLOOKUP('Données projet'!$B$10,Paramètres!$A$1:$I$89,5,0)</f>
        <v>271.25279999999987</v>
      </c>
      <c r="AK138" s="14">
        <f t="shared" si="143"/>
        <v>65.115073390838859</v>
      </c>
      <c r="AL138" s="22">
        <f t="shared" si="112"/>
        <v>585.84071282237744</v>
      </c>
      <c r="AM138" s="62">
        <f t="shared" si="113"/>
        <v>874.43421283099883</v>
      </c>
      <c r="AN138" s="62">
        <f ca="1">AVERAGE(OFFSET($AM$3,0,0,'Données projet'!$E$10+1,1))-AVERAGE(OFFSET($H$3,0,0,'Données projet'!$E$10+1,1))</f>
        <v>518.18933270904506</v>
      </c>
      <c r="AO138" s="62">
        <f t="shared" si="144"/>
        <v>272.44431899810411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68.707318184169466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-9.7543306765146564E-14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464.73160475167867</v>
      </c>
      <c r="BJ138" s="62">
        <f t="shared" si="146"/>
        <v>241.31968359962227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68.707318184169466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2.2737367544323206E-13</v>
      </c>
      <c r="BZ138" s="14">
        <f>BY138*VLOOKUP('Données projet'!$B$12,Paramètres!$A$1:$I$89,3,0)*VLOOKUP('Données projet'!$B$12,Paramètres!$A$1:$I$89,5,0)</f>
        <v>1.4897523215040565E-13</v>
      </c>
      <c r="CA138" s="14">
        <f t="shared" si="147"/>
        <v>2.136562777003313E-12</v>
      </c>
      <c r="CB138" s="22">
        <f t="shared" si="118"/>
        <v>3.9806453659427267E-12</v>
      </c>
      <c r="CC138" s="62">
        <f t="shared" si="119"/>
        <v>288.59350000862537</v>
      </c>
      <c r="CD138" s="62">
        <f ca="1">AVERAGE(OFFSET($CC$3,0,0,'Données projet'!$E$12+1,1))-AVERAGE(OFFSET($H$3,0,0,'Données projet'!$E$12+1,1))</f>
        <v>292.13851489852607</v>
      </c>
      <c r="CE138" s="62">
        <f t="shared" si="148"/>
        <v>280.10866188737418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68.707318184169466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-1.1368683772161603E-13</v>
      </c>
      <c r="CU138" s="18">
        <f>CT138*VLOOKUP('Données projet'!$B$13,Paramètres!$A$1:$I$89,3,0)*VLOOKUP('Données projet'!$B$13,Paramètres!$A$1:$I$89,5,0)</f>
        <v>-9.2222762759774927E-14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265.25572936607409</v>
      </c>
      <c r="CZ138" s="62">
        <f t="shared" si="150"/>
        <v>307.96244316129071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68.707318184169466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5.6843418860808015E-14</v>
      </c>
      <c r="DP138" s="18">
        <f>DO138*VLOOKUP('Données projet'!$B$14,Paramètres!$A$1:$I$89,3,0)*VLOOKUP('Données projet'!$B$14,Paramètres!$A$1:$I$89,5,0)</f>
        <v>5.4092197387944907E-14</v>
      </c>
      <c r="DQ138" s="14">
        <f t="shared" si="151"/>
        <v>8.7287050538073676E-13</v>
      </c>
      <c r="DR138" s="22">
        <f t="shared" si="124"/>
        <v>1.6144600406554537E-12</v>
      </c>
      <c r="DS138" s="62">
        <f t="shared" si="125"/>
        <v>288.59350000862298</v>
      </c>
      <c r="DT138" s="62">
        <f ca="1">AVERAGE(OFFSET($DS$3,0,0,'Données projet'!$E$14+1,1))-AVERAGE(OFFSET($H$3,0,0,'Données projet'!$E$14+1,1))</f>
        <v>425.41154182732936</v>
      </c>
      <c r="DU138" s="62">
        <f t="shared" si="152"/>
        <v>306.44721925744591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68.707318184169466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-5.6843418860808015E-14</v>
      </c>
      <c r="EK138" s="18">
        <f>EJ138*VLOOKUP('Données projet'!$B$15,Paramètres!$A$1:$I$89,3,0)*VLOOKUP('Données projet'!$B$15,Paramètres!$A$1:$I$89,5,0)</f>
        <v>-4.1677594708744434E-14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357.57626046668958</v>
      </c>
      <c r="EP138" s="62">
        <f t="shared" si="154"/>
        <v>386.90439522046199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68.707318184169466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1.1368683772161603E-13</v>
      </c>
      <c r="FF138" s="18">
        <f>FE138*VLOOKUP('Données projet'!$B$16,Paramètres!$A$1:$I$89,3,0)*VLOOKUP('Données projet'!$B$16,Paramètres!$A$1:$I$89,5,0)</f>
        <v>8.8675733422860506E-14</v>
      </c>
      <c r="FG138" s="14">
        <f t="shared" si="155"/>
        <v>1.3509285393066301E-12</v>
      </c>
      <c r="FH138" s="22">
        <f t="shared" si="130"/>
        <v>2.5073107750038623E-12</v>
      </c>
      <c r="FI138" s="62">
        <f t="shared" si="131"/>
        <v>288.59350000862389</v>
      </c>
      <c r="FJ138" s="62">
        <f ca="1">AVERAGE(OFFSET($FI$3,0,0,'Données projet'!$E$16+1,1))-AVERAGE(OFFSET($H$3,0,0,'Données projet'!$E$16+1,1))</f>
        <v>303.56663121833833</v>
      </c>
      <c r="FK138" s="62">
        <f t="shared" si="156"/>
        <v>293.97736357938038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68.707318184169466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-5.6843418860808015E-14</v>
      </c>
      <c r="GA138" s="18">
        <f>FZ138*VLOOKUP('Données projet'!$B$17,Paramètres!$A$1:$I$89,3,0)*VLOOKUP('Données projet'!$B$17,Paramètres!$A$1:$I$89,5,0)</f>
        <v>-4.5224624045658861E-14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383.71724511025587</v>
      </c>
      <c r="GF138" s="62">
        <f t="shared" si="158"/>
        <v>415.10774719533185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68.707318184169466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1.7053025658242404E-13</v>
      </c>
      <c r="GV138" s="18">
        <f>GU138*VLOOKUP('Données projet'!$B$18,Paramètres!$A$1:$I$89,3,0)*VLOOKUP('Données projet'!$B$18,Paramètres!$A$1:$I$89,5,0)</f>
        <v>1.1439169611549005E-13</v>
      </c>
      <c r="GW138" s="14">
        <f t="shared" si="159"/>
        <v>1.6918016515029816E-12</v>
      </c>
      <c r="GX138" s="22">
        <f t="shared" si="136"/>
        <v>3.1457867471021712E-12</v>
      </c>
      <c r="GY138" s="62">
        <f t="shared" si="137"/>
        <v>288.59350000862452</v>
      </c>
      <c r="GZ138" s="62">
        <f ca="1">AVERAGE(OFFSET($GY$3,0,0,'Données projet'!$E$18+1,1))-AVERAGE(OFFSET($H$3,0,0,'Données projet'!$E$18+1,1))</f>
        <v>329.93956600482801</v>
      </c>
      <c r="HA138" s="62">
        <f t="shared" si="160"/>
        <v>268.69186630599165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2.7450000000000001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10.065</v>
      </c>
      <c r="H139" s="70">
        <f t="shared" si="110"/>
        <v>216.40666666666667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68.729743323670533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3.8</v>
      </c>
      <c r="N139" s="14">
        <f>IF('Données projet'!$A$36&gt;35,N138+M139-V138,IF(A139&lt;'Données projet'!$A$36,$K$205^A139,IF(A139='Données projet'!$A$36,'Données projet'!$B$36,N138+M139-V138)))</f>
        <v>325.79999999999984</v>
      </c>
      <c r="O139" s="14">
        <f>N139*VLOOKUP('Données projet'!$B$9,Paramètres!$A$1:$I$89,3,0)*VLOOKUP('Données projet'!$B$9,Paramètres!$A$1:$I$89,5,0)</f>
        <v>294.78383999999983</v>
      </c>
      <c r="P139" s="14">
        <f t="shared" si="141"/>
        <v>70.081842199807596</v>
      </c>
      <c r="Q139" s="22">
        <f t="shared" si="108"/>
        <v>635.47439649799799</v>
      </c>
      <c r="R139" s="62">
        <f t="shared" si="109"/>
        <v>924.15012201812328</v>
      </c>
      <c r="S139" s="62">
        <f ca="1">AVERAGE(OFFSET($R$3,0,0,'Données projet'!$E$9+1,1))-AVERAGE(OFFSET($H$3,0,0,'Données projet'!$E$9+1,1))</f>
        <v>551.67307965706379</v>
      </c>
      <c r="T139" s="62">
        <f t="shared" si="142"/>
        <v>288.70738860523943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68.729743323670533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3.8</v>
      </c>
      <c r="AI139" s="14">
        <f>IF('Données projet'!$A$62&gt;35,AI138+AH139-AQ138,IF(A139&lt;'Données projet'!$A$62,$AF$205^A139,IF(A139='Données projet'!$A$62,'Données projet'!$B$62,AI138+AH139-AQ138)))</f>
        <v>325.79999999999984</v>
      </c>
      <c r="AJ139" s="14">
        <f>AI139*VLOOKUP('Données projet'!$B$10,Paramètres!$A$1:$I$89,3,0)*VLOOKUP('Données projet'!$B$10,Paramètres!$A$1:$I$89,5,0)</f>
        <v>274.45391999999993</v>
      </c>
      <c r="AK139" s="14">
        <f t="shared" si="143"/>
        <v>65.793601555534096</v>
      </c>
      <c r="AL139" s="22">
        <f t="shared" si="112"/>
        <v>592.59776670922179</v>
      </c>
      <c r="AM139" s="62">
        <f t="shared" si="113"/>
        <v>881.27349222934708</v>
      </c>
      <c r="AN139" s="62">
        <f ca="1">AVERAGE(OFFSET($AM$3,0,0,'Données projet'!$E$10+1,1))-AVERAGE(OFFSET($H$3,0,0,'Données projet'!$E$10+1,1))</f>
        <v>518.18933270904506</v>
      </c>
      <c r="AO139" s="62">
        <f t="shared" si="144"/>
        <v>272.44431899810411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68.729743323670533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-9.7543306765146564E-14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464.73160475167867</v>
      </c>
      <c r="BJ139" s="62">
        <f t="shared" si="146"/>
        <v>241.31968359962227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68.729743323670533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2.2737367544323206E-13</v>
      </c>
      <c r="BZ139" s="14">
        <f>BY139*VLOOKUP('Données projet'!$B$12,Paramètres!$A$1:$I$89,3,0)*VLOOKUP('Données projet'!$B$12,Paramètres!$A$1:$I$89,5,0)</f>
        <v>1.4897523215040565E-13</v>
      </c>
      <c r="CA139" s="14">
        <f t="shared" si="147"/>
        <v>2.136562777003313E-12</v>
      </c>
      <c r="CB139" s="22">
        <f t="shared" si="118"/>
        <v>3.9806453659427267E-12</v>
      </c>
      <c r="CC139" s="62">
        <f t="shared" si="119"/>
        <v>288.67572552012928</v>
      </c>
      <c r="CD139" s="62">
        <f ca="1">AVERAGE(OFFSET($CC$3,0,0,'Données projet'!$E$12+1,1))-AVERAGE(OFFSET($H$3,0,0,'Données projet'!$E$12+1,1))</f>
        <v>292.13851489852607</v>
      </c>
      <c r="CE139" s="62">
        <f t="shared" si="148"/>
        <v>280.10866188737418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68.729743323670533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-1.1368683772161603E-13</v>
      </c>
      <c r="CU139" s="18">
        <f>CT139*VLOOKUP('Données projet'!$B$13,Paramètres!$A$1:$I$89,3,0)*VLOOKUP('Données projet'!$B$13,Paramètres!$A$1:$I$89,5,0)</f>
        <v>-9.2222762759774927E-14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265.25572936607409</v>
      </c>
      <c r="CZ139" s="62">
        <f t="shared" si="150"/>
        <v>307.96244316129071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68.729743323670533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5.6843418860808015E-14</v>
      </c>
      <c r="DP139" s="18">
        <f>DO139*VLOOKUP('Données projet'!$B$14,Paramètres!$A$1:$I$89,3,0)*VLOOKUP('Données projet'!$B$14,Paramètres!$A$1:$I$89,5,0)</f>
        <v>5.4092197387944907E-14</v>
      </c>
      <c r="DQ139" s="14">
        <f t="shared" si="151"/>
        <v>8.7287050538073676E-13</v>
      </c>
      <c r="DR139" s="22">
        <f t="shared" si="124"/>
        <v>1.6144600406554537E-12</v>
      </c>
      <c r="DS139" s="62">
        <f t="shared" si="125"/>
        <v>288.67572552012689</v>
      </c>
      <c r="DT139" s="62">
        <f ca="1">AVERAGE(OFFSET($DS$3,0,0,'Données projet'!$E$14+1,1))-AVERAGE(OFFSET($H$3,0,0,'Données projet'!$E$14+1,1))</f>
        <v>425.41154182732936</v>
      </c>
      <c r="DU139" s="62">
        <f t="shared" si="152"/>
        <v>306.44721925744591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68.729743323670533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-5.6843418860808015E-14</v>
      </c>
      <c r="EK139" s="18">
        <f>EJ139*VLOOKUP('Données projet'!$B$15,Paramètres!$A$1:$I$89,3,0)*VLOOKUP('Données projet'!$B$15,Paramètres!$A$1:$I$89,5,0)</f>
        <v>-4.1677594708744434E-14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357.57626046668958</v>
      </c>
      <c r="EP139" s="62">
        <f t="shared" si="154"/>
        <v>386.90439522046199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68.729743323670533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1.1368683772161603E-13</v>
      </c>
      <c r="FF139" s="18">
        <f>FE139*VLOOKUP('Données projet'!$B$16,Paramètres!$A$1:$I$89,3,0)*VLOOKUP('Données projet'!$B$16,Paramètres!$A$1:$I$89,5,0)</f>
        <v>8.8675733422860506E-14</v>
      </c>
      <c r="FG139" s="14">
        <f t="shared" si="155"/>
        <v>1.3509285393066301E-12</v>
      </c>
      <c r="FH139" s="22">
        <f t="shared" si="130"/>
        <v>2.5073107750038623E-12</v>
      </c>
      <c r="FI139" s="62">
        <f t="shared" si="131"/>
        <v>288.6757255201278</v>
      </c>
      <c r="FJ139" s="62">
        <f ca="1">AVERAGE(OFFSET($FI$3,0,0,'Données projet'!$E$16+1,1))-AVERAGE(OFFSET($H$3,0,0,'Données projet'!$E$16+1,1))</f>
        <v>303.56663121833833</v>
      </c>
      <c r="FK139" s="62">
        <f t="shared" si="156"/>
        <v>293.97736357938038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68.729743323670533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-5.6843418860808015E-14</v>
      </c>
      <c r="GA139" s="18">
        <f>FZ139*VLOOKUP('Données projet'!$B$17,Paramètres!$A$1:$I$89,3,0)*VLOOKUP('Données projet'!$B$17,Paramètres!$A$1:$I$89,5,0)</f>
        <v>-4.5224624045658861E-14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383.71724511025587</v>
      </c>
      <c r="GF139" s="62">
        <f t="shared" si="158"/>
        <v>415.10774719533185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68.729743323670533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1.7053025658242404E-13</v>
      </c>
      <c r="GV139" s="18">
        <f>GU139*VLOOKUP('Données projet'!$B$18,Paramètres!$A$1:$I$89,3,0)*VLOOKUP('Données projet'!$B$18,Paramètres!$A$1:$I$89,5,0)</f>
        <v>1.1439169611549005E-13</v>
      </c>
      <c r="GW139" s="14">
        <f t="shared" si="159"/>
        <v>1.6918016515029816E-12</v>
      </c>
      <c r="GX139" s="22">
        <f t="shared" si="136"/>
        <v>3.1457867471021712E-12</v>
      </c>
      <c r="GY139" s="62">
        <f t="shared" si="137"/>
        <v>288.67572552012842</v>
      </c>
      <c r="GZ139" s="62">
        <f ca="1">AVERAGE(OFFSET($GY$3,0,0,'Données projet'!$E$18+1,1))-AVERAGE(OFFSET($H$3,0,0,'Données projet'!$E$18+1,1))</f>
        <v>329.93956600482801</v>
      </c>
      <c r="HA139" s="62">
        <f t="shared" si="160"/>
        <v>268.69186630599165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2.7450000000000001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10.065</v>
      </c>
      <c r="H140" s="70">
        <f t="shared" si="110"/>
        <v>216.40666666666667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68.751779437136378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3.8</v>
      </c>
      <c r="N140" s="14">
        <f>IF('Données projet'!$A$36&gt;35,N139+M140-V139,IF(A140&lt;'Données projet'!$A$36,$K$205^A140,IF(A140='Données projet'!$A$36,'Données projet'!$B$36,N139+M140-V139)))</f>
        <v>329.59999999999985</v>
      </c>
      <c r="O140" s="14">
        <f>N140*VLOOKUP('Données projet'!$B$9,Paramètres!$A$1:$I$89,3,0)*VLOOKUP('Données projet'!$B$9,Paramètres!$A$1:$I$89,5,0)</f>
        <v>298.22207999999983</v>
      </c>
      <c r="P140" s="14">
        <f t="shared" si="141"/>
        <v>70.803614311231783</v>
      </c>
      <c r="Q140" s="22">
        <f t="shared" si="108"/>
        <v>642.71975092539503</v>
      </c>
      <c r="R140" s="62">
        <f t="shared" si="109"/>
        <v>931.47627552822837</v>
      </c>
      <c r="S140" s="62">
        <f ca="1">AVERAGE(OFFSET($R$3,0,0,'Données projet'!$E$9+1,1))-AVERAGE(OFFSET($H$3,0,0,'Données projet'!$E$9+1,1))</f>
        <v>551.67307965706379</v>
      </c>
      <c r="T140" s="62">
        <f t="shared" si="142"/>
        <v>288.70738860523943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68.751779437136378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3.8</v>
      </c>
      <c r="AI140" s="14">
        <f>IF('Données projet'!$A$62&gt;35,AI139+AH140-AQ139,IF(A140&lt;'Données projet'!$A$62,$AF$205^A140,IF(A140='Données projet'!$A$62,'Données projet'!$B$62,AI139+AH140-AQ139)))</f>
        <v>329.59999999999985</v>
      </c>
      <c r="AJ140" s="14">
        <f>AI140*VLOOKUP('Données projet'!$B$10,Paramètres!$A$1:$I$89,3,0)*VLOOKUP('Données projet'!$B$10,Paramètres!$A$1:$I$89,5,0)</f>
        <v>277.65503999999987</v>
      </c>
      <c r="AK140" s="14">
        <f t="shared" si="143"/>
        <v>66.47120912437552</v>
      </c>
      <c r="AL140" s="22">
        <f t="shared" si="112"/>
        <v>599.35321722495371</v>
      </c>
      <c r="AM140" s="62">
        <f t="shared" si="113"/>
        <v>888.10974182778705</v>
      </c>
      <c r="AN140" s="62">
        <f ca="1">AVERAGE(OFFSET($AM$3,0,0,'Données projet'!$E$10+1,1))-AVERAGE(OFFSET($H$3,0,0,'Données projet'!$E$10+1,1))</f>
        <v>518.18933270904506</v>
      </c>
      <c r="AO140" s="62">
        <f t="shared" si="144"/>
        <v>272.44431899810411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68.751779437136378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-9.7543306765146564E-14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464.73160475167867</v>
      </c>
      <c r="BJ140" s="62">
        <f t="shared" si="146"/>
        <v>241.31968359962227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68.751779437136378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2.2737367544323206E-13</v>
      </c>
      <c r="BZ140" s="14">
        <f>BY140*VLOOKUP('Données projet'!$B$12,Paramètres!$A$1:$I$89,3,0)*VLOOKUP('Données projet'!$B$12,Paramètres!$A$1:$I$89,5,0)</f>
        <v>1.4897523215040565E-13</v>
      </c>
      <c r="CA140" s="14">
        <f t="shared" si="147"/>
        <v>2.136562777003313E-12</v>
      </c>
      <c r="CB140" s="22">
        <f t="shared" si="118"/>
        <v>3.9806453659427267E-12</v>
      </c>
      <c r="CC140" s="62">
        <f t="shared" si="119"/>
        <v>288.75652460283737</v>
      </c>
      <c r="CD140" s="62">
        <f ca="1">AVERAGE(OFFSET($CC$3,0,0,'Données projet'!$E$12+1,1))-AVERAGE(OFFSET($H$3,0,0,'Données projet'!$E$12+1,1))</f>
        <v>292.13851489852607</v>
      </c>
      <c r="CE140" s="62">
        <f t="shared" si="148"/>
        <v>280.10866188737418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68.751779437136378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-1.1368683772161603E-13</v>
      </c>
      <c r="CU140" s="18">
        <f>CT140*VLOOKUP('Données projet'!$B$13,Paramètres!$A$1:$I$89,3,0)*VLOOKUP('Données projet'!$B$13,Paramètres!$A$1:$I$89,5,0)</f>
        <v>-9.2222762759774927E-14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265.25572936607409</v>
      </c>
      <c r="CZ140" s="62">
        <f t="shared" si="150"/>
        <v>307.96244316129071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68.751779437136378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5.6843418860808015E-14</v>
      </c>
      <c r="DP140" s="18">
        <f>DO140*VLOOKUP('Données projet'!$B$14,Paramètres!$A$1:$I$89,3,0)*VLOOKUP('Données projet'!$B$14,Paramètres!$A$1:$I$89,5,0)</f>
        <v>5.4092197387944907E-14</v>
      </c>
      <c r="DQ140" s="14">
        <f t="shared" si="151"/>
        <v>8.7287050538073676E-13</v>
      </c>
      <c r="DR140" s="22">
        <f t="shared" si="124"/>
        <v>1.6144600406554537E-12</v>
      </c>
      <c r="DS140" s="62">
        <f t="shared" si="125"/>
        <v>288.75652460283499</v>
      </c>
      <c r="DT140" s="62">
        <f ca="1">AVERAGE(OFFSET($DS$3,0,0,'Données projet'!$E$14+1,1))-AVERAGE(OFFSET($H$3,0,0,'Données projet'!$E$14+1,1))</f>
        <v>425.41154182732936</v>
      </c>
      <c r="DU140" s="62">
        <f t="shared" si="152"/>
        <v>306.44721925744591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68.751779437136378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-5.6843418860808015E-14</v>
      </c>
      <c r="EK140" s="18">
        <f>EJ140*VLOOKUP('Données projet'!$B$15,Paramètres!$A$1:$I$89,3,0)*VLOOKUP('Données projet'!$B$15,Paramètres!$A$1:$I$89,5,0)</f>
        <v>-4.1677594708744434E-14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357.57626046668958</v>
      </c>
      <c r="EP140" s="62">
        <f t="shared" si="154"/>
        <v>386.90439522046199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68.751779437136378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1.1368683772161603E-13</v>
      </c>
      <c r="FF140" s="18">
        <f>FE140*VLOOKUP('Données projet'!$B$16,Paramètres!$A$1:$I$89,3,0)*VLOOKUP('Données projet'!$B$16,Paramètres!$A$1:$I$89,5,0)</f>
        <v>8.8675733422860506E-14</v>
      </c>
      <c r="FG140" s="14">
        <f t="shared" si="155"/>
        <v>1.3509285393066301E-12</v>
      </c>
      <c r="FH140" s="22">
        <f t="shared" si="130"/>
        <v>2.5073107750038623E-12</v>
      </c>
      <c r="FI140" s="62">
        <f t="shared" si="131"/>
        <v>288.7565246028359</v>
      </c>
      <c r="FJ140" s="62">
        <f ca="1">AVERAGE(OFFSET($FI$3,0,0,'Données projet'!$E$16+1,1))-AVERAGE(OFFSET($H$3,0,0,'Données projet'!$E$16+1,1))</f>
        <v>303.56663121833833</v>
      </c>
      <c r="FK140" s="62">
        <f t="shared" si="156"/>
        <v>293.97736357938038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68.751779437136378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-5.6843418860808015E-14</v>
      </c>
      <c r="GA140" s="18">
        <f>FZ140*VLOOKUP('Données projet'!$B$17,Paramètres!$A$1:$I$89,3,0)*VLOOKUP('Données projet'!$B$17,Paramètres!$A$1:$I$89,5,0)</f>
        <v>-4.5224624045658861E-14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383.71724511025587</v>
      </c>
      <c r="GF140" s="62">
        <f t="shared" si="158"/>
        <v>415.10774719533185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68.751779437136378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1.7053025658242404E-13</v>
      </c>
      <c r="GV140" s="18">
        <f>GU140*VLOOKUP('Données projet'!$B$18,Paramètres!$A$1:$I$89,3,0)*VLOOKUP('Données projet'!$B$18,Paramètres!$A$1:$I$89,5,0)</f>
        <v>1.1439169611549005E-13</v>
      </c>
      <c r="GW140" s="14">
        <f t="shared" si="159"/>
        <v>1.6918016515029816E-12</v>
      </c>
      <c r="GX140" s="22">
        <f t="shared" si="136"/>
        <v>3.1457867471021712E-12</v>
      </c>
      <c r="GY140" s="62">
        <f t="shared" si="137"/>
        <v>288.75652460283652</v>
      </c>
      <c r="GZ140" s="62">
        <f ca="1">AVERAGE(OFFSET($GY$3,0,0,'Données projet'!$E$18+1,1))-AVERAGE(OFFSET($H$3,0,0,'Données projet'!$E$18+1,1))</f>
        <v>329.93956600482801</v>
      </c>
      <c r="HA140" s="62">
        <f t="shared" si="160"/>
        <v>268.69186630599165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2.7450000000000001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10.065</v>
      </c>
      <c r="H141" s="70">
        <f t="shared" si="110"/>
        <v>216.40666666666667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68.773433273298934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3.8</v>
      </c>
      <c r="N141" s="14">
        <f>IF('Données projet'!$A$36&gt;35,N140+M141-V140,IF(A141&lt;'Données projet'!$A$36,$K$205^A141,IF(A141='Données projet'!$A$36,'Données projet'!$B$36,N140+M141-V140)))</f>
        <v>333.39999999999986</v>
      </c>
      <c r="O141" s="14">
        <f>N141*VLOOKUP('Données projet'!$B$9,Paramètres!$A$1:$I$89,3,0)*VLOOKUP('Données projet'!$B$9,Paramètres!$A$1:$I$89,5,0)</f>
        <v>301.66031999999984</v>
      </c>
      <c r="P141" s="14">
        <f t="shared" si="141"/>
        <v>71.524418438455001</v>
      </c>
      <c r="Q141" s="22">
        <f t="shared" si="108"/>
        <v>649.96341944697554</v>
      </c>
      <c r="R141" s="62">
        <f t="shared" si="109"/>
        <v>938.79934144907156</v>
      </c>
      <c r="S141" s="62">
        <f ca="1">AVERAGE(OFFSET($R$3,0,0,'Données projet'!$E$9+1,1))-AVERAGE(OFFSET($H$3,0,0,'Données projet'!$E$9+1,1))</f>
        <v>551.67307965706379</v>
      </c>
      <c r="T141" s="62">
        <f t="shared" si="142"/>
        <v>288.70738860523943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68.773433273298934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3.8</v>
      </c>
      <c r="AI141" s="14">
        <f>IF('Données projet'!$A$62&gt;35,AI140+AH141-AQ140,IF(A141&lt;'Données projet'!$A$62,$AF$205^A141,IF(A141='Données projet'!$A$62,'Données projet'!$B$62,AI140+AH141-AQ140)))</f>
        <v>333.39999999999986</v>
      </c>
      <c r="AJ141" s="14">
        <f>AI141*VLOOKUP('Données projet'!$B$10,Paramètres!$A$1:$I$89,3,0)*VLOOKUP('Données projet'!$B$10,Paramètres!$A$1:$I$89,5,0)</f>
        <v>280.85615999999993</v>
      </c>
      <c r="AK141" s="14">
        <f t="shared" si="143"/>
        <v>67.147907939039882</v>
      </c>
      <c r="AL141" s="22">
        <f t="shared" si="112"/>
        <v>606.1070849938277</v>
      </c>
      <c r="AM141" s="62">
        <f t="shared" si="113"/>
        <v>894.94300699592372</v>
      </c>
      <c r="AN141" s="62">
        <f ca="1">AVERAGE(OFFSET($AM$3,0,0,'Données projet'!$E$10+1,1))-AVERAGE(OFFSET($H$3,0,0,'Données projet'!$E$10+1,1))</f>
        <v>518.18933270904506</v>
      </c>
      <c r="AO141" s="62">
        <f t="shared" si="144"/>
        <v>272.44431899810411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68.773433273298934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-9.7543306765146564E-14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464.73160475167867</v>
      </c>
      <c r="BJ141" s="62">
        <f t="shared" si="146"/>
        <v>241.31968359962227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68.773433273298934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2.2737367544323206E-13</v>
      </c>
      <c r="BZ141" s="14">
        <f>BY141*VLOOKUP('Données projet'!$B$12,Paramètres!$A$1:$I$89,3,0)*VLOOKUP('Données projet'!$B$12,Paramètres!$A$1:$I$89,5,0)</f>
        <v>1.4897523215040565E-13</v>
      </c>
      <c r="CA141" s="14">
        <f t="shared" si="147"/>
        <v>2.136562777003313E-12</v>
      </c>
      <c r="CB141" s="22">
        <f t="shared" si="118"/>
        <v>3.9806453659427267E-12</v>
      </c>
      <c r="CC141" s="62">
        <f t="shared" si="119"/>
        <v>288.83592200210006</v>
      </c>
      <c r="CD141" s="62">
        <f ca="1">AVERAGE(OFFSET($CC$3,0,0,'Données projet'!$E$12+1,1))-AVERAGE(OFFSET($H$3,0,0,'Données projet'!$E$12+1,1))</f>
        <v>292.13851489852607</v>
      </c>
      <c r="CE141" s="62">
        <f t="shared" si="148"/>
        <v>280.10866188737418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68.773433273298934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-1.1368683772161603E-13</v>
      </c>
      <c r="CU141" s="18">
        <f>CT141*VLOOKUP('Données projet'!$B$13,Paramètres!$A$1:$I$89,3,0)*VLOOKUP('Données projet'!$B$13,Paramètres!$A$1:$I$89,5,0)</f>
        <v>-9.2222762759774927E-14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265.25572936607409</v>
      </c>
      <c r="CZ141" s="62">
        <f t="shared" si="150"/>
        <v>307.96244316129071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68.773433273298934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5.6843418860808015E-14</v>
      </c>
      <c r="DP141" s="18">
        <f>DO141*VLOOKUP('Données projet'!$B$14,Paramètres!$A$1:$I$89,3,0)*VLOOKUP('Données projet'!$B$14,Paramètres!$A$1:$I$89,5,0)</f>
        <v>5.4092197387944907E-14</v>
      </c>
      <c r="DQ141" s="14">
        <f t="shared" si="151"/>
        <v>8.7287050538073676E-13</v>
      </c>
      <c r="DR141" s="22">
        <f t="shared" si="124"/>
        <v>1.6144600406554537E-12</v>
      </c>
      <c r="DS141" s="62">
        <f t="shared" si="125"/>
        <v>288.83592200209767</v>
      </c>
      <c r="DT141" s="62">
        <f ca="1">AVERAGE(OFFSET($DS$3,0,0,'Données projet'!$E$14+1,1))-AVERAGE(OFFSET($H$3,0,0,'Données projet'!$E$14+1,1))</f>
        <v>425.41154182732936</v>
      </c>
      <c r="DU141" s="62">
        <f t="shared" si="152"/>
        <v>306.44721925744591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68.773433273298934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-5.6843418860808015E-14</v>
      </c>
      <c r="EK141" s="18">
        <f>EJ141*VLOOKUP('Données projet'!$B$15,Paramètres!$A$1:$I$89,3,0)*VLOOKUP('Données projet'!$B$15,Paramètres!$A$1:$I$89,5,0)</f>
        <v>-4.1677594708744434E-14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357.57626046668958</v>
      </c>
      <c r="EP141" s="62">
        <f t="shared" si="154"/>
        <v>386.90439522046199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68.773433273298934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1.1368683772161603E-13</v>
      </c>
      <c r="FF141" s="18">
        <f>FE141*VLOOKUP('Données projet'!$B$16,Paramètres!$A$1:$I$89,3,0)*VLOOKUP('Données projet'!$B$16,Paramètres!$A$1:$I$89,5,0)</f>
        <v>8.8675733422860506E-14</v>
      </c>
      <c r="FG141" s="14">
        <f t="shared" si="155"/>
        <v>1.3509285393066301E-12</v>
      </c>
      <c r="FH141" s="22">
        <f t="shared" si="130"/>
        <v>2.5073107750038623E-12</v>
      </c>
      <c r="FI141" s="62">
        <f t="shared" si="131"/>
        <v>288.83592200209858</v>
      </c>
      <c r="FJ141" s="62">
        <f ca="1">AVERAGE(OFFSET($FI$3,0,0,'Données projet'!$E$16+1,1))-AVERAGE(OFFSET($H$3,0,0,'Données projet'!$E$16+1,1))</f>
        <v>303.56663121833833</v>
      </c>
      <c r="FK141" s="62">
        <f t="shared" si="156"/>
        <v>293.97736357938038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68.773433273298934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-5.6843418860808015E-14</v>
      </c>
      <c r="GA141" s="18">
        <f>FZ141*VLOOKUP('Données projet'!$B$17,Paramètres!$A$1:$I$89,3,0)*VLOOKUP('Données projet'!$B$17,Paramètres!$A$1:$I$89,5,0)</f>
        <v>-4.5224624045658861E-14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383.71724511025587</v>
      </c>
      <c r="GF141" s="62">
        <f t="shared" si="158"/>
        <v>415.10774719533185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68.773433273298934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1.7053025658242404E-13</v>
      </c>
      <c r="GV141" s="18">
        <f>GU141*VLOOKUP('Données projet'!$B$18,Paramètres!$A$1:$I$89,3,0)*VLOOKUP('Données projet'!$B$18,Paramètres!$A$1:$I$89,5,0)</f>
        <v>1.1439169611549005E-13</v>
      </c>
      <c r="GW141" s="14">
        <f t="shared" si="159"/>
        <v>1.6918016515029816E-12</v>
      </c>
      <c r="GX141" s="22">
        <f t="shared" si="136"/>
        <v>3.1457867471021712E-12</v>
      </c>
      <c r="GY141" s="62">
        <f t="shared" si="137"/>
        <v>288.83592200209921</v>
      </c>
      <c r="GZ141" s="62">
        <f ca="1">AVERAGE(OFFSET($GY$3,0,0,'Données projet'!$E$18+1,1))-AVERAGE(OFFSET($H$3,0,0,'Données projet'!$E$18+1,1))</f>
        <v>329.93956600482801</v>
      </c>
      <c r="HA141" s="62">
        <f t="shared" si="160"/>
        <v>268.69186630599165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2.7450000000000001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10.065</v>
      </c>
      <c r="H142" s="70">
        <f t="shared" si="110"/>
        <v>216.40666666666667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68.794711463814821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3.8</v>
      </c>
      <c r="N142" s="14">
        <f>IF('Données projet'!$A$36&gt;35,N141+M142-V141,IF(A142&lt;'Données projet'!$A$36,$K$205^A142,IF(A142='Données projet'!$A$36,'Données projet'!$B$36,N141+M142-V141)))</f>
        <v>337.19999999999987</v>
      </c>
      <c r="O142" s="14">
        <f>N142*VLOOKUP('Données projet'!$B$9,Paramètres!$A$1:$I$89,3,0)*VLOOKUP('Données projet'!$B$9,Paramètres!$A$1:$I$89,5,0)</f>
        <v>305.09855999999985</v>
      </c>
      <c r="P142" s="14">
        <f t="shared" si="141"/>
        <v>72.244266890878791</v>
      </c>
      <c r="Q142" s="22">
        <f t="shared" si="108"/>
        <v>657.20542350161361</v>
      </c>
      <c r="R142" s="62">
        <f t="shared" si="109"/>
        <v>946.11936553560122</v>
      </c>
      <c r="S142" s="62">
        <f ca="1">AVERAGE(OFFSET($R$3,0,0,'Données projet'!$E$9+1,1))-AVERAGE(OFFSET($H$3,0,0,'Données projet'!$E$9+1,1))</f>
        <v>551.67307965706379</v>
      </c>
      <c r="T142" s="62">
        <f t="shared" si="142"/>
        <v>288.70738860523943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68.794711463814821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3.8</v>
      </c>
      <c r="AI142" s="14">
        <f>IF('Données projet'!$A$62&gt;35,AI141+AH142-AQ141,IF(A142&lt;'Données projet'!$A$62,$AF$205^A142,IF(A142='Données projet'!$A$62,'Données projet'!$B$62,AI141+AH142-AQ141)))</f>
        <v>337.19999999999987</v>
      </c>
      <c r="AJ142" s="14">
        <f>AI142*VLOOKUP('Données projet'!$B$10,Paramètres!$A$1:$I$89,3,0)*VLOOKUP('Données projet'!$B$10,Paramètres!$A$1:$I$89,5,0)</f>
        <v>284.05727999999993</v>
      </c>
      <c r="AK142" s="14">
        <f t="shared" si="143"/>
        <v>67.823709555728442</v>
      </c>
      <c r="AL142" s="22">
        <f t="shared" si="112"/>
        <v>612.85939014289363</v>
      </c>
      <c r="AM142" s="62">
        <f t="shared" si="113"/>
        <v>901.77333217688124</v>
      </c>
      <c r="AN142" s="62">
        <f ca="1">AVERAGE(OFFSET($AM$3,0,0,'Données projet'!$E$10+1,1))-AVERAGE(OFFSET($H$3,0,0,'Données projet'!$E$10+1,1))</f>
        <v>518.18933270904506</v>
      </c>
      <c r="AO142" s="62">
        <f t="shared" si="144"/>
        <v>272.44431899810411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68.794711463814821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-9.7543306765146564E-14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464.73160475167867</v>
      </c>
      <c r="BJ142" s="62">
        <f t="shared" si="146"/>
        <v>241.31968359962227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68.794711463814821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2.2737367544323206E-13</v>
      </c>
      <c r="BZ142" s="14">
        <f>BY142*VLOOKUP('Données projet'!$B$12,Paramètres!$A$1:$I$89,3,0)*VLOOKUP('Données projet'!$B$12,Paramètres!$A$1:$I$89,5,0)</f>
        <v>1.4897523215040565E-13</v>
      </c>
      <c r="CA142" s="14">
        <f t="shared" si="147"/>
        <v>2.136562777003313E-12</v>
      </c>
      <c r="CB142" s="22">
        <f t="shared" si="118"/>
        <v>3.9806453659427267E-12</v>
      </c>
      <c r="CC142" s="62">
        <f t="shared" si="119"/>
        <v>288.91394203399165</v>
      </c>
      <c r="CD142" s="62">
        <f ca="1">AVERAGE(OFFSET($CC$3,0,0,'Données projet'!$E$12+1,1))-AVERAGE(OFFSET($H$3,0,0,'Données projet'!$E$12+1,1))</f>
        <v>292.13851489852607</v>
      </c>
      <c r="CE142" s="62">
        <f t="shared" si="148"/>
        <v>280.10866188737418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68.794711463814821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-1.1368683772161603E-13</v>
      </c>
      <c r="CU142" s="18">
        <f>CT142*VLOOKUP('Données projet'!$B$13,Paramètres!$A$1:$I$89,3,0)*VLOOKUP('Données projet'!$B$13,Paramètres!$A$1:$I$89,5,0)</f>
        <v>-9.2222762759774927E-14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265.25572936607409</v>
      </c>
      <c r="CZ142" s="62">
        <f t="shared" si="150"/>
        <v>307.96244316129071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68.794711463814821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5.6843418860808015E-14</v>
      </c>
      <c r="DP142" s="18">
        <f>DO142*VLOOKUP('Données projet'!$B$14,Paramètres!$A$1:$I$89,3,0)*VLOOKUP('Données projet'!$B$14,Paramètres!$A$1:$I$89,5,0)</f>
        <v>5.4092197387944907E-14</v>
      </c>
      <c r="DQ142" s="14">
        <f t="shared" si="151"/>
        <v>8.7287050538073676E-13</v>
      </c>
      <c r="DR142" s="22">
        <f t="shared" si="124"/>
        <v>1.6144600406554537E-12</v>
      </c>
      <c r="DS142" s="62">
        <f t="shared" si="125"/>
        <v>288.91394203398926</v>
      </c>
      <c r="DT142" s="62">
        <f ca="1">AVERAGE(OFFSET($DS$3,0,0,'Données projet'!$E$14+1,1))-AVERAGE(OFFSET($H$3,0,0,'Données projet'!$E$14+1,1))</f>
        <v>425.41154182732936</v>
      </c>
      <c r="DU142" s="62">
        <f t="shared" si="152"/>
        <v>306.44721925744591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68.794711463814821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-5.6843418860808015E-14</v>
      </c>
      <c r="EK142" s="18">
        <f>EJ142*VLOOKUP('Données projet'!$B$15,Paramètres!$A$1:$I$89,3,0)*VLOOKUP('Données projet'!$B$15,Paramètres!$A$1:$I$89,5,0)</f>
        <v>-4.1677594708744434E-14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357.57626046668958</v>
      </c>
      <c r="EP142" s="62">
        <f t="shared" si="154"/>
        <v>386.90439522046199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68.794711463814821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1.1368683772161603E-13</v>
      </c>
      <c r="FF142" s="18">
        <f>FE142*VLOOKUP('Données projet'!$B$16,Paramètres!$A$1:$I$89,3,0)*VLOOKUP('Données projet'!$B$16,Paramètres!$A$1:$I$89,5,0)</f>
        <v>8.8675733422860506E-14</v>
      </c>
      <c r="FG142" s="14">
        <f t="shared" si="155"/>
        <v>1.3509285393066301E-12</v>
      </c>
      <c r="FH142" s="22">
        <f t="shared" si="130"/>
        <v>2.5073107750038623E-12</v>
      </c>
      <c r="FI142" s="62">
        <f t="shared" si="131"/>
        <v>288.91394203399017</v>
      </c>
      <c r="FJ142" s="62">
        <f ca="1">AVERAGE(OFFSET($FI$3,0,0,'Données projet'!$E$16+1,1))-AVERAGE(OFFSET($H$3,0,0,'Données projet'!$E$16+1,1))</f>
        <v>303.56663121833833</v>
      </c>
      <c r="FK142" s="62">
        <f t="shared" si="156"/>
        <v>293.97736357938038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68.794711463814821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-5.6843418860808015E-14</v>
      </c>
      <c r="GA142" s="18">
        <f>FZ142*VLOOKUP('Données projet'!$B$17,Paramètres!$A$1:$I$89,3,0)*VLOOKUP('Données projet'!$B$17,Paramètres!$A$1:$I$89,5,0)</f>
        <v>-4.5224624045658861E-14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383.71724511025587</v>
      </c>
      <c r="GF142" s="62">
        <f t="shared" si="158"/>
        <v>415.10774719533185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68.794711463814821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1.7053025658242404E-13</v>
      </c>
      <c r="GV142" s="18">
        <f>GU142*VLOOKUP('Données projet'!$B$18,Paramètres!$A$1:$I$89,3,0)*VLOOKUP('Données projet'!$B$18,Paramètres!$A$1:$I$89,5,0)</f>
        <v>1.1439169611549005E-13</v>
      </c>
      <c r="GW142" s="14">
        <f t="shared" si="159"/>
        <v>1.6918016515029816E-12</v>
      </c>
      <c r="GX142" s="22">
        <f t="shared" si="136"/>
        <v>3.1457867471021712E-12</v>
      </c>
      <c r="GY142" s="62">
        <f t="shared" si="137"/>
        <v>288.91394203399079</v>
      </c>
      <c r="GZ142" s="62">
        <f ca="1">AVERAGE(OFFSET($GY$3,0,0,'Données projet'!$E$18+1,1))-AVERAGE(OFFSET($H$3,0,0,'Données projet'!$E$18+1,1))</f>
        <v>329.93956600482801</v>
      </c>
      <c r="HA142" s="62">
        <f t="shared" si="160"/>
        <v>268.69186630599165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2.7450000000000001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10.065</v>
      </c>
      <c r="H143" s="70">
        <f t="shared" si="110"/>
        <v>216.40666666666667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68.81562052529614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341</v>
      </c>
      <c r="L143" s="13">
        <f>VLOOKUP(A143,'Données projet'!$A$35:$I$55,9,0)</f>
        <v>3.8</v>
      </c>
      <c r="M143" s="13">
        <f t="array" ref="M143">INDEX(L:L,MIN(IF(ISNUMBER(L143:L339),ROW(L143:L339),"")))</f>
        <v>3.8</v>
      </c>
      <c r="N143" s="14">
        <f>IF('Données projet'!$A$36&gt;35,N142+M143-V142,IF(A143&lt;'Données projet'!$A$36,$K$205^A143,IF(A143='Données projet'!$A$36,'Données projet'!$B$36,N142+M143-V142)))</f>
        <v>340.99999999999989</v>
      </c>
      <c r="O143" s="14">
        <f>N143*VLOOKUP('Données projet'!$B$9,Paramètres!$A$1:$I$89,3,0)*VLOOKUP('Données projet'!$B$9,Paramètres!$A$1:$I$89,5,0)</f>
        <v>308.53679999999986</v>
      </c>
      <c r="P143" s="14">
        <f t="shared" si="141"/>
        <v>72.963171684496103</v>
      </c>
      <c r="Q143" s="22">
        <f t="shared" si="108"/>
        <v>664.44578401716376</v>
      </c>
      <c r="R143" s="62">
        <f t="shared" si="109"/>
        <v>953.43639260991631</v>
      </c>
      <c r="S143" s="62">
        <f ca="1">AVERAGE(OFFSET($R$3,0,0,'Données projet'!$E$9+1,1))-AVERAGE(OFFSET($H$3,0,0,'Données projet'!$E$9+1,1))</f>
        <v>551.67307965706379</v>
      </c>
      <c r="T143" s="62">
        <f t="shared" si="142"/>
        <v>288.70738860523943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68.81562052529614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341</v>
      </c>
      <c r="AG143" s="13">
        <f>VLOOKUP(A143,'Données projet'!$A$61:$I$81,9,0)</f>
        <v>3.8</v>
      </c>
      <c r="AH143" s="13">
        <f t="array" ref="AH143">INDEX(AG:AG,MIN(IF(ISNUMBER(AG143:AG339),ROW(AG143:AG339),"")))</f>
        <v>3.8</v>
      </c>
      <c r="AI143" s="14">
        <f>IF('Données projet'!$A$62&gt;35,AI142+AH143-AQ142,IF(A143&lt;'Données projet'!$A$62,$AF$205^A143,IF(A143='Données projet'!$A$62,'Données projet'!$B$62,AI142+AH143-AQ142)))</f>
        <v>340.99999999999989</v>
      </c>
      <c r="AJ143" s="14">
        <f>AI143*VLOOKUP('Données projet'!$B$10,Paramètres!$A$1:$I$89,3,0)*VLOOKUP('Données projet'!$B$10,Paramètres!$A$1:$I$89,5,0)</f>
        <v>287.25839999999994</v>
      </c>
      <c r="AK143" s="14">
        <f t="shared" si="143"/>
        <v>68.498625255186852</v>
      </c>
      <c r="AL143" s="22">
        <f t="shared" si="112"/>
        <v>619.61015231945032</v>
      </c>
      <c r="AM143" s="62">
        <f t="shared" si="113"/>
        <v>908.60076091220276</v>
      </c>
      <c r="AN143" s="62">
        <f ca="1">AVERAGE(OFFSET($AM$3,0,0,'Données projet'!$E$10+1,1))-AVERAGE(OFFSET($H$3,0,0,'Données projet'!$E$10+1,1))</f>
        <v>518.18933270904506</v>
      </c>
      <c r="AO143" s="62">
        <f t="shared" si="144"/>
        <v>272.44431899810411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68.81562052529614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-9.7543306765146564E-14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464.73160475167867</v>
      </c>
      <c r="BJ143" s="62">
        <f t="shared" si="146"/>
        <v>241.31968359962227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68.81562052529614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2.2737367544323206E-13</v>
      </c>
      <c r="BZ143" s="14">
        <f>BY143*VLOOKUP('Données projet'!$B$12,Paramètres!$A$1:$I$89,3,0)*VLOOKUP('Données projet'!$B$12,Paramètres!$A$1:$I$89,5,0)</f>
        <v>1.4897523215040565E-13</v>
      </c>
      <c r="CA143" s="14">
        <f t="shared" si="147"/>
        <v>2.136562777003313E-12</v>
      </c>
      <c r="CB143" s="22">
        <f t="shared" si="118"/>
        <v>3.9806453659427267E-12</v>
      </c>
      <c r="CC143" s="62">
        <f t="shared" si="119"/>
        <v>288.99060859275647</v>
      </c>
      <c r="CD143" s="62">
        <f ca="1">AVERAGE(OFFSET($CC$3,0,0,'Données projet'!$E$12+1,1))-AVERAGE(OFFSET($H$3,0,0,'Données projet'!$E$12+1,1))</f>
        <v>292.13851489852607</v>
      </c>
      <c r="CE143" s="62">
        <f t="shared" si="148"/>
        <v>280.10866188737418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68.81562052529614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-1.1368683772161603E-13</v>
      </c>
      <c r="CU143" s="18">
        <f>CT143*VLOOKUP('Données projet'!$B$13,Paramètres!$A$1:$I$89,3,0)*VLOOKUP('Données projet'!$B$13,Paramètres!$A$1:$I$89,5,0)</f>
        <v>-9.2222762759774927E-14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265.25572936607409</v>
      </c>
      <c r="CZ143" s="62">
        <f t="shared" si="150"/>
        <v>307.96244316129071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68.81562052529614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5.6843418860808015E-14</v>
      </c>
      <c r="DP143" s="18">
        <f>DO143*VLOOKUP('Données projet'!$B$14,Paramètres!$A$1:$I$89,3,0)*VLOOKUP('Données projet'!$B$14,Paramètres!$A$1:$I$89,5,0)</f>
        <v>5.4092197387944907E-14</v>
      </c>
      <c r="DQ143" s="14">
        <f t="shared" si="151"/>
        <v>8.7287050538073676E-13</v>
      </c>
      <c r="DR143" s="22">
        <f t="shared" si="124"/>
        <v>1.6144600406554537E-12</v>
      </c>
      <c r="DS143" s="62">
        <f t="shared" si="125"/>
        <v>288.99060859275409</v>
      </c>
      <c r="DT143" s="62">
        <f ca="1">AVERAGE(OFFSET($DS$3,0,0,'Données projet'!$E$14+1,1))-AVERAGE(OFFSET($H$3,0,0,'Données projet'!$E$14+1,1))</f>
        <v>425.41154182732936</v>
      </c>
      <c r="DU143" s="62">
        <f t="shared" si="152"/>
        <v>306.44721925744591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68.81562052529614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-5.6843418860808015E-14</v>
      </c>
      <c r="EK143" s="18">
        <f>EJ143*VLOOKUP('Données projet'!$B$15,Paramètres!$A$1:$I$89,3,0)*VLOOKUP('Données projet'!$B$15,Paramètres!$A$1:$I$89,5,0)</f>
        <v>-4.1677594708744434E-14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357.57626046668958</v>
      </c>
      <c r="EP143" s="62">
        <f t="shared" si="154"/>
        <v>386.90439522046199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68.81562052529614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1.1368683772161603E-13</v>
      </c>
      <c r="FF143" s="18">
        <f>FE143*VLOOKUP('Données projet'!$B$16,Paramètres!$A$1:$I$89,3,0)*VLOOKUP('Données projet'!$B$16,Paramètres!$A$1:$I$89,5,0)</f>
        <v>8.8675733422860506E-14</v>
      </c>
      <c r="FG143" s="14">
        <f t="shared" si="155"/>
        <v>1.3509285393066301E-12</v>
      </c>
      <c r="FH143" s="22">
        <f t="shared" si="130"/>
        <v>2.5073107750038623E-12</v>
      </c>
      <c r="FI143" s="62">
        <f t="shared" si="131"/>
        <v>288.990608592755</v>
      </c>
      <c r="FJ143" s="62">
        <f ca="1">AVERAGE(OFFSET($FI$3,0,0,'Données projet'!$E$16+1,1))-AVERAGE(OFFSET($H$3,0,0,'Données projet'!$E$16+1,1))</f>
        <v>303.56663121833833</v>
      </c>
      <c r="FK143" s="62">
        <f t="shared" si="156"/>
        <v>293.97736357938038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68.81562052529614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-5.6843418860808015E-14</v>
      </c>
      <c r="GA143" s="18">
        <f>FZ143*VLOOKUP('Données projet'!$B$17,Paramètres!$A$1:$I$89,3,0)*VLOOKUP('Données projet'!$B$17,Paramètres!$A$1:$I$89,5,0)</f>
        <v>-4.5224624045658861E-14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383.71724511025587</v>
      </c>
      <c r="GF143" s="62">
        <f t="shared" si="158"/>
        <v>415.10774719533185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68.81562052529614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1.7053025658242404E-13</v>
      </c>
      <c r="GV143" s="18">
        <f>GU143*VLOOKUP('Données projet'!$B$18,Paramètres!$A$1:$I$89,3,0)*VLOOKUP('Données projet'!$B$18,Paramètres!$A$1:$I$89,5,0)</f>
        <v>1.1439169611549005E-13</v>
      </c>
      <c r="GW143" s="14">
        <f t="shared" si="159"/>
        <v>1.6918016515029816E-12</v>
      </c>
      <c r="GX143" s="22">
        <f t="shared" si="136"/>
        <v>3.1457867471021712E-12</v>
      </c>
      <c r="GY143" s="62">
        <f t="shared" si="137"/>
        <v>288.99060859275562</v>
      </c>
      <c r="GZ143" s="62">
        <f ca="1">AVERAGE(OFFSET($GY$3,0,0,'Données projet'!$E$18+1,1))-AVERAGE(OFFSET($H$3,0,0,'Données projet'!$E$18+1,1))</f>
        <v>329.93956600482801</v>
      </c>
      <c r="HA143" s="62">
        <f t="shared" si="160"/>
        <v>268.69186630599165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2.7450000000000001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10.065</v>
      </c>
      <c r="H144" s="70">
        <f t="shared" si="110"/>
        <v>216.40666666666667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68.836166861306424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3.5</v>
      </c>
      <c r="N144" s="14">
        <f>IF('Données projet'!$A$36&gt;35,N143+M144-V143,IF(A144&lt;'Données projet'!$A$36,$K$205^A144,IF(A144='Données projet'!$A$36,'Données projet'!$B$36,N143+M144-V143)))</f>
        <v>344.49999999999989</v>
      </c>
      <c r="O144" s="14">
        <f>N144*VLOOKUP('Données projet'!$B$9,Paramètres!$A$1:$I$89,3,0)*VLOOKUP('Données projet'!$B$9,Paramètres!$A$1:$I$89,5,0)</f>
        <v>311.70359999999988</v>
      </c>
      <c r="P144" s="14">
        <f t="shared" si="141"/>
        <v>73.624496097462782</v>
      </c>
      <c r="Q144" s="22">
        <f t="shared" si="108"/>
        <v>671.1131007030807</v>
      </c>
      <c r="R144" s="62">
        <f t="shared" si="109"/>
        <v>960.17904586120426</v>
      </c>
      <c r="S144" s="62">
        <f ca="1">AVERAGE(OFFSET($R$3,0,0,'Données projet'!$E$9+1,1))-AVERAGE(OFFSET($H$3,0,0,'Données projet'!$E$9+1,1))</f>
        <v>551.67307965706379</v>
      </c>
      <c r="T144" s="62">
        <f t="shared" si="142"/>
        <v>288.70738860523943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68.836166861306424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3.5</v>
      </c>
      <c r="AI144" s="14">
        <f>IF('Données projet'!$A$62&gt;35,AI143+AH144-AQ143,IF(A144&lt;'Données projet'!$A$62,$AF$205^A144,IF(A144='Données projet'!$A$62,'Données projet'!$B$62,AI143+AH144-AQ143)))</f>
        <v>344.49999999999989</v>
      </c>
      <c r="AJ144" s="14">
        <f>AI144*VLOOKUP('Données projet'!$B$10,Paramètres!$A$1:$I$89,3,0)*VLOOKUP('Données projet'!$B$10,Paramètres!$A$1:$I$89,5,0)</f>
        <v>290.20679999999993</v>
      </c>
      <c r="AK144" s="14">
        <f t="shared" si="143"/>
        <v>69.119483862208398</v>
      </c>
      <c r="AL144" s="22">
        <f t="shared" si="112"/>
        <v>625.82661106001285</v>
      </c>
      <c r="AM144" s="62">
        <f t="shared" si="113"/>
        <v>914.89255621813641</v>
      </c>
      <c r="AN144" s="62">
        <f ca="1">AVERAGE(OFFSET($AM$3,0,0,'Données projet'!$E$10+1,1))-AVERAGE(OFFSET($H$3,0,0,'Données projet'!$E$10+1,1))</f>
        <v>518.18933270904506</v>
      </c>
      <c r="AO144" s="62">
        <f t="shared" si="144"/>
        <v>272.44431899810411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68.836166861306424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-9.7543306765146564E-14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464.73160475167867</v>
      </c>
      <c r="BJ144" s="62">
        <f t="shared" si="146"/>
        <v>241.31968359962227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68.836166861306424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2.2737367544323206E-13</v>
      </c>
      <c r="BZ144" s="14">
        <f>BY144*VLOOKUP('Données projet'!$B$12,Paramètres!$A$1:$I$89,3,0)*VLOOKUP('Données projet'!$B$12,Paramètres!$A$1:$I$89,5,0)</f>
        <v>1.4897523215040565E-13</v>
      </c>
      <c r="CA144" s="14">
        <f t="shared" si="147"/>
        <v>2.136562777003313E-12</v>
      </c>
      <c r="CB144" s="22">
        <f t="shared" si="118"/>
        <v>3.9806453659427267E-12</v>
      </c>
      <c r="CC144" s="62">
        <f t="shared" si="119"/>
        <v>289.06594515812753</v>
      </c>
      <c r="CD144" s="62">
        <f ca="1">AVERAGE(OFFSET($CC$3,0,0,'Données projet'!$E$12+1,1))-AVERAGE(OFFSET($H$3,0,0,'Données projet'!$E$12+1,1))</f>
        <v>292.13851489852607</v>
      </c>
      <c r="CE144" s="62">
        <f t="shared" si="148"/>
        <v>280.10866188737418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68.836166861306424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-1.1368683772161603E-13</v>
      </c>
      <c r="CU144" s="18">
        <f>CT144*VLOOKUP('Données projet'!$B$13,Paramètres!$A$1:$I$89,3,0)*VLOOKUP('Données projet'!$B$13,Paramètres!$A$1:$I$89,5,0)</f>
        <v>-9.2222762759774927E-14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265.25572936607409</v>
      </c>
      <c r="CZ144" s="62">
        <f t="shared" si="150"/>
        <v>307.96244316129071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68.836166861306424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5.6843418860808015E-14</v>
      </c>
      <c r="DP144" s="18">
        <f>DO144*VLOOKUP('Données projet'!$B$14,Paramètres!$A$1:$I$89,3,0)*VLOOKUP('Données projet'!$B$14,Paramètres!$A$1:$I$89,5,0)</f>
        <v>5.4092197387944907E-14</v>
      </c>
      <c r="DQ144" s="14">
        <f t="shared" si="151"/>
        <v>8.7287050538073676E-13</v>
      </c>
      <c r="DR144" s="22">
        <f t="shared" si="124"/>
        <v>1.6144600406554537E-12</v>
      </c>
      <c r="DS144" s="62">
        <f t="shared" si="125"/>
        <v>289.06594515812515</v>
      </c>
      <c r="DT144" s="62">
        <f ca="1">AVERAGE(OFFSET($DS$3,0,0,'Données projet'!$E$14+1,1))-AVERAGE(OFFSET($H$3,0,0,'Données projet'!$E$14+1,1))</f>
        <v>425.41154182732936</v>
      </c>
      <c r="DU144" s="62">
        <f t="shared" si="152"/>
        <v>306.44721925744591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68.836166861306424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-5.6843418860808015E-14</v>
      </c>
      <c r="EK144" s="18">
        <f>EJ144*VLOOKUP('Données projet'!$B$15,Paramètres!$A$1:$I$89,3,0)*VLOOKUP('Données projet'!$B$15,Paramètres!$A$1:$I$89,5,0)</f>
        <v>-4.1677594708744434E-14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357.57626046668958</v>
      </c>
      <c r="EP144" s="62">
        <f t="shared" si="154"/>
        <v>386.90439522046199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68.836166861306424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1.1368683772161603E-13</v>
      </c>
      <c r="FF144" s="18">
        <f>FE144*VLOOKUP('Données projet'!$B$16,Paramètres!$A$1:$I$89,3,0)*VLOOKUP('Données projet'!$B$16,Paramètres!$A$1:$I$89,5,0)</f>
        <v>8.8675733422860506E-14</v>
      </c>
      <c r="FG144" s="14">
        <f t="shared" si="155"/>
        <v>1.3509285393066301E-12</v>
      </c>
      <c r="FH144" s="22">
        <f t="shared" si="130"/>
        <v>2.5073107750038623E-12</v>
      </c>
      <c r="FI144" s="62">
        <f t="shared" si="131"/>
        <v>289.06594515812606</v>
      </c>
      <c r="FJ144" s="62">
        <f ca="1">AVERAGE(OFFSET($FI$3,0,0,'Données projet'!$E$16+1,1))-AVERAGE(OFFSET($H$3,0,0,'Données projet'!$E$16+1,1))</f>
        <v>303.56663121833833</v>
      </c>
      <c r="FK144" s="62">
        <f t="shared" si="156"/>
        <v>293.97736357938038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68.836166861306424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-5.6843418860808015E-14</v>
      </c>
      <c r="GA144" s="18">
        <f>FZ144*VLOOKUP('Données projet'!$B$17,Paramètres!$A$1:$I$89,3,0)*VLOOKUP('Données projet'!$B$17,Paramètres!$A$1:$I$89,5,0)</f>
        <v>-4.5224624045658861E-14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383.71724511025587</v>
      </c>
      <c r="GF144" s="62">
        <f t="shared" si="158"/>
        <v>415.10774719533185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68.836166861306424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1.7053025658242404E-13</v>
      </c>
      <c r="GV144" s="18">
        <f>GU144*VLOOKUP('Données projet'!$B$18,Paramètres!$A$1:$I$89,3,0)*VLOOKUP('Données projet'!$B$18,Paramètres!$A$1:$I$89,5,0)</f>
        <v>1.1439169611549005E-13</v>
      </c>
      <c r="GW144" s="14">
        <f t="shared" si="159"/>
        <v>1.6918016515029816E-12</v>
      </c>
      <c r="GX144" s="22">
        <f t="shared" si="136"/>
        <v>3.1457867471021712E-12</v>
      </c>
      <c r="GY144" s="62">
        <f t="shared" si="137"/>
        <v>289.06594515812668</v>
      </c>
      <c r="GZ144" s="62">
        <f ca="1">AVERAGE(OFFSET($GY$3,0,0,'Données projet'!$E$18+1,1))-AVERAGE(OFFSET($H$3,0,0,'Données projet'!$E$18+1,1))</f>
        <v>329.93956600482801</v>
      </c>
      <c r="HA144" s="62">
        <f t="shared" si="160"/>
        <v>268.69186630599165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2.7450000000000001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10.065</v>
      </c>
      <c r="H145" s="70">
        <f t="shared" si="110"/>
        <v>216.40666666666667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68.856356764321674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3.5</v>
      </c>
      <c r="N145" s="14">
        <f>IF('Données projet'!$A$36&gt;35,N144+M145-V144,IF(A145&lt;'Données projet'!$A$36,$K$205^A145,IF(A145='Données projet'!$A$36,'Données projet'!$B$36,N144+M145-V144)))</f>
        <v>347.99999999999989</v>
      </c>
      <c r="O145" s="14">
        <f>N145*VLOOKUP('Données projet'!$B$9,Paramètres!$A$1:$I$89,3,0)*VLOOKUP('Données projet'!$B$9,Paramètres!$A$1:$I$89,5,0)</f>
        <v>314.8703999999999</v>
      </c>
      <c r="P145" s="14">
        <f t="shared" si="141"/>
        <v>74.285038887149952</v>
      </c>
      <c r="Q145" s="22">
        <f t="shared" si="108"/>
        <v>677.77905606178604</v>
      </c>
      <c r="R145" s="62">
        <f t="shared" si="109"/>
        <v>966.91903086429886</v>
      </c>
      <c r="S145" s="62">
        <f ca="1">AVERAGE(OFFSET($R$3,0,0,'Données projet'!$E$9+1,1))-AVERAGE(OFFSET($H$3,0,0,'Données projet'!$E$9+1,1))</f>
        <v>551.67307965706379</v>
      </c>
      <c r="T145" s="62">
        <f t="shared" si="142"/>
        <v>288.70738860523943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68.856356764321674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3.5</v>
      </c>
      <c r="AI145" s="14">
        <f>IF('Données projet'!$A$62&gt;35,AI144+AH145-AQ144,IF(A145&lt;'Données projet'!$A$62,$AF$205^A145,IF(A145='Données projet'!$A$62,'Données projet'!$B$62,AI144+AH145-AQ144)))</f>
        <v>347.99999999999989</v>
      </c>
      <c r="AJ145" s="14">
        <f>AI145*VLOOKUP('Données projet'!$B$10,Paramètres!$A$1:$I$89,3,0)*VLOOKUP('Données projet'!$B$10,Paramètres!$A$1:$I$89,5,0)</f>
        <v>293.15519999999992</v>
      </c>
      <c r="AK145" s="14">
        <f t="shared" si="143"/>
        <v>69.739608672728551</v>
      </c>
      <c r="AL145" s="22">
        <f t="shared" si="112"/>
        <v>632.04179177166873</v>
      </c>
      <c r="AM145" s="62">
        <f t="shared" si="113"/>
        <v>921.18176657418155</v>
      </c>
      <c r="AN145" s="62">
        <f ca="1">AVERAGE(OFFSET($AM$3,0,0,'Données projet'!$E$10+1,1))-AVERAGE(OFFSET($H$3,0,0,'Données projet'!$E$10+1,1))</f>
        <v>518.18933270904506</v>
      </c>
      <c r="AO145" s="62">
        <f t="shared" si="144"/>
        <v>272.44431899810411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68.856356764321674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-9.7543306765146564E-14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464.73160475167867</v>
      </c>
      <c r="BJ145" s="62">
        <f t="shared" si="146"/>
        <v>241.31968359962227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68.856356764321674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2.2737367544323206E-13</v>
      </c>
      <c r="BZ145" s="14">
        <f>BY145*VLOOKUP('Données projet'!$B$12,Paramètres!$A$1:$I$89,3,0)*VLOOKUP('Données projet'!$B$12,Paramètres!$A$1:$I$89,5,0)</f>
        <v>1.4897523215040565E-13</v>
      </c>
      <c r="CA145" s="14">
        <f t="shared" si="147"/>
        <v>2.136562777003313E-12</v>
      </c>
      <c r="CB145" s="22">
        <f t="shared" si="118"/>
        <v>3.9806453659427267E-12</v>
      </c>
      <c r="CC145" s="62">
        <f t="shared" si="119"/>
        <v>289.1399748025168</v>
      </c>
      <c r="CD145" s="62">
        <f ca="1">AVERAGE(OFFSET($CC$3,0,0,'Données projet'!$E$12+1,1))-AVERAGE(OFFSET($H$3,0,0,'Données projet'!$E$12+1,1))</f>
        <v>292.13851489852607</v>
      </c>
      <c r="CE145" s="62">
        <f t="shared" si="148"/>
        <v>280.10866188737418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68.856356764321674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-1.1368683772161603E-13</v>
      </c>
      <c r="CU145" s="18">
        <f>CT145*VLOOKUP('Données projet'!$B$13,Paramètres!$A$1:$I$89,3,0)*VLOOKUP('Données projet'!$B$13,Paramètres!$A$1:$I$89,5,0)</f>
        <v>-9.2222762759774927E-14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265.25572936607409</v>
      </c>
      <c r="CZ145" s="62">
        <f t="shared" si="150"/>
        <v>307.96244316129071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68.856356764321674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5.6843418860808015E-14</v>
      </c>
      <c r="DP145" s="18">
        <f>DO145*VLOOKUP('Données projet'!$B$14,Paramètres!$A$1:$I$89,3,0)*VLOOKUP('Données projet'!$B$14,Paramètres!$A$1:$I$89,5,0)</f>
        <v>5.4092197387944907E-14</v>
      </c>
      <c r="DQ145" s="14">
        <f t="shared" si="151"/>
        <v>8.7287050538073676E-13</v>
      </c>
      <c r="DR145" s="22">
        <f t="shared" si="124"/>
        <v>1.6144600406554537E-12</v>
      </c>
      <c r="DS145" s="62">
        <f t="shared" si="125"/>
        <v>289.13997480251442</v>
      </c>
      <c r="DT145" s="62">
        <f ca="1">AVERAGE(OFFSET($DS$3,0,0,'Données projet'!$E$14+1,1))-AVERAGE(OFFSET($H$3,0,0,'Données projet'!$E$14+1,1))</f>
        <v>425.41154182732936</v>
      </c>
      <c r="DU145" s="62">
        <f t="shared" si="152"/>
        <v>306.44721925744591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68.856356764321674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-5.6843418860808015E-14</v>
      </c>
      <c r="EK145" s="18">
        <f>EJ145*VLOOKUP('Données projet'!$B$15,Paramètres!$A$1:$I$89,3,0)*VLOOKUP('Données projet'!$B$15,Paramètres!$A$1:$I$89,5,0)</f>
        <v>-4.1677594708744434E-14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357.57626046668958</v>
      </c>
      <c r="EP145" s="62">
        <f t="shared" si="154"/>
        <v>386.90439522046199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68.856356764321674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1.1368683772161603E-13</v>
      </c>
      <c r="FF145" s="18">
        <f>FE145*VLOOKUP('Données projet'!$B$16,Paramètres!$A$1:$I$89,3,0)*VLOOKUP('Données projet'!$B$16,Paramètres!$A$1:$I$89,5,0)</f>
        <v>8.8675733422860506E-14</v>
      </c>
      <c r="FG145" s="14">
        <f t="shared" si="155"/>
        <v>1.3509285393066301E-12</v>
      </c>
      <c r="FH145" s="22">
        <f t="shared" si="130"/>
        <v>2.5073107750038623E-12</v>
      </c>
      <c r="FI145" s="62">
        <f t="shared" si="131"/>
        <v>289.13997480251533</v>
      </c>
      <c r="FJ145" s="62">
        <f ca="1">AVERAGE(OFFSET($FI$3,0,0,'Données projet'!$E$16+1,1))-AVERAGE(OFFSET($H$3,0,0,'Données projet'!$E$16+1,1))</f>
        <v>303.56663121833833</v>
      </c>
      <c r="FK145" s="62">
        <f t="shared" si="156"/>
        <v>293.97736357938038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68.856356764321674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-5.6843418860808015E-14</v>
      </c>
      <c r="GA145" s="18">
        <f>FZ145*VLOOKUP('Données projet'!$B$17,Paramètres!$A$1:$I$89,3,0)*VLOOKUP('Données projet'!$B$17,Paramètres!$A$1:$I$89,5,0)</f>
        <v>-4.5224624045658861E-14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383.71724511025587</v>
      </c>
      <c r="GF145" s="62">
        <f t="shared" si="158"/>
        <v>415.10774719533185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68.856356764321674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1.7053025658242404E-13</v>
      </c>
      <c r="GV145" s="18">
        <f>GU145*VLOOKUP('Données projet'!$B$18,Paramètres!$A$1:$I$89,3,0)*VLOOKUP('Données projet'!$B$18,Paramètres!$A$1:$I$89,5,0)</f>
        <v>1.1439169611549005E-13</v>
      </c>
      <c r="GW145" s="14">
        <f t="shared" si="159"/>
        <v>1.6918016515029816E-12</v>
      </c>
      <c r="GX145" s="22">
        <f t="shared" si="136"/>
        <v>3.1457867471021712E-12</v>
      </c>
      <c r="GY145" s="62">
        <f t="shared" si="137"/>
        <v>289.13997480251595</v>
      </c>
      <c r="GZ145" s="62">
        <f ca="1">AVERAGE(OFFSET($GY$3,0,0,'Données projet'!$E$18+1,1))-AVERAGE(OFFSET($H$3,0,0,'Données projet'!$E$18+1,1))</f>
        <v>329.93956600482801</v>
      </c>
      <c r="HA145" s="62">
        <f t="shared" si="160"/>
        <v>268.69186630599165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2.7450000000000001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10.065</v>
      </c>
      <c r="H146" s="70">
        <f t="shared" si="110"/>
        <v>216.40666666666667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68.876196417657439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3.5</v>
      </c>
      <c r="N146" s="14">
        <f>IF('Données projet'!$A$36&gt;35,N145+M146-V145,IF(A146&lt;'Données projet'!$A$36,$K$205^A146,IF(A146='Données projet'!$A$36,'Données projet'!$B$36,N145+M146-V145)))</f>
        <v>351.49999999999989</v>
      </c>
      <c r="O146" s="14">
        <f>N146*VLOOKUP('Données projet'!$B$9,Paramètres!$A$1:$I$89,3,0)*VLOOKUP('Données projet'!$B$9,Paramètres!$A$1:$I$89,5,0)</f>
        <v>318.03719999999987</v>
      </c>
      <c r="P146" s="14">
        <f t="shared" si="141"/>
        <v>74.944808824911618</v>
      </c>
      <c r="Q146" s="22">
        <f t="shared" si="108"/>
        <v>684.44366537005408</v>
      </c>
      <c r="R146" s="62">
        <f t="shared" si="109"/>
        <v>973.65638556813133</v>
      </c>
      <c r="S146" s="62">
        <f ca="1">AVERAGE(OFFSET($R$3,0,0,'Données projet'!$E$9+1,1))-AVERAGE(OFFSET($H$3,0,0,'Données projet'!$E$9+1,1))</f>
        <v>551.67307965706379</v>
      </c>
      <c r="T146" s="62">
        <f t="shared" si="142"/>
        <v>288.70738860523943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68.876196417657439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3.5</v>
      </c>
      <c r="AI146" s="14">
        <f>IF('Données projet'!$A$62&gt;35,AI145+AH146-AQ145,IF(A146&lt;'Données projet'!$A$62,$AF$205^A146,IF(A146='Données projet'!$A$62,'Données projet'!$B$62,AI145+AH146-AQ145)))</f>
        <v>351.49999999999989</v>
      </c>
      <c r="AJ146" s="14">
        <f>AI146*VLOOKUP('Données projet'!$B$10,Paramètres!$A$1:$I$89,3,0)*VLOOKUP('Données projet'!$B$10,Paramètres!$A$1:$I$89,5,0)</f>
        <v>296.10359999999991</v>
      </c>
      <c r="AK146" s="14">
        <f t="shared" si="143"/>
        <v>70.359007921390557</v>
      </c>
      <c r="AL146" s="22">
        <f t="shared" si="112"/>
        <v>638.2557087964218</v>
      </c>
      <c r="AM146" s="62">
        <f t="shared" si="113"/>
        <v>927.46842899449916</v>
      </c>
      <c r="AN146" s="62">
        <f ca="1">AVERAGE(OFFSET($AM$3,0,0,'Données projet'!$E$10+1,1))-AVERAGE(OFFSET($H$3,0,0,'Données projet'!$E$10+1,1))</f>
        <v>518.18933270904506</v>
      </c>
      <c r="AO146" s="62">
        <f t="shared" si="144"/>
        <v>272.44431899810411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68.876196417657439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-9.7543306765146564E-14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464.73160475167867</v>
      </c>
      <c r="BJ146" s="62">
        <f t="shared" si="146"/>
        <v>241.31968359962227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68.876196417657439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2.2737367544323206E-13</v>
      </c>
      <c r="BZ146" s="14">
        <f>BY146*VLOOKUP('Données projet'!$B$12,Paramètres!$A$1:$I$89,3,0)*VLOOKUP('Données projet'!$B$12,Paramètres!$A$1:$I$89,5,0)</f>
        <v>1.4897523215040565E-13</v>
      </c>
      <c r="CA146" s="14">
        <f t="shared" si="147"/>
        <v>2.136562777003313E-12</v>
      </c>
      <c r="CB146" s="22">
        <f t="shared" si="118"/>
        <v>3.9806453659427267E-12</v>
      </c>
      <c r="CC146" s="62">
        <f t="shared" si="119"/>
        <v>289.21272019808129</v>
      </c>
      <c r="CD146" s="62">
        <f ca="1">AVERAGE(OFFSET($CC$3,0,0,'Données projet'!$E$12+1,1))-AVERAGE(OFFSET($H$3,0,0,'Données projet'!$E$12+1,1))</f>
        <v>292.13851489852607</v>
      </c>
      <c r="CE146" s="62">
        <f t="shared" si="148"/>
        <v>280.10866188737418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68.876196417657439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-1.1368683772161603E-13</v>
      </c>
      <c r="CU146" s="18">
        <f>CT146*VLOOKUP('Données projet'!$B$13,Paramètres!$A$1:$I$89,3,0)*VLOOKUP('Données projet'!$B$13,Paramètres!$A$1:$I$89,5,0)</f>
        <v>-9.2222762759774927E-14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265.25572936607409</v>
      </c>
      <c r="CZ146" s="62">
        <f t="shared" si="150"/>
        <v>307.96244316129071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68.876196417657439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5.6843418860808015E-14</v>
      </c>
      <c r="DP146" s="18">
        <f>DO146*VLOOKUP('Données projet'!$B$14,Paramètres!$A$1:$I$89,3,0)*VLOOKUP('Données projet'!$B$14,Paramètres!$A$1:$I$89,5,0)</f>
        <v>5.4092197387944907E-14</v>
      </c>
      <c r="DQ146" s="14">
        <f t="shared" si="151"/>
        <v>8.7287050538073676E-13</v>
      </c>
      <c r="DR146" s="22">
        <f t="shared" si="124"/>
        <v>1.6144600406554537E-12</v>
      </c>
      <c r="DS146" s="62">
        <f t="shared" si="125"/>
        <v>289.2127201980789</v>
      </c>
      <c r="DT146" s="62">
        <f ca="1">AVERAGE(OFFSET($DS$3,0,0,'Données projet'!$E$14+1,1))-AVERAGE(OFFSET($H$3,0,0,'Données projet'!$E$14+1,1))</f>
        <v>425.41154182732936</v>
      </c>
      <c r="DU146" s="62">
        <f t="shared" si="152"/>
        <v>306.44721925744591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68.876196417657439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-5.6843418860808015E-14</v>
      </c>
      <c r="EK146" s="18">
        <f>EJ146*VLOOKUP('Données projet'!$B$15,Paramètres!$A$1:$I$89,3,0)*VLOOKUP('Données projet'!$B$15,Paramètres!$A$1:$I$89,5,0)</f>
        <v>-4.1677594708744434E-14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357.57626046668958</v>
      </c>
      <c r="EP146" s="62">
        <f t="shared" si="154"/>
        <v>386.90439522046199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68.876196417657439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1.1368683772161603E-13</v>
      </c>
      <c r="FF146" s="18">
        <f>FE146*VLOOKUP('Données projet'!$B$16,Paramètres!$A$1:$I$89,3,0)*VLOOKUP('Données projet'!$B$16,Paramètres!$A$1:$I$89,5,0)</f>
        <v>8.8675733422860506E-14</v>
      </c>
      <c r="FG146" s="14">
        <f t="shared" si="155"/>
        <v>1.3509285393066301E-12</v>
      </c>
      <c r="FH146" s="22">
        <f t="shared" si="130"/>
        <v>2.5073107750038623E-12</v>
      </c>
      <c r="FI146" s="62">
        <f t="shared" si="131"/>
        <v>289.21272019807981</v>
      </c>
      <c r="FJ146" s="62">
        <f ca="1">AVERAGE(OFFSET($FI$3,0,0,'Données projet'!$E$16+1,1))-AVERAGE(OFFSET($H$3,0,0,'Données projet'!$E$16+1,1))</f>
        <v>303.56663121833833</v>
      </c>
      <c r="FK146" s="62">
        <f t="shared" si="156"/>
        <v>293.97736357938038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68.876196417657439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-5.6843418860808015E-14</v>
      </c>
      <c r="GA146" s="18">
        <f>FZ146*VLOOKUP('Données projet'!$B$17,Paramètres!$A$1:$I$89,3,0)*VLOOKUP('Données projet'!$B$17,Paramètres!$A$1:$I$89,5,0)</f>
        <v>-4.5224624045658861E-14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383.71724511025587</v>
      </c>
      <c r="GF146" s="62">
        <f t="shared" si="158"/>
        <v>415.10774719533185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68.876196417657439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1.7053025658242404E-13</v>
      </c>
      <c r="GV146" s="18">
        <f>GU146*VLOOKUP('Données projet'!$B$18,Paramètres!$A$1:$I$89,3,0)*VLOOKUP('Données projet'!$B$18,Paramètres!$A$1:$I$89,5,0)</f>
        <v>1.1439169611549005E-13</v>
      </c>
      <c r="GW146" s="14">
        <f t="shared" si="159"/>
        <v>1.6918016515029816E-12</v>
      </c>
      <c r="GX146" s="22">
        <f t="shared" si="136"/>
        <v>3.1457867471021712E-12</v>
      </c>
      <c r="GY146" s="62">
        <f t="shared" si="137"/>
        <v>289.21272019808043</v>
      </c>
      <c r="GZ146" s="62">
        <f ca="1">AVERAGE(OFFSET($GY$3,0,0,'Données projet'!$E$18+1,1))-AVERAGE(OFFSET($H$3,0,0,'Données projet'!$E$18+1,1))</f>
        <v>329.93956600482801</v>
      </c>
      <c r="HA146" s="62">
        <f t="shared" si="160"/>
        <v>268.69186630599165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2.7450000000000001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10.065</v>
      </c>
      <c r="H147" s="70">
        <f t="shared" si="110"/>
        <v>216.40666666666667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68.895691897362667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3.5</v>
      </c>
      <c r="N147" s="14">
        <f>IF('Données projet'!$A$36&gt;35,N146+M147-V146,IF(A147&lt;'Données projet'!$A$36,$K$205^A147,IF(A147='Données projet'!$A$36,'Données projet'!$B$36,N146+M147-V146)))</f>
        <v>354.99999999999989</v>
      </c>
      <c r="O147" s="14">
        <f>N147*VLOOKUP('Données projet'!$B$9,Paramètres!$A$1:$I$89,3,0)*VLOOKUP('Données projet'!$B$9,Paramètres!$A$1:$I$89,5,0)</f>
        <v>321.20399999999989</v>
      </c>
      <c r="P147" s="14">
        <f t="shared" si="141"/>
        <v>75.603814497354989</v>
      </c>
      <c r="Q147" s="22">
        <f t="shared" si="108"/>
        <v>691.10694358289311</v>
      </c>
      <c r="R147" s="62">
        <f t="shared" si="109"/>
        <v>980.3911472065563</v>
      </c>
      <c r="S147" s="62">
        <f ca="1">AVERAGE(OFFSET($R$3,0,0,'Données projet'!$E$9+1,1))-AVERAGE(OFFSET($H$3,0,0,'Données projet'!$E$9+1,1))</f>
        <v>551.67307965706379</v>
      </c>
      <c r="T147" s="62">
        <f t="shared" si="142"/>
        <v>288.70738860523943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68.895691897362667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3.5</v>
      </c>
      <c r="AI147" s="14">
        <f>IF('Données projet'!$A$62&gt;35,AI146+AH147-AQ146,IF(A147&lt;'Données projet'!$A$62,$AF$205^A147,IF(A147='Données projet'!$A$62,'Données projet'!$B$62,AI146+AH147-AQ146)))</f>
        <v>354.99999999999989</v>
      </c>
      <c r="AJ147" s="14">
        <f>AI147*VLOOKUP('Données projet'!$B$10,Paramètres!$A$1:$I$89,3,0)*VLOOKUP('Données projet'!$B$10,Paramètres!$A$1:$I$89,5,0)</f>
        <v>299.05199999999996</v>
      </c>
      <c r="AK147" s="14">
        <f t="shared" si="143"/>
        <v>70.977689669395403</v>
      </c>
      <c r="AL147" s="22">
        <f t="shared" si="112"/>
        <v>644.46837617419681</v>
      </c>
      <c r="AM147" s="62">
        <f t="shared" si="113"/>
        <v>933.75257979785988</v>
      </c>
      <c r="AN147" s="62">
        <f ca="1">AVERAGE(OFFSET($AM$3,0,0,'Données projet'!$E$10+1,1))-AVERAGE(OFFSET($H$3,0,0,'Données projet'!$E$10+1,1))</f>
        <v>518.18933270904506</v>
      </c>
      <c r="AO147" s="62">
        <f t="shared" si="144"/>
        <v>272.44431899810411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68.895691897362667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-9.7543306765146564E-14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464.73160475167867</v>
      </c>
      <c r="BJ147" s="62">
        <f t="shared" si="146"/>
        <v>241.31968359962227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68.895691897362667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2.2737367544323206E-13</v>
      </c>
      <c r="BZ147" s="14">
        <f>BY147*VLOOKUP('Données projet'!$B$12,Paramètres!$A$1:$I$89,3,0)*VLOOKUP('Données projet'!$B$12,Paramètres!$A$1:$I$89,5,0)</f>
        <v>1.4897523215040565E-13</v>
      </c>
      <c r="CA147" s="14">
        <f t="shared" si="147"/>
        <v>2.136562777003313E-12</v>
      </c>
      <c r="CB147" s="22">
        <f t="shared" si="118"/>
        <v>3.9806453659427267E-12</v>
      </c>
      <c r="CC147" s="62">
        <f t="shared" si="119"/>
        <v>289.28420362366711</v>
      </c>
      <c r="CD147" s="62">
        <f ca="1">AVERAGE(OFFSET($CC$3,0,0,'Données projet'!$E$12+1,1))-AVERAGE(OFFSET($H$3,0,0,'Données projet'!$E$12+1,1))</f>
        <v>292.13851489852607</v>
      </c>
      <c r="CE147" s="62">
        <f t="shared" si="148"/>
        <v>280.10866188737418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68.895691897362667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-1.1368683772161603E-13</v>
      </c>
      <c r="CU147" s="18">
        <f>CT147*VLOOKUP('Données projet'!$B$13,Paramètres!$A$1:$I$89,3,0)*VLOOKUP('Données projet'!$B$13,Paramètres!$A$1:$I$89,5,0)</f>
        <v>-9.2222762759774927E-14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265.25572936607409</v>
      </c>
      <c r="CZ147" s="62">
        <f t="shared" si="150"/>
        <v>307.96244316129071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68.895691897362667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5.6843418860808015E-14</v>
      </c>
      <c r="DP147" s="18">
        <f>DO147*VLOOKUP('Données projet'!$B$14,Paramètres!$A$1:$I$89,3,0)*VLOOKUP('Données projet'!$B$14,Paramètres!$A$1:$I$89,5,0)</f>
        <v>5.4092197387944907E-14</v>
      </c>
      <c r="DQ147" s="14">
        <f t="shared" si="151"/>
        <v>8.7287050538073676E-13</v>
      </c>
      <c r="DR147" s="22">
        <f t="shared" si="124"/>
        <v>1.6144600406554537E-12</v>
      </c>
      <c r="DS147" s="62">
        <f t="shared" si="125"/>
        <v>289.28420362366472</v>
      </c>
      <c r="DT147" s="62">
        <f ca="1">AVERAGE(OFFSET($DS$3,0,0,'Données projet'!$E$14+1,1))-AVERAGE(OFFSET($H$3,0,0,'Données projet'!$E$14+1,1))</f>
        <v>425.41154182732936</v>
      </c>
      <c r="DU147" s="62">
        <f t="shared" si="152"/>
        <v>306.44721925744591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68.895691897362667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-5.6843418860808015E-14</v>
      </c>
      <c r="EK147" s="18">
        <f>EJ147*VLOOKUP('Données projet'!$B$15,Paramètres!$A$1:$I$89,3,0)*VLOOKUP('Données projet'!$B$15,Paramètres!$A$1:$I$89,5,0)</f>
        <v>-4.1677594708744434E-14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357.57626046668958</v>
      </c>
      <c r="EP147" s="62">
        <f t="shared" si="154"/>
        <v>386.90439522046199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68.895691897362667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1.1368683772161603E-13</v>
      </c>
      <c r="FF147" s="18">
        <f>FE147*VLOOKUP('Données projet'!$B$16,Paramètres!$A$1:$I$89,3,0)*VLOOKUP('Données projet'!$B$16,Paramètres!$A$1:$I$89,5,0)</f>
        <v>8.8675733422860506E-14</v>
      </c>
      <c r="FG147" s="14">
        <f t="shared" si="155"/>
        <v>1.3509285393066301E-12</v>
      </c>
      <c r="FH147" s="22">
        <f t="shared" si="130"/>
        <v>2.5073107750038623E-12</v>
      </c>
      <c r="FI147" s="62">
        <f t="shared" si="131"/>
        <v>289.28420362366563</v>
      </c>
      <c r="FJ147" s="62">
        <f ca="1">AVERAGE(OFFSET($FI$3,0,0,'Données projet'!$E$16+1,1))-AVERAGE(OFFSET($H$3,0,0,'Données projet'!$E$16+1,1))</f>
        <v>303.56663121833833</v>
      </c>
      <c r="FK147" s="62">
        <f t="shared" si="156"/>
        <v>293.97736357938038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68.895691897362667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-5.6843418860808015E-14</v>
      </c>
      <c r="GA147" s="18">
        <f>FZ147*VLOOKUP('Données projet'!$B$17,Paramètres!$A$1:$I$89,3,0)*VLOOKUP('Données projet'!$B$17,Paramètres!$A$1:$I$89,5,0)</f>
        <v>-4.5224624045658861E-14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383.71724511025587</v>
      </c>
      <c r="GF147" s="62">
        <f t="shared" si="158"/>
        <v>415.10774719533185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68.895691897362667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1.7053025658242404E-13</v>
      </c>
      <c r="GV147" s="18">
        <f>GU147*VLOOKUP('Données projet'!$B$18,Paramètres!$A$1:$I$89,3,0)*VLOOKUP('Données projet'!$B$18,Paramètres!$A$1:$I$89,5,0)</f>
        <v>1.1439169611549005E-13</v>
      </c>
      <c r="GW147" s="14">
        <f t="shared" si="159"/>
        <v>1.6918016515029816E-12</v>
      </c>
      <c r="GX147" s="22">
        <f t="shared" si="136"/>
        <v>3.1457867471021712E-12</v>
      </c>
      <c r="GY147" s="62">
        <f t="shared" si="137"/>
        <v>289.28420362366626</v>
      </c>
      <c r="GZ147" s="62">
        <f ca="1">AVERAGE(OFFSET($GY$3,0,0,'Données projet'!$E$18+1,1))-AVERAGE(OFFSET($H$3,0,0,'Données projet'!$E$18+1,1))</f>
        <v>329.93956600482801</v>
      </c>
      <c r="HA147" s="62">
        <f t="shared" si="160"/>
        <v>268.69186630599165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2.7450000000000001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10.065</v>
      </c>
      <c r="H148" s="70">
        <f t="shared" si="110"/>
        <v>216.40666666666667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68.914849174080373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3.5</v>
      </c>
      <c r="N148" s="14">
        <f>IF('Données projet'!$A$36&gt;35,N147+M148-V147,IF(A148&lt;'Données projet'!$A$36,$K$205^A148,IF(A148='Données projet'!$A$36,'Données projet'!$B$36,N147+M148-V147)))</f>
        <v>358.49999999999989</v>
      </c>
      <c r="O148" s="14">
        <f>N148*VLOOKUP('Données projet'!$B$9,Paramètres!$A$1:$I$89,3,0)*VLOOKUP('Données projet'!$B$9,Paramètres!$A$1:$I$89,5,0)</f>
        <v>324.37079999999986</v>
      </c>
      <c r="P148" s="14">
        <f t="shared" si="141"/>
        <v>76.262064312013905</v>
      </c>
      <c r="Q148" s="22">
        <f t="shared" si="108"/>
        <v>697.76890534342408</v>
      </c>
      <c r="R148" s="62">
        <f t="shared" si="109"/>
        <v>987.1233523150521</v>
      </c>
      <c r="S148" s="62">
        <f ca="1">AVERAGE(OFFSET($R$3,0,0,'Données projet'!$E$9+1,1))-AVERAGE(OFFSET($H$3,0,0,'Données projet'!$E$9+1,1))</f>
        <v>551.67307965706379</v>
      </c>
      <c r="T148" s="62">
        <f t="shared" si="142"/>
        <v>288.70738860523943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68.914849174080373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3.5</v>
      </c>
      <c r="AI148" s="14">
        <f>IF('Données projet'!$A$62&gt;35,AI147+AH148-AQ147,IF(A148&lt;'Données projet'!$A$62,$AF$205^A148,IF(A148='Données projet'!$A$62,'Données projet'!$B$62,AI147+AH148-AQ147)))</f>
        <v>358.49999999999989</v>
      </c>
      <c r="AJ148" s="14">
        <f>AI148*VLOOKUP('Données projet'!$B$10,Paramètres!$A$1:$I$89,3,0)*VLOOKUP('Données projet'!$B$10,Paramètres!$A$1:$I$89,5,0)</f>
        <v>302.0003999999999</v>
      </c>
      <c r="AK148" s="14">
        <f t="shared" si="143"/>
        <v>71.595661809828044</v>
      </c>
      <c r="AL148" s="22">
        <f t="shared" si="112"/>
        <v>650.67980765211689</v>
      </c>
      <c r="AM148" s="62">
        <f t="shared" si="113"/>
        <v>940.03425462374491</v>
      </c>
      <c r="AN148" s="62">
        <f ca="1">AVERAGE(OFFSET($AM$3,0,0,'Données projet'!$E$10+1,1))-AVERAGE(OFFSET($H$3,0,0,'Données projet'!$E$10+1,1))</f>
        <v>518.18933270904506</v>
      </c>
      <c r="AO148" s="62">
        <f t="shared" si="144"/>
        <v>272.44431899810411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68.914849174080373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-9.7543306765146564E-14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464.73160475167867</v>
      </c>
      <c r="BJ148" s="62">
        <f t="shared" si="146"/>
        <v>241.31968359962227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68.914849174080373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2.2737367544323206E-13</v>
      </c>
      <c r="BZ148" s="14">
        <f>BY148*VLOOKUP('Données projet'!$B$12,Paramètres!$A$1:$I$89,3,0)*VLOOKUP('Données projet'!$B$12,Paramètres!$A$1:$I$89,5,0)</f>
        <v>1.4897523215040565E-13</v>
      </c>
      <c r="CA148" s="14">
        <f t="shared" si="147"/>
        <v>2.136562777003313E-12</v>
      </c>
      <c r="CB148" s="22">
        <f t="shared" si="118"/>
        <v>3.9806453659427267E-12</v>
      </c>
      <c r="CC148" s="62">
        <f t="shared" si="119"/>
        <v>289.354446971632</v>
      </c>
      <c r="CD148" s="62">
        <f ca="1">AVERAGE(OFFSET($CC$3,0,0,'Données projet'!$E$12+1,1))-AVERAGE(OFFSET($H$3,0,0,'Données projet'!$E$12+1,1))</f>
        <v>292.13851489852607</v>
      </c>
      <c r="CE148" s="62">
        <f t="shared" si="148"/>
        <v>280.10866188737418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68.914849174080373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-1.1368683772161603E-13</v>
      </c>
      <c r="CU148" s="18">
        <f>CT148*VLOOKUP('Données projet'!$B$13,Paramètres!$A$1:$I$89,3,0)*VLOOKUP('Données projet'!$B$13,Paramètres!$A$1:$I$89,5,0)</f>
        <v>-9.2222762759774927E-14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265.25572936607409</v>
      </c>
      <c r="CZ148" s="62">
        <f t="shared" si="150"/>
        <v>307.96244316129071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68.914849174080373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5.6843418860808015E-14</v>
      </c>
      <c r="DP148" s="18">
        <f>DO148*VLOOKUP('Données projet'!$B$14,Paramètres!$A$1:$I$89,3,0)*VLOOKUP('Données projet'!$B$14,Paramètres!$A$1:$I$89,5,0)</f>
        <v>5.4092197387944907E-14</v>
      </c>
      <c r="DQ148" s="14">
        <f t="shared" si="151"/>
        <v>8.7287050538073676E-13</v>
      </c>
      <c r="DR148" s="22">
        <f t="shared" si="124"/>
        <v>1.6144600406554537E-12</v>
      </c>
      <c r="DS148" s="62">
        <f t="shared" si="125"/>
        <v>289.35444697162961</v>
      </c>
      <c r="DT148" s="62">
        <f ca="1">AVERAGE(OFFSET($DS$3,0,0,'Données projet'!$E$14+1,1))-AVERAGE(OFFSET($H$3,0,0,'Données projet'!$E$14+1,1))</f>
        <v>425.41154182732936</v>
      </c>
      <c r="DU148" s="62">
        <f t="shared" si="152"/>
        <v>306.44721925744591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68.914849174080373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-5.6843418860808015E-14</v>
      </c>
      <c r="EK148" s="18">
        <f>EJ148*VLOOKUP('Données projet'!$B$15,Paramètres!$A$1:$I$89,3,0)*VLOOKUP('Données projet'!$B$15,Paramètres!$A$1:$I$89,5,0)</f>
        <v>-4.1677594708744434E-14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357.57626046668958</v>
      </c>
      <c r="EP148" s="62">
        <f t="shared" si="154"/>
        <v>386.90439522046199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68.914849174080373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1.1368683772161603E-13</v>
      </c>
      <c r="FF148" s="18">
        <f>FE148*VLOOKUP('Données projet'!$B$16,Paramètres!$A$1:$I$89,3,0)*VLOOKUP('Données projet'!$B$16,Paramètres!$A$1:$I$89,5,0)</f>
        <v>8.8675733422860506E-14</v>
      </c>
      <c r="FG148" s="14">
        <f t="shared" si="155"/>
        <v>1.3509285393066301E-12</v>
      </c>
      <c r="FH148" s="22">
        <f t="shared" si="130"/>
        <v>2.5073107750038623E-12</v>
      </c>
      <c r="FI148" s="62">
        <f t="shared" si="131"/>
        <v>289.35444697163052</v>
      </c>
      <c r="FJ148" s="62">
        <f ca="1">AVERAGE(OFFSET($FI$3,0,0,'Données projet'!$E$16+1,1))-AVERAGE(OFFSET($H$3,0,0,'Données projet'!$E$16+1,1))</f>
        <v>303.56663121833833</v>
      </c>
      <c r="FK148" s="62">
        <f t="shared" si="156"/>
        <v>293.97736357938038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68.914849174080373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-5.6843418860808015E-14</v>
      </c>
      <c r="GA148" s="18">
        <f>FZ148*VLOOKUP('Données projet'!$B$17,Paramètres!$A$1:$I$89,3,0)*VLOOKUP('Données projet'!$B$17,Paramètres!$A$1:$I$89,5,0)</f>
        <v>-4.5224624045658861E-14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383.71724511025587</v>
      </c>
      <c r="GF148" s="62">
        <f t="shared" si="158"/>
        <v>415.10774719533185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68.914849174080373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1.7053025658242404E-13</v>
      </c>
      <c r="GV148" s="18">
        <f>GU148*VLOOKUP('Données projet'!$B$18,Paramètres!$A$1:$I$89,3,0)*VLOOKUP('Données projet'!$B$18,Paramètres!$A$1:$I$89,5,0)</f>
        <v>1.1439169611549005E-13</v>
      </c>
      <c r="GW148" s="14">
        <f t="shared" si="159"/>
        <v>1.6918016515029816E-12</v>
      </c>
      <c r="GX148" s="22">
        <f t="shared" si="136"/>
        <v>3.1457867471021712E-12</v>
      </c>
      <c r="GY148" s="62">
        <f t="shared" si="137"/>
        <v>289.35444697163115</v>
      </c>
      <c r="GZ148" s="62">
        <f ca="1">AVERAGE(OFFSET($GY$3,0,0,'Données projet'!$E$18+1,1))-AVERAGE(OFFSET($H$3,0,0,'Données projet'!$E$18+1,1))</f>
        <v>329.93956600482801</v>
      </c>
      <c r="HA148" s="62">
        <f t="shared" si="160"/>
        <v>268.69186630599165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2.7450000000000001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10.065</v>
      </c>
      <c r="H149" s="70">
        <f t="shared" si="110"/>
        <v>216.40666666666667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68.933674114876283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3.5</v>
      </c>
      <c r="N149" s="14">
        <f>IF('Données projet'!$A$36&gt;35,N148+M149-V148,IF(A149&lt;'Données projet'!$A$36,$K$205^A149,IF(A149='Données projet'!$A$36,'Données projet'!$B$36,N148+M149-V148)))</f>
        <v>361.99999999999989</v>
      </c>
      <c r="O149" s="14">
        <f>N149*VLOOKUP('Données projet'!$B$9,Paramètres!$A$1:$I$89,3,0)*VLOOKUP('Données projet'!$B$9,Paramètres!$A$1:$I$89,5,0)</f>
        <v>327.53759999999988</v>
      </c>
      <c r="P149" s="14">
        <f t="shared" si="141"/>
        <v>76.919566502794808</v>
      </c>
      <c r="Q149" s="22">
        <f t="shared" si="108"/>
        <v>704.42956499236743</v>
      </c>
      <c r="R149" s="62">
        <f t="shared" si="109"/>
        <v>993.85303674691386</v>
      </c>
      <c r="S149" s="62">
        <f ca="1">AVERAGE(OFFSET($R$3,0,0,'Données projet'!$E$9+1,1))-AVERAGE(OFFSET($H$3,0,0,'Données projet'!$E$9+1,1))</f>
        <v>551.67307965706379</v>
      </c>
      <c r="T149" s="62">
        <f t="shared" si="142"/>
        <v>288.70738860523943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68.933674114876283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3.5</v>
      </c>
      <c r="AI149" s="14">
        <f>IF('Données projet'!$A$62&gt;35,AI148+AH149-AQ148,IF(A149&lt;'Données projet'!$A$62,$AF$205^A149,IF(A149='Données projet'!$A$62,'Données projet'!$B$62,AI148+AH149-AQ148)))</f>
        <v>361.99999999999989</v>
      </c>
      <c r="AJ149" s="14">
        <f>AI149*VLOOKUP('Données projet'!$B$10,Paramètres!$A$1:$I$89,3,0)*VLOOKUP('Données projet'!$B$10,Paramètres!$A$1:$I$89,5,0)</f>
        <v>304.94879999999995</v>
      </c>
      <c r="AK149" s="14">
        <f t="shared" si="143"/>
        <v>72.212932072769945</v>
      </c>
      <c r="AL149" s="22">
        <f t="shared" si="112"/>
        <v>656.89001669340757</v>
      </c>
      <c r="AM149" s="62">
        <f t="shared" si="113"/>
        <v>946.31348844795389</v>
      </c>
      <c r="AN149" s="62">
        <f ca="1">AVERAGE(OFFSET($AM$3,0,0,'Données projet'!$E$10+1,1))-AVERAGE(OFFSET($H$3,0,0,'Données projet'!$E$10+1,1))</f>
        <v>518.18933270904506</v>
      </c>
      <c r="AO149" s="62">
        <f t="shared" si="144"/>
        <v>272.44431899810411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68.933674114876283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-9.7543306765146564E-14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464.73160475167867</v>
      </c>
      <c r="BJ149" s="62">
        <f t="shared" si="146"/>
        <v>241.31968359962227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68.933674114876283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2.2737367544323206E-13</v>
      </c>
      <c r="BZ149" s="14">
        <f>BY149*VLOOKUP('Données projet'!$B$12,Paramètres!$A$1:$I$89,3,0)*VLOOKUP('Données projet'!$B$12,Paramètres!$A$1:$I$89,5,0)</f>
        <v>1.4897523215040565E-13</v>
      </c>
      <c r="CA149" s="14">
        <f t="shared" si="147"/>
        <v>2.136562777003313E-12</v>
      </c>
      <c r="CB149" s="22">
        <f t="shared" si="118"/>
        <v>3.9806453659427267E-12</v>
      </c>
      <c r="CC149" s="62">
        <f t="shared" si="119"/>
        <v>289.42347175455035</v>
      </c>
      <c r="CD149" s="62">
        <f ca="1">AVERAGE(OFFSET($CC$3,0,0,'Données projet'!$E$12+1,1))-AVERAGE(OFFSET($H$3,0,0,'Données projet'!$E$12+1,1))</f>
        <v>292.13851489852607</v>
      </c>
      <c r="CE149" s="62">
        <f t="shared" si="148"/>
        <v>280.10866188737418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68.933674114876283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-1.1368683772161603E-13</v>
      </c>
      <c r="CU149" s="18">
        <f>CT149*VLOOKUP('Données projet'!$B$13,Paramètres!$A$1:$I$89,3,0)*VLOOKUP('Données projet'!$B$13,Paramètres!$A$1:$I$89,5,0)</f>
        <v>-9.2222762759774927E-14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265.25572936607409</v>
      </c>
      <c r="CZ149" s="62">
        <f t="shared" si="150"/>
        <v>307.96244316129071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68.933674114876283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5.6843418860808015E-14</v>
      </c>
      <c r="DP149" s="18">
        <f>DO149*VLOOKUP('Données projet'!$B$14,Paramètres!$A$1:$I$89,3,0)*VLOOKUP('Données projet'!$B$14,Paramètres!$A$1:$I$89,5,0)</f>
        <v>5.4092197387944907E-14</v>
      </c>
      <c r="DQ149" s="14">
        <f t="shared" si="151"/>
        <v>8.7287050538073676E-13</v>
      </c>
      <c r="DR149" s="22">
        <f t="shared" si="124"/>
        <v>1.6144600406554537E-12</v>
      </c>
      <c r="DS149" s="62">
        <f t="shared" si="125"/>
        <v>289.42347175454796</v>
      </c>
      <c r="DT149" s="62">
        <f ca="1">AVERAGE(OFFSET($DS$3,0,0,'Données projet'!$E$14+1,1))-AVERAGE(OFFSET($H$3,0,0,'Données projet'!$E$14+1,1))</f>
        <v>425.41154182732936</v>
      </c>
      <c r="DU149" s="62">
        <f t="shared" si="152"/>
        <v>306.44721925744591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68.933674114876283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-5.6843418860808015E-14</v>
      </c>
      <c r="EK149" s="18">
        <f>EJ149*VLOOKUP('Données projet'!$B$15,Paramètres!$A$1:$I$89,3,0)*VLOOKUP('Données projet'!$B$15,Paramètres!$A$1:$I$89,5,0)</f>
        <v>-4.1677594708744434E-14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357.57626046668958</v>
      </c>
      <c r="EP149" s="62">
        <f t="shared" si="154"/>
        <v>386.90439522046199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68.933674114876283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1.1368683772161603E-13</v>
      </c>
      <c r="FF149" s="18">
        <f>FE149*VLOOKUP('Données projet'!$B$16,Paramètres!$A$1:$I$89,3,0)*VLOOKUP('Données projet'!$B$16,Paramètres!$A$1:$I$89,5,0)</f>
        <v>8.8675733422860506E-14</v>
      </c>
      <c r="FG149" s="14">
        <f t="shared" si="155"/>
        <v>1.3509285393066301E-12</v>
      </c>
      <c r="FH149" s="22">
        <f t="shared" si="130"/>
        <v>2.5073107750038623E-12</v>
      </c>
      <c r="FI149" s="62">
        <f t="shared" si="131"/>
        <v>289.42347175454887</v>
      </c>
      <c r="FJ149" s="62">
        <f ca="1">AVERAGE(OFFSET($FI$3,0,0,'Données projet'!$E$16+1,1))-AVERAGE(OFFSET($H$3,0,0,'Données projet'!$E$16+1,1))</f>
        <v>303.56663121833833</v>
      </c>
      <c r="FK149" s="62">
        <f t="shared" si="156"/>
        <v>293.97736357938038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68.933674114876283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-5.6843418860808015E-14</v>
      </c>
      <c r="GA149" s="18">
        <f>FZ149*VLOOKUP('Données projet'!$B$17,Paramètres!$A$1:$I$89,3,0)*VLOOKUP('Données projet'!$B$17,Paramètres!$A$1:$I$89,5,0)</f>
        <v>-4.5224624045658861E-14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383.71724511025587</v>
      </c>
      <c r="GF149" s="62">
        <f t="shared" si="158"/>
        <v>415.10774719533185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68.933674114876283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1.7053025658242404E-13</v>
      </c>
      <c r="GV149" s="18">
        <f>GU149*VLOOKUP('Données projet'!$B$18,Paramètres!$A$1:$I$89,3,0)*VLOOKUP('Données projet'!$B$18,Paramètres!$A$1:$I$89,5,0)</f>
        <v>1.1439169611549005E-13</v>
      </c>
      <c r="GW149" s="14">
        <f t="shared" si="159"/>
        <v>1.6918016515029816E-12</v>
      </c>
      <c r="GX149" s="22">
        <f t="shared" si="136"/>
        <v>3.1457867471021712E-12</v>
      </c>
      <c r="GY149" s="62">
        <f t="shared" si="137"/>
        <v>289.4234717545495</v>
      </c>
      <c r="GZ149" s="62">
        <f ca="1">AVERAGE(OFFSET($GY$3,0,0,'Données projet'!$E$18+1,1))-AVERAGE(OFFSET($H$3,0,0,'Données projet'!$E$18+1,1))</f>
        <v>329.93956600482801</v>
      </c>
      <c r="HA149" s="62">
        <f t="shared" si="160"/>
        <v>268.69186630599165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2.7450000000000001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10.065</v>
      </c>
      <c r="H150" s="70">
        <f t="shared" si="110"/>
        <v>216.40666666666667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68.952172485035632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3.5</v>
      </c>
      <c r="N150" s="14">
        <f>IF('Données projet'!$A$36&gt;35,N149+M150-V149,IF(A150&lt;'Données projet'!$A$36,$K$205^A150,IF(A150='Données projet'!$A$36,'Données projet'!$B$36,N149+M150-V149)))</f>
        <v>365.49999999999989</v>
      </c>
      <c r="O150" s="14">
        <f>N150*VLOOKUP('Données projet'!$B$9,Paramètres!$A$1:$I$89,3,0)*VLOOKUP('Données projet'!$B$9,Paramètres!$A$1:$I$89,5,0)</f>
        <v>330.70439999999991</v>
      </c>
      <c r="P150" s="14">
        <f t="shared" si="141"/>
        <v>77.576329135205029</v>
      </c>
      <c r="Q150" s="22">
        <f t="shared" si="108"/>
        <v>711.08893657714862</v>
      </c>
      <c r="R150" s="62">
        <f t="shared" si="109"/>
        <v>1000.580235688946</v>
      </c>
      <c r="S150" s="62">
        <f ca="1">AVERAGE(OFFSET($R$3,0,0,'Données projet'!$E$9+1,1))-AVERAGE(OFFSET($H$3,0,0,'Données projet'!$E$9+1,1))</f>
        <v>551.67307965706379</v>
      </c>
      <c r="T150" s="62">
        <f t="shared" si="142"/>
        <v>288.70738860523943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68.952172485035632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3.5</v>
      </c>
      <c r="AI150" s="14">
        <f>IF('Données projet'!$A$62&gt;35,AI149+AH150-AQ149,IF(A150&lt;'Données projet'!$A$62,$AF$205^A150,IF(A150='Données projet'!$A$62,'Données projet'!$B$62,AI149+AH150-AQ149)))</f>
        <v>365.49999999999989</v>
      </c>
      <c r="AJ150" s="14">
        <f>AI150*VLOOKUP('Données projet'!$B$10,Paramètres!$A$1:$I$89,3,0)*VLOOKUP('Données projet'!$B$10,Paramètres!$A$1:$I$89,5,0)</f>
        <v>307.89719999999994</v>
      </c>
      <c r="AK150" s="14">
        <f t="shared" si="143"/>
        <v>72.829508030207904</v>
      </c>
      <c r="AL150" s="22">
        <f t="shared" si="112"/>
        <v>663.0990164859453</v>
      </c>
      <c r="AM150" s="62">
        <f t="shared" si="113"/>
        <v>952.59031559774257</v>
      </c>
      <c r="AN150" s="62">
        <f ca="1">AVERAGE(OFFSET($AM$3,0,0,'Données projet'!$E$10+1,1))-AVERAGE(OFFSET($H$3,0,0,'Données projet'!$E$10+1,1))</f>
        <v>518.18933270904506</v>
      </c>
      <c r="AO150" s="62">
        <f t="shared" si="144"/>
        <v>272.44431899810411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68.952172485035632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-9.7543306765146564E-14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464.73160475167867</v>
      </c>
      <c r="BJ150" s="62">
        <f t="shared" si="146"/>
        <v>241.31968359962227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68.952172485035632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2.2737367544323206E-13</v>
      </c>
      <c r="BZ150" s="14">
        <f>BY150*VLOOKUP('Données projet'!$B$12,Paramètres!$A$1:$I$89,3,0)*VLOOKUP('Données projet'!$B$12,Paramètres!$A$1:$I$89,5,0)</f>
        <v>1.4897523215040565E-13</v>
      </c>
      <c r="CA150" s="14">
        <f t="shared" si="147"/>
        <v>2.136562777003313E-12</v>
      </c>
      <c r="CB150" s="22">
        <f t="shared" si="118"/>
        <v>3.9806453659427267E-12</v>
      </c>
      <c r="CC150" s="62">
        <f t="shared" si="119"/>
        <v>289.49129911180131</v>
      </c>
      <c r="CD150" s="62">
        <f ca="1">AVERAGE(OFFSET($CC$3,0,0,'Données projet'!$E$12+1,1))-AVERAGE(OFFSET($H$3,0,0,'Données projet'!$E$12+1,1))</f>
        <v>292.13851489852607</v>
      </c>
      <c r="CE150" s="62">
        <f t="shared" si="148"/>
        <v>280.10866188737418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68.952172485035632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-1.1368683772161603E-13</v>
      </c>
      <c r="CU150" s="18">
        <f>CT150*VLOOKUP('Données projet'!$B$13,Paramètres!$A$1:$I$89,3,0)*VLOOKUP('Données projet'!$B$13,Paramètres!$A$1:$I$89,5,0)</f>
        <v>-9.2222762759774927E-14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265.25572936607409</v>
      </c>
      <c r="CZ150" s="62">
        <f t="shared" si="150"/>
        <v>307.96244316129071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68.952172485035632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5.6843418860808015E-14</v>
      </c>
      <c r="DP150" s="18">
        <f>DO150*VLOOKUP('Données projet'!$B$14,Paramètres!$A$1:$I$89,3,0)*VLOOKUP('Données projet'!$B$14,Paramètres!$A$1:$I$89,5,0)</f>
        <v>5.4092197387944907E-14</v>
      </c>
      <c r="DQ150" s="14">
        <f t="shared" si="151"/>
        <v>8.7287050538073676E-13</v>
      </c>
      <c r="DR150" s="22">
        <f t="shared" si="124"/>
        <v>1.6144600406554537E-12</v>
      </c>
      <c r="DS150" s="62">
        <f t="shared" si="125"/>
        <v>289.49129911179892</v>
      </c>
      <c r="DT150" s="62">
        <f ca="1">AVERAGE(OFFSET($DS$3,0,0,'Données projet'!$E$14+1,1))-AVERAGE(OFFSET($H$3,0,0,'Données projet'!$E$14+1,1))</f>
        <v>425.41154182732936</v>
      </c>
      <c r="DU150" s="62">
        <f t="shared" si="152"/>
        <v>306.44721925744591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68.952172485035632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-5.6843418860808015E-14</v>
      </c>
      <c r="EK150" s="18">
        <f>EJ150*VLOOKUP('Données projet'!$B$15,Paramètres!$A$1:$I$89,3,0)*VLOOKUP('Données projet'!$B$15,Paramètres!$A$1:$I$89,5,0)</f>
        <v>-4.1677594708744434E-14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357.57626046668958</v>
      </c>
      <c r="EP150" s="62">
        <f t="shared" si="154"/>
        <v>386.90439522046199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68.952172485035632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1.1368683772161603E-13</v>
      </c>
      <c r="FF150" s="18">
        <f>FE150*VLOOKUP('Données projet'!$B$16,Paramètres!$A$1:$I$89,3,0)*VLOOKUP('Données projet'!$B$16,Paramètres!$A$1:$I$89,5,0)</f>
        <v>8.8675733422860506E-14</v>
      </c>
      <c r="FG150" s="14">
        <f t="shared" si="155"/>
        <v>1.3509285393066301E-12</v>
      </c>
      <c r="FH150" s="22">
        <f t="shared" si="130"/>
        <v>2.5073107750038623E-12</v>
      </c>
      <c r="FI150" s="62">
        <f t="shared" si="131"/>
        <v>289.49129911179983</v>
      </c>
      <c r="FJ150" s="62">
        <f ca="1">AVERAGE(OFFSET($FI$3,0,0,'Données projet'!$E$16+1,1))-AVERAGE(OFFSET($H$3,0,0,'Données projet'!$E$16+1,1))</f>
        <v>303.56663121833833</v>
      </c>
      <c r="FK150" s="62">
        <f t="shared" si="156"/>
        <v>293.97736357938038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68.952172485035632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-5.6843418860808015E-14</v>
      </c>
      <c r="GA150" s="18">
        <f>FZ150*VLOOKUP('Données projet'!$B$17,Paramètres!$A$1:$I$89,3,0)*VLOOKUP('Données projet'!$B$17,Paramètres!$A$1:$I$89,5,0)</f>
        <v>-4.5224624045658861E-14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383.71724511025587</v>
      </c>
      <c r="GF150" s="62">
        <f t="shared" si="158"/>
        <v>415.10774719533185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68.952172485035632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1.7053025658242404E-13</v>
      </c>
      <c r="GV150" s="18">
        <f>GU150*VLOOKUP('Données projet'!$B$18,Paramètres!$A$1:$I$89,3,0)*VLOOKUP('Données projet'!$B$18,Paramètres!$A$1:$I$89,5,0)</f>
        <v>1.1439169611549005E-13</v>
      </c>
      <c r="GW150" s="14">
        <f t="shared" si="159"/>
        <v>1.6918016515029816E-12</v>
      </c>
      <c r="GX150" s="22">
        <f t="shared" si="136"/>
        <v>3.1457867471021712E-12</v>
      </c>
      <c r="GY150" s="62">
        <f t="shared" si="137"/>
        <v>289.49129911180046</v>
      </c>
      <c r="GZ150" s="62">
        <f ca="1">AVERAGE(OFFSET($GY$3,0,0,'Données projet'!$E$18+1,1))-AVERAGE(OFFSET($H$3,0,0,'Données projet'!$E$18+1,1))</f>
        <v>329.93956600482801</v>
      </c>
      <c r="HA150" s="62">
        <f t="shared" si="160"/>
        <v>268.69186630599165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2.7450000000000001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10.065</v>
      </c>
      <c r="H151" s="70">
        <f t="shared" si="110"/>
        <v>216.40666666666667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68.970349949828886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3.5</v>
      </c>
      <c r="N151" s="14">
        <f>IF('Données projet'!$A$36&gt;35,N150+M151-V150,IF(A151&lt;'Données projet'!$A$36,$K$205^A151,IF(A151='Données projet'!$A$36,'Données projet'!$B$36,N150+M151-V150)))</f>
        <v>368.99999999999989</v>
      </c>
      <c r="O151" s="14">
        <f>N151*VLOOKUP('Données projet'!$B$9,Paramètres!$A$1:$I$89,3,0)*VLOOKUP('Données projet'!$B$9,Paramètres!$A$1:$I$89,5,0)</f>
        <v>333.87119999999987</v>
      </c>
      <c r="P151" s="14">
        <f t="shared" si="141"/>
        <v>78.232360111376309</v>
      </c>
      <c r="Q151" s="22">
        <f t="shared" si="108"/>
        <v>717.74703386064687</v>
      </c>
      <c r="R151" s="62">
        <f t="shared" si="109"/>
        <v>1007.3049836766861</v>
      </c>
      <c r="S151" s="62">
        <f ca="1">AVERAGE(OFFSET($R$3,0,0,'Données projet'!$E$9+1,1))-AVERAGE(OFFSET($H$3,0,0,'Données projet'!$E$9+1,1))</f>
        <v>551.67307965706379</v>
      </c>
      <c r="T151" s="62">
        <f t="shared" si="142"/>
        <v>288.70738860523943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68.970349949828886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3.5</v>
      </c>
      <c r="AI151" s="14">
        <f>IF('Données projet'!$A$62&gt;35,AI150+AH151-AQ150,IF(A151&lt;'Données projet'!$A$62,$AF$205^A151,IF(A151='Données projet'!$A$62,'Données projet'!$B$62,AI150+AH151-AQ150)))</f>
        <v>368.99999999999989</v>
      </c>
      <c r="AJ151" s="14">
        <f>AI151*VLOOKUP('Données projet'!$B$10,Paramètres!$A$1:$I$89,3,0)*VLOOKUP('Données projet'!$B$10,Paramètres!$A$1:$I$89,5,0)</f>
        <v>310.84559999999993</v>
      </c>
      <c r="AK151" s="14">
        <f t="shared" si="143"/>
        <v>73.445397100749773</v>
      </c>
      <c r="AL151" s="22">
        <f t="shared" si="112"/>
        <v>669.30681995047235</v>
      </c>
      <c r="AM151" s="62">
        <f t="shared" si="113"/>
        <v>958.86476976651159</v>
      </c>
      <c r="AN151" s="62">
        <f ca="1">AVERAGE(OFFSET($AM$3,0,0,'Données projet'!$E$10+1,1))-AVERAGE(OFFSET($H$3,0,0,'Données projet'!$E$10+1,1))</f>
        <v>518.18933270904506</v>
      </c>
      <c r="AO151" s="62">
        <f t="shared" si="144"/>
        <v>272.44431899810411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68.970349949828886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-9.7543306765146564E-14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464.73160475167867</v>
      </c>
      <c r="BJ151" s="62">
        <f t="shared" si="146"/>
        <v>241.31968359962227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68.970349949828886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2.2737367544323206E-13</v>
      </c>
      <c r="BZ151" s="14">
        <f>BY151*VLOOKUP('Données projet'!$B$12,Paramètres!$A$1:$I$89,3,0)*VLOOKUP('Données projet'!$B$12,Paramètres!$A$1:$I$89,5,0)</f>
        <v>1.4897523215040565E-13</v>
      </c>
      <c r="CA151" s="14">
        <f t="shared" si="147"/>
        <v>2.136562777003313E-12</v>
      </c>
      <c r="CB151" s="22">
        <f t="shared" si="118"/>
        <v>3.9806453659427267E-12</v>
      </c>
      <c r="CC151" s="62">
        <f t="shared" si="119"/>
        <v>289.55794981604322</v>
      </c>
      <c r="CD151" s="62">
        <f ca="1">AVERAGE(OFFSET($CC$3,0,0,'Données projet'!$E$12+1,1))-AVERAGE(OFFSET($H$3,0,0,'Données projet'!$E$12+1,1))</f>
        <v>292.13851489852607</v>
      </c>
      <c r="CE151" s="62">
        <f t="shared" si="148"/>
        <v>280.10866188737418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68.970349949828886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-1.1368683772161603E-13</v>
      </c>
      <c r="CU151" s="18">
        <f>CT151*VLOOKUP('Données projet'!$B$13,Paramètres!$A$1:$I$89,3,0)*VLOOKUP('Données projet'!$B$13,Paramètres!$A$1:$I$89,5,0)</f>
        <v>-9.2222762759774927E-14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265.25572936607409</v>
      </c>
      <c r="CZ151" s="62">
        <f t="shared" si="150"/>
        <v>307.96244316129071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68.970349949828886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5.6843418860808015E-14</v>
      </c>
      <c r="DP151" s="18">
        <f>DO151*VLOOKUP('Données projet'!$B$14,Paramètres!$A$1:$I$89,3,0)*VLOOKUP('Données projet'!$B$14,Paramètres!$A$1:$I$89,5,0)</f>
        <v>5.4092197387944907E-14</v>
      </c>
      <c r="DQ151" s="14">
        <f t="shared" si="151"/>
        <v>8.7287050538073676E-13</v>
      </c>
      <c r="DR151" s="22">
        <f t="shared" si="124"/>
        <v>1.6144600406554537E-12</v>
      </c>
      <c r="DS151" s="62">
        <f t="shared" si="125"/>
        <v>289.55794981604083</v>
      </c>
      <c r="DT151" s="62">
        <f ca="1">AVERAGE(OFFSET($DS$3,0,0,'Données projet'!$E$14+1,1))-AVERAGE(OFFSET($H$3,0,0,'Données projet'!$E$14+1,1))</f>
        <v>425.41154182732936</v>
      </c>
      <c r="DU151" s="62">
        <f t="shared" si="152"/>
        <v>306.44721925744591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68.970349949828886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-5.6843418860808015E-14</v>
      </c>
      <c r="EK151" s="18">
        <f>EJ151*VLOOKUP('Données projet'!$B$15,Paramètres!$A$1:$I$89,3,0)*VLOOKUP('Données projet'!$B$15,Paramètres!$A$1:$I$89,5,0)</f>
        <v>-4.1677594708744434E-14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357.57626046668958</v>
      </c>
      <c r="EP151" s="62">
        <f t="shared" si="154"/>
        <v>386.90439522046199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68.970349949828886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1.1368683772161603E-13</v>
      </c>
      <c r="FF151" s="18">
        <f>FE151*VLOOKUP('Données projet'!$B$16,Paramètres!$A$1:$I$89,3,0)*VLOOKUP('Données projet'!$B$16,Paramètres!$A$1:$I$89,5,0)</f>
        <v>8.8675733422860506E-14</v>
      </c>
      <c r="FG151" s="14">
        <f t="shared" si="155"/>
        <v>1.3509285393066301E-12</v>
      </c>
      <c r="FH151" s="22">
        <f t="shared" si="130"/>
        <v>2.5073107750038623E-12</v>
      </c>
      <c r="FI151" s="62">
        <f t="shared" si="131"/>
        <v>289.55794981604174</v>
      </c>
      <c r="FJ151" s="62">
        <f ca="1">AVERAGE(OFFSET($FI$3,0,0,'Données projet'!$E$16+1,1))-AVERAGE(OFFSET($H$3,0,0,'Données projet'!$E$16+1,1))</f>
        <v>303.56663121833833</v>
      </c>
      <c r="FK151" s="62">
        <f t="shared" si="156"/>
        <v>293.97736357938038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68.970349949828886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-5.6843418860808015E-14</v>
      </c>
      <c r="GA151" s="18">
        <f>FZ151*VLOOKUP('Données projet'!$B$17,Paramètres!$A$1:$I$89,3,0)*VLOOKUP('Données projet'!$B$17,Paramètres!$A$1:$I$89,5,0)</f>
        <v>-4.5224624045658861E-14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383.71724511025587</v>
      </c>
      <c r="GF151" s="62">
        <f t="shared" si="158"/>
        <v>415.10774719533185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68.970349949828886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1.7053025658242404E-13</v>
      </c>
      <c r="GV151" s="18">
        <f>GU151*VLOOKUP('Données projet'!$B$18,Paramètres!$A$1:$I$89,3,0)*VLOOKUP('Données projet'!$B$18,Paramètres!$A$1:$I$89,5,0)</f>
        <v>1.1439169611549005E-13</v>
      </c>
      <c r="GW151" s="14">
        <f t="shared" si="159"/>
        <v>1.6918016515029816E-12</v>
      </c>
      <c r="GX151" s="22">
        <f t="shared" si="136"/>
        <v>3.1457867471021712E-12</v>
      </c>
      <c r="GY151" s="62">
        <f t="shared" si="137"/>
        <v>289.55794981604237</v>
      </c>
      <c r="GZ151" s="62">
        <f ca="1">AVERAGE(OFFSET($GY$3,0,0,'Données projet'!$E$18+1,1))-AVERAGE(OFFSET($H$3,0,0,'Données projet'!$E$18+1,1))</f>
        <v>329.93956600482801</v>
      </c>
      <c r="HA151" s="62">
        <f t="shared" si="160"/>
        <v>268.69186630599165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2.7450000000000001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10.065</v>
      </c>
      <c r="H152" s="70">
        <f t="shared" si="110"/>
        <v>216.40666666666667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68.988212076246697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3.5</v>
      </c>
      <c r="N152" s="14">
        <f>IF('Données projet'!$A$36&gt;35,N151+M152-V151,IF(A152&lt;'Données projet'!$A$36,$K$205^A152,IF(A152='Données projet'!$A$36,'Données projet'!$B$36,N151+M152-V151)))</f>
        <v>372.49999999999989</v>
      </c>
      <c r="O152" s="14">
        <f>N152*VLOOKUP('Données projet'!$B$9,Paramètres!$A$1:$I$89,3,0)*VLOOKUP('Données projet'!$B$9,Paramètres!$A$1:$I$89,5,0)</f>
        <v>337.0379999999999</v>
      </c>
      <c r="P152" s="14">
        <f t="shared" si="141"/>
        <v>78.887667174891362</v>
      </c>
      <c r="Q152" s="22">
        <f t="shared" si="108"/>
        <v>724.40387032960223</v>
      </c>
      <c r="R152" s="62">
        <f t="shared" si="109"/>
        <v>1014.0273146091735</v>
      </c>
      <c r="S152" s="62">
        <f ca="1">AVERAGE(OFFSET($R$3,0,0,'Données projet'!$E$9+1,1))-AVERAGE(OFFSET($H$3,0,0,'Données projet'!$E$9+1,1))</f>
        <v>551.67307965706379</v>
      </c>
      <c r="T152" s="62">
        <f t="shared" si="142"/>
        <v>288.70738860523943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68.988212076246697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3.5</v>
      </c>
      <c r="AI152" s="14">
        <f>IF('Données projet'!$A$62&gt;35,AI151+AH152-AQ151,IF(A152&lt;'Données projet'!$A$62,$AF$205^A152,IF(A152='Données projet'!$A$62,'Données projet'!$B$62,AI151+AH152-AQ151)))</f>
        <v>372.49999999999989</v>
      </c>
      <c r="AJ152" s="14">
        <f>AI152*VLOOKUP('Données projet'!$B$10,Paramètres!$A$1:$I$89,3,0)*VLOOKUP('Données projet'!$B$10,Paramètres!$A$1:$I$89,5,0)</f>
        <v>313.79399999999993</v>
      </c>
      <c r="AK152" s="14">
        <f t="shared" si="143"/>
        <v>74.060606554155882</v>
      </c>
      <c r="AL152" s="22">
        <f t="shared" si="112"/>
        <v>675.51343974848794</v>
      </c>
      <c r="AM152" s="62">
        <f t="shared" si="113"/>
        <v>965.13688402805917</v>
      </c>
      <c r="AN152" s="62">
        <f ca="1">AVERAGE(OFFSET($AM$3,0,0,'Données projet'!$E$10+1,1))-AVERAGE(OFFSET($H$3,0,0,'Données projet'!$E$10+1,1))</f>
        <v>518.18933270904506</v>
      </c>
      <c r="AO152" s="62">
        <f t="shared" si="144"/>
        <v>272.44431899810411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68.988212076246697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-9.7543306765146564E-14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464.73160475167867</v>
      </c>
      <c r="BJ152" s="62">
        <f t="shared" si="146"/>
        <v>241.31968359962227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68.988212076246697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2.2737367544323206E-13</v>
      </c>
      <c r="BZ152" s="14">
        <f>BY152*VLOOKUP('Données projet'!$B$12,Paramètres!$A$1:$I$89,3,0)*VLOOKUP('Données projet'!$B$12,Paramètres!$A$1:$I$89,5,0)</f>
        <v>1.4897523215040565E-13</v>
      </c>
      <c r="CA152" s="14">
        <f t="shared" si="147"/>
        <v>2.136562777003313E-12</v>
      </c>
      <c r="CB152" s="22">
        <f t="shared" si="118"/>
        <v>3.9806453659427267E-12</v>
      </c>
      <c r="CC152" s="62">
        <f t="shared" si="119"/>
        <v>289.62344427957521</v>
      </c>
      <c r="CD152" s="62">
        <f ca="1">AVERAGE(OFFSET($CC$3,0,0,'Données projet'!$E$12+1,1))-AVERAGE(OFFSET($H$3,0,0,'Données projet'!$E$12+1,1))</f>
        <v>292.13851489852607</v>
      </c>
      <c r="CE152" s="62">
        <f t="shared" si="148"/>
        <v>280.10866188737418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68.988212076246697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-1.1368683772161603E-13</v>
      </c>
      <c r="CU152" s="18">
        <f>CT152*VLOOKUP('Données projet'!$B$13,Paramètres!$A$1:$I$89,3,0)*VLOOKUP('Données projet'!$B$13,Paramètres!$A$1:$I$89,5,0)</f>
        <v>-9.2222762759774927E-14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265.25572936607409</v>
      </c>
      <c r="CZ152" s="62">
        <f t="shared" si="150"/>
        <v>307.96244316129071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68.988212076246697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5.6843418860808015E-14</v>
      </c>
      <c r="DP152" s="18">
        <f>DO152*VLOOKUP('Données projet'!$B$14,Paramètres!$A$1:$I$89,3,0)*VLOOKUP('Données projet'!$B$14,Paramètres!$A$1:$I$89,5,0)</f>
        <v>5.4092197387944907E-14</v>
      </c>
      <c r="DQ152" s="14">
        <f t="shared" si="151"/>
        <v>8.7287050538073676E-13</v>
      </c>
      <c r="DR152" s="22">
        <f t="shared" si="124"/>
        <v>1.6144600406554537E-12</v>
      </c>
      <c r="DS152" s="62">
        <f t="shared" si="125"/>
        <v>289.62344427957282</v>
      </c>
      <c r="DT152" s="62">
        <f ca="1">AVERAGE(OFFSET($DS$3,0,0,'Données projet'!$E$14+1,1))-AVERAGE(OFFSET($H$3,0,0,'Données projet'!$E$14+1,1))</f>
        <v>425.41154182732936</v>
      </c>
      <c r="DU152" s="62">
        <f t="shared" si="152"/>
        <v>306.44721925744591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68.988212076246697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-5.6843418860808015E-14</v>
      </c>
      <c r="EK152" s="18">
        <f>EJ152*VLOOKUP('Données projet'!$B$15,Paramètres!$A$1:$I$89,3,0)*VLOOKUP('Données projet'!$B$15,Paramètres!$A$1:$I$89,5,0)</f>
        <v>-4.1677594708744434E-14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357.57626046668958</v>
      </c>
      <c r="EP152" s="62">
        <f t="shared" si="154"/>
        <v>386.90439522046199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68.988212076246697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1.1368683772161603E-13</v>
      </c>
      <c r="FF152" s="18">
        <f>FE152*VLOOKUP('Données projet'!$B$16,Paramètres!$A$1:$I$89,3,0)*VLOOKUP('Données projet'!$B$16,Paramètres!$A$1:$I$89,5,0)</f>
        <v>8.8675733422860506E-14</v>
      </c>
      <c r="FG152" s="14">
        <f t="shared" si="155"/>
        <v>1.3509285393066301E-12</v>
      </c>
      <c r="FH152" s="22">
        <f t="shared" si="130"/>
        <v>2.5073107750038623E-12</v>
      </c>
      <c r="FI152" s="62">
        <f t="shared" si="131"/>
        <v>289.62344427957373</v>
      </c>
      <c r="FJ152" s="62">
        <f ca="1">AVERAGE(OFFSET($FI$3,0,0,'Données projet'!$E$16+1,1))-AVERAGE(OFFSET($H$3,0,0,'Données projet'!$E$16+1,1))</f>
        <v>303.56663121833833</v>
      </c>
      <c r="FK152" s="62">
        <f t="shared" si="156"/>
        <v>293.97736357938038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68.988212076246697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-5.6843418860808015E-14</v>
      </c>
      <c r="GA152" s="18">
        <f>FZ152*VLOOKUP('Données projet'!$B$17,Paramètres!$A$1:$I$89,3,0)*VLOOKUP('Données projet'!$B$17,Paramètres!$A$1:$I$89,5,0)</f>
        <v>-4.5224624045658861E-14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383.71724511025587</v>
      </c>
      <c r="GF152" s="62">
        <f t="shared" si="158"/>
        <v>415.10774719533185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68.988212076246697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1.7053025658242404E-13</v>
      </c>
      <c r="GV152" s="18">
        <f>GU152*VLOOKUP('Données projet'!$B$18,Paramètres!$A$1:$I$89,3,0)*VLOOKUP('Données projet'!$B$18,Paramètres!$A$1:$I$89,5,0)</f>
        <v>1.1439169611549005E-13</v>
      </c>
      <c r="GW152" s="14">
        <f t="shared" si="159"/>
        <v>1.6918016515029816E-12</v>
      </c>
      <c r="GX152" s="22">
        <f t="shared" si="136"/>
        <v>3.1457867471021712E-12</v>
      </c>
      <c r="GY152" s="62">
        <f t="shared" si="137"/>
        <v>289.62344427957436</v>
      </c>
      <c r="GZ152" s="62">
        <f ca="1">AVERAGE(OFFSET($GY$3,0,0,'Données projet'!$E$18+1,1))-AVERAGE(OFFSET($H$3,0,0,'Données projet'!$E$18+1,1))</f>
        <v>329.93956600482801</v>
      </c>
      <c r="HA152" s="62">
        <f t="shared" si="160"/>
        <v>268.69186630599165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2.7450000000000001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10.065</v>
      </c>
      <c r="H153" s="70">
        <f t="shared" si="110"/>
        <v>216.40666666666667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69.005764334704907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376</v>
      </c>
      <c r="L153" s="13">
        <f>VLOOKUP(A153,'Données projet'!$A$35:$I$55,9,0)</f>
        <v>3.5</v>
      </c>
      <c r="M153" s="13">
        <f t="array" ref="M153">INDEX(L:L,MIN(IF(ISNUMBER(L153:L349),ROW(L153:L349),"")))</f>
        <v>3.5</v>
      </c>
      <c r="N153" s="14">
        <f>IF('Données projet'!$A$36&gt;35,N152+M153-V152,IF(A153&lt;'Données projet'!$A$36,$K$205^A153,IF(A153='Données projet'!$A$36,'Données projet'!$B$36,N152+M153-V152)))</f>
        <v>375.99999999999989</v>
      </c>
      <c r="O153" s="14">
        <f>N153*VLOOKUP('Données projet'!$B$9,Paramètres!$A$1:$I$89,3,0)*VLOOKUP('Données projet'!$B$9,Paramètres!$A$1:$I$89,5,0)</f>
        <v>340.20479999999992</v>
      </c>
      <c r="P153" s="14">
        <f t="shared" si="141"/>
        <v>79.542257915424329</v>
      </c>
      <c r="Q153" s="22">
        <f t="shared" si="108"/>
        <v>731.05945920269721</v>
      </c>
      <c r="R153" s="62">
        <f t="shared" si="109"/>
        <v>1020.7472617632818</v>
      </c>
      <c r="S153" s="62">
        <f ca="1">AVERAGE(OFFSET($R$3,0,0,'Données projet'!$E$9+1,1))-AVERAGE(OFFSET($H$3,0,0,'Données projet'!$E$9+1,1))</f>
        <v>551.67307965706379</v>
      </c>
      <c r="T153" s="62">
        <f t="shared" si="142"/>
        <v>288.70738860523943</v>
      </c>
      <c r="U153" s="16">
        <f>IF(ISNA(VLOOKUP(A153,'Données projet'!$A$35:$I$55,3,0)),0,VLOOKUP(A153,'Données projet'!$A$35:$I$55,3,0))</f>
        <v>10</v>
      </c>
      <c r="V153" s="16">
        <f>IF(ISNA(VLOOKUP(A153,'Données projet'!$A$35:$I$55,4,0)),0,VLOOKUP(A153,'Données projet'!$A$35:$I$55,4,0))</f>
        <v>376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69.005764334704907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376</v>
      </c>
      <c r="AG153" s="13">
        <f>VLOOKUP(A153,'Données projet'!$A$61:$I$81,9,0)</f>
        <v>3.5</v>
      </c>
      <c r="AH153" s="13">
        <f t="array" ref="AH153">INDEX(AG:AG,MIN(IF(ISNUMBER(AG153:AG349),ROW(AG153:AG349),"")))</f>
        <v>3.5</v>
      </c>
      <c r="AI153" s="14">
        <f>IF('Données projet'!$A$62&gt;35,AI152+AH153-AQ152,IF(A153&lt;'Données projet'!$A$62,$AF$205^A153,IF(A153='Données projet'!$A$62,'Données projet'!$B$62,AI152+AH153-AQ152)))</f>
        <v>375.99999999999989</v>
      </c>
      <c r="AJ153" s="14">
        <f>AI153*VLOOKUP('Données projet'!$B$10,Paramètres!$A$1:$I$89,3,0)*VLOOKUP('Données projet'!$B$10,Paramètres!$A$1:$I$89,5,0)</f>
        <v>316.74239999999998</v>
      </c>
      <c r="AK153" s="14">
        <f t="shared" si="143"/>
        <v>74.675143515695481</v>
      </c>
      <c r="AL153" s="22">
        <f t="shared" si="112"/>
        <v>681.71888828983617</v>
      </c>
      <c r="AM153" s="62">
        <f t="shared" si="113"/>
        <v>971.40669085042077</v>
      </c>
      <c r="AN153" s="62">
        <f ca="1">AVERAGE(OFFSET($AM$3,0,0,'Données projet'!$E$10+1,1))-AVERAGE(OFFSET($H$3,0,0,'Données projet'!$E$10+1,1))</f>
        <v>518.18933270904506</v>
      </c>
      <c r="AO153" s="62">
        <f t="shared" si="144"/>
        <v>272.44431899810411</v>
      </c>
      <c r="AP153" s="16">
        <f>IF(ISNA(VLOOKUP(A153,'Données projet'!$A$61:$I$81,3,0)),0,VLOOKUP(A153,'Données projet'!$A$61:$I$81,3,0))</f>
        <v>10</v>
      </c>
      <c r="AQ153" s="16">
        <f>IF(ISNA(VLOOKUP(A153,'Données projet'!$A$61:$I$81,4,0)),0,VLOOKUP(A153,'Données projet'!$A$61:$I$81,4,0))</f>
        <v>376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69.005764334704907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-9.7543306765146564E-14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464.73160475167867</v>
      </c>
      <c r="BJ153" s="62">
        <f t="shared" si="146"/>
        <v>241.31968359962227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69.005764334704907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2.2737367544323206E-13</v>
      </c>
      <c r="BZ153" s="14">
        <f>BY153*VLOOKUP('Données projet'!$B$12,Paramètres!$A$1:$I$89,3,0)*VLOOKUP('Données projet'!$B$12,Paramètres!$A$1:$I$89,5,0)</f>
        <v>1.4897523215040565E-13</v>
      </c>
      <c r="CA153" s="14">
        <f t="shared" si="147"/>
        <v>2.136562777003313E-12</v>
      </c>
      <c r="CB153" s="22">
        <f t="shared" si="118"/>
        <v>3.9806453659427267E-12</v>
      </c>
      <c r="CC153" s="62">
        <f t="shared" si="119"/>
        <v>289.68780256058864</v>
      </c>
      <c r="CD153" s="62">
        <f ca="1">AVERAGE(OFFSET($CC$3,0,0,'Données projet'!$E$12+1,1))-AVERAGE(OFFSET($H$3,0,0,'Données projet'!$E$12+1,1))</f>
        <v>292.13851489852607</v>
      </c>
      <c r="CE153" s="62">
        <f t="shared" si="148"/>
        <v>280.10866188737418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69.005764334704907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-1.1368683772161603E-13</v>
      </c>
      <c r="CU153" s="18">
        <f>CT153*VLOOKUP('Données projet'!$B$13,Paramètres!$A$1:$I$89,3,0)*VLOOKUP('Données projet'!$B$13,Paramètres!$A$1:$I$89,5,0)</f>
        <v>-9.2222762759774927E-14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265.25572936607409</v>
      </c>
      <c r="CZ153" s="62">
        <f t="shared" si="150"/>
        <v>307.96244316129071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69.005764334704907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5.6843418860808015E-14</v>
      </c>
      <c r="DP153" s="18">
        <f>DO153*VLOOKUP('Données projet'!$B$14,Paramètres!$A$1:$I$89,3,0)*VLOOKUP('Données projet'!$B$14,Paramètres!$A$1:$I$89,5,0)</f>
        <v>5.4092197387944907E-14</v>
      </c>
      <c r="DQ153" s="14">
        <f t="shared" si="151"/>
        <v>8.7287050538073676E-13</v>
      </c>
      <c r="DR153" s="22">
        <f t="shared" si="124"/>
        <v>1.6144600406554537E-12</v>
      </c>
      <c r="DS153" s="62">
        <f t="shared" si="125"/>
        <v>289.68780256058625</v>
      </c>
      <c r="DT153" s="62">
        <f ca="1">AVERAGE(OFFSET($DS$3,0,0,'Données projet'!$E$14+1,1))-AVERAGE(OFFSET($H$3,0,0,'Données projet'!$E$14+1,1))</f>
        <v>425.41154182732936</v>
      </c>
      <c r="DU153" s="62">
        <f t="shared" si="152"/>
        <v>306.44721925744591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69.005764334704907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-5.6843418860808015E-14</v>
      </c>
      <c r="EK153" s="18">
        <f>EJ153*VLOOKUP('Données projet'!$B$15,Paramètres!$A$1:$I$89,3,0)*VLOOKUP('Données projet'!$B$15,Paramètres!$A$1:$I$89,5,0)</f>
        <v>-4.1677594708744434E-14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357.57626046668958</v>
      </c>
      <c r="EP153" s="62">
        <f t="shared" si="154"/>
        <v>386.90439522046199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69.005764334704907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1.1368683772161603E-13</v>
      </c>
      <c r="FF153" s="18">
        <f>FE153*VLOOKUP('Données projet'!$B$16,Paramètres!$A$1:$I$89,3,0)*VLOOKUP('Données projet'!$B$16,Paramètres!$A$1:$I$89,5,0)</f>
        <v>8.8675733422860506E-14</v>
      </c>
      <c r="FG153" s="14">
        <f t="shared" si="155"/>
        <v>1.3509285393066301E-12</v>
      </c>
      <c r="FH153" s="22">
        <f t="shared" si="130"/>
        <v>2.5073107750038623E-12</v>
      </c>
      <c r="FI153" s="62">
        <f t="shared" si="131"/>
        <v>289.68780256058716</v>
      </c>
      <c r="FJ153" s="62">
        <f ca="1">AVERAGE(OFFSET($FI$3,0,0,'Données projet'!$E$16+1,1))-AVERAGE(OFFSET($H$3,0,0,'Données projet'!$E$16+1,1))</f>
        <v>303.56663121833833</v>
      </c>
      <c r="FK153" s="62">
        <f t="shared" si="156"/>
        <v>293.97736357938038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69.005764334704907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-5.6843418860808015E-14</v>
      </c>
      <c r="GA153" s="18">
        <f>FZ153*VLOOKUP('Données projet'!$B$17,Paramètres!$A$1:$I$89,3,0)*VLOOKUP('Données projet'!$B$17,Paramètres!$A$1:$I$89,5,0)</f>
        <v>-4.5224624045658861E-14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383.71724511025587</v>
      </c>
      <c r="GF153" s="62">
        <f t="shared" si="158"/>
        <v>415.10774719533185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69.005764334704907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1.7053025658242404E-13</v>
      </c>
      <c r="GV153" s="18">
        <f>GU153*VLOOKUP('Données projet'!$B$18,Paramètres!$A$1:$I$89,3,0)*VLOOKUP('Données projet'!$B$18,Paramètres!$A$1:$I$89,5,0)</f>
        <v>1.1439169611549005E-13</v>
      </c>
      <c r="GW153" s="14">
        <f t="shared" si="159"/>
        <v>1.6918016515029816E-12</v>
      </c>
      <c r="GX153" s="22">
        <f t="shared" si="136"/>
        <v>3.1457867471021712E-12</v>
      </c>
      <c r="GY153" s="62">
        <f t="shared" si="137"/>
        <v>289.68780256058778</v>
      </c>
      <c r="GZ153" s="62">
        <f ca="1">AVERAGE(OFFSET($GY$3,0,0,'Données projet'!$E$18+1,1))-AVERAGE(OFFSET($H$3,0,0,'Données projet'!$E$18+1,1))</f>
        <v>329.93956600482801</v>
      </c>
      <c r="HA153" s="62">
        <f t="shared" si="160"/>
        <v>268.69186630599165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2.7450000000000001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10.065</v>
      </c>
      <c r="H154" s="70">
        <f t="shared" si="110"/>
        <v>216.40666666666667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69.023012100719825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-1.0286385077051818E-13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551.67307965706379</v>
      </c>
      <c r="T154" s="62">
        <f t="shared" si="142"/>
        <v>288.70738860523943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69.023012100719825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-9.5769792096689348E-14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518.18933270904506</v>
      </c>
      <c r="AO154" s="62">
        <f t="shared" si="144"/>
        <v>272.44431899810411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69.023012100719825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-9.7543306765146564E-14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464.73160475167867</v>
      </c>
      <c r="BJ154" s="62">
        <f t="shared" si="146"/>
        <v>241.31968359962227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69.023012100719825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2.2737367544323206E-13</v>
      </c>
      <c r="BZ154" s="14">
        <f>BY154*VLOOKUP('Données projet'!$B$12,Paramètres!$A$1:$I$89,3,0)*VLOOKUP('Données projet'!$B$12,Paramètres!$A$1:$I$89,5,0)</f>
        <v>1.4897523215040565E-13</v>
      </c>
      <c r="CA154" s="14">
        <f t="shared" ref="CA154:CA203" si="170">EXP(-1.0587+0.8836*LN(BZ154)+0.284)</f>
        <v>2.136562777003313E-12</v>
      </c>
      <c r="CB154" s="22">
        <f t="shared" ref="CB154:CB203" si="171">(BZ154+CA154)*0.475*44/12</f>
        <v>3.9806453659427267E-12</v>
      </c>
      <c r="CC154" s="62">
        <f t="shared" si="119"/>
        <v>289.75104436931002</v>
      </c>
      <c r="CD154" s="62">
        <f ca="1">AVERAGE(OFFSET($CC$3,0,0,'Données projet'!$E$12+1,1))-AVERAGE(OFFSET($H$3,0,0,'Données projet'!$E$12+1,1))</f>
        <v>292.13851489852607</v>
      </c>
      <c r="CE154" s="62">
        <f t="shared" si="148"/>
        <v>280.10866188737418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69.023012100719825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-1.1368683772161603E-13</v>
      </c>
      <c r="CU154" s="18">
        <f>CT154*VLOOKUP('Données projet'!$B$13,Paramètres!$A$1:$I$89,3,0)*VLOOKUP('Données projet'!$B$13,Paramètres!$A$1:$I$89,5,0)</f>
        <v>-9.2222762759774927E-14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265.25572936607409</v>
      </c>
      <c r="CZ154" s="62">
        <f t="shared" si="150"/>
        <v>307.96244316129071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69.023012100719825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5.6843418860808015E-14</v>
      </c>
      <c r="DP154" s="18">
        <f>DO154*VLOOKUP('Données projet'!$B$14,Paramètres!$A$1:$I$89,3,0)*VLOOKUP('Données projet'!$B$14,Paramètres!$A$1:$I$89,5,0)</f>
        <v>5.4092197387944907E-14</v>
      </c>
      <c r="DQ154" s="14">
        <f t="shared" ref="DQ154:DQ203" si="176">EXP(-1.0587+0.8836*LN(DP154)+0.284)</f>
        <v>8.7287050538073676E-13</v>
      </c>
      <c r="DR154" s="22">
        <f t="shared" ref="DR154:DR203" si="177">(DP154+DQ154)*0.475*44/12</f>
        <v>1.6144600406554537E-12</v>
      </c>
      <c r="DS154" s="62">
        <f t="shared" si="125"/>
        <v>289.75104436930764</v>
      </c>
      <c r="DT154" s="62">
        <f ca="1">AVERAGE(OFFSET($DS$3,0,0,'Données projet'!$E$14+1,1))-AVERAGE(OFFSET($H$3,0,0,'Données projet'!$E$14+1,1))</f>
        <v>425.41154182732936</v>
      </c>
      <c r="DU154" s="62">
        <f t="shared" si="152"/>
        <v>306.44721925744591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69.023012100719825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-5.6843418860808015E-14</v>
      </c>
      <c r="EK154" s="18">
        <f>EJ154*VLOOKUP('Données projet'!$B$15,Paramètres!$A$1:$I$89,3,0)*VLOOKUP('Données projet'!$B$15,Paramètres!$A$1:$I$89,5,0)</f>
        <v>-4.1677594708744434E-14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357.57626046668958</v>
      </c>
      <c r="EP154" s="62">
        <f t="shared" si="154"/>
        <v>386.90439522046199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69.023012100719825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1.1368683772161603E-13</v>
      </c>
      <c r="FF154" s="18">
        <f>FE154*VLOOKUP('Données projet'!$B$16,Paramètres!$A$1:$I$89,3,0)*VLOOKUP('Données projet'!$B$16,Paramètres!$A$1:$I$89,5,0)</f>
        <v>8.8675733422860506E-14</v>
      </c>
      <c r="FG154" s="14">
        <f t="shared" ref="FG154:FG203" si="182">EXP(-1.0587+0.8836*LN(FF154)+0.284)</f>
        <v>1.3509285393066301E-12</v>
      </c>
      <c r="FH154" s="22">
        <f t="shared" ref="FH154:FH203" si="183">(FF154+FG154)*0.475*44/12</f>
        <v>2.5073107750038623E-12</v>
      </c>
      <c r="FI154" s="62">
        <f t="shared" si="131"/>
        <v>289.75104436930854</v>
      </c>
      <c r="FJ154" s="62">
        <f ca="1">AVERAGE(OFFSET($FI$3,0,0,'Données projet'!$E$16+1,1))-AVERAGE(OFFSET($H$3,0,0,'Données projet'!$E$16+1,1))</f>
        <v>303.56663121833833</v>
      </c>
      <c r="FK154" s="62">
        <f t="shared" si="156"/>
        <v>293.97736357938038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69.023012100719825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-5.6843418860808015E-14</v>
      </c>
      <c r="GA154" s="18">
        <f>FZ154*VLOOKUP('Données projet'!$B$17,Paramètres!$A$1:$I$89,3,0)*VLOOKUP('Données projet'!$B$17,Paramètres!$A$1:$I$89,5,0)</f>
        <v>-4.5224624045658861E-14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383.71724511025587</v>
      </c>
      <c r="GF154" s="62">
        <f t="shared" si="158"/>
        <v>415.10774719533185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69.023012100719825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1.7053025658242404E-13</v>
      </c>
      <c r="GV154" s="18">
        <f>GU154*VLOOKUP('Données projet'!$B$18,Paramètres!$A$1:$I$89,3,0)*VLOOKUP('Données projet'!$B$18,Paramètres!$A$1:$I$89,5,0)</f>
        <v>1.1439169611549005E-13</v>
      </c>
      <c r="GW154" s="14">
        <f t="shared" ref="GW154:GW203" si="188">EXP(-1.0587+0.8836*LN(GV154)+0.284)</f>
        <v>1.6918016515029816E-12</v>
      </c>
      <c r="GX154" s="22">
        <f t="shared" ref="GX154:GX203" si="189">(GV154+GW154)*0.475*44/12</f>
        <v>3.1457867471021712E-12</v>
      </c>
      <c r="GY154" s="62">
        <f t="shared" si="137"/>
        <v>289.75104436930917</v>
      </c>
      <c r="GZ154" s="62">
        <f ca="1">AVERAGE(OFFSET($GY$3,0,0,'Données projet'!$E$18+1,1))-AVERAGE(OFFSET($H$3,0,0,'Données projet'!$E$18+1,1))</f>
        <v>329.93956600482801</v>
      </c>
      <c r="HA154" s="62">
        <f t="shared" si="160"/>
        <v>268.69186630599165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2.7450000000000001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10.065</v>
      </c>
      <c r="H155" s="70">
        <f t="shared" si="110"/>
        <v>216.40666666666667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69.039960656554612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-1.0286385077051818E-13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551.67307965706379</v>
      </c>
      <c r="T155" s="62">
        <f t="shared" si="142"/>
        <v>288.70738860523943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69.039960656554612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-9.5769792096689348E-14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518.18933270904506</v>
      </c>
      <c r="AO155" s="62">
        <f t="shared" si="144"/>
        <v>272.44431899810411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69.039960656554612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-9.7543306765146564E-14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464.73160475167867</v>
      </c>
      <c r="BJ155" s="62">
        <f t="shared" si="146"/>
        <v>241.31968359962227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69.039960656554612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2.2737367544323206E-13</v>
      </c>
      <c r="BZ155" s="14">
        <f>BY155*VLOOKUP('Données projet'!$B$12,Paramètres!$A$1:$I$89,3,0)*VLOOKUP('Données projet'!$B$12,Paramètres!$A$1:$I$89,5,0)</f>
        <v>1.4897523215040565E-13</v>
      </c>
      <c r="CA155" s="14">
        <f t="shared" si="170"/>
        <v>2.136562777003313E-12</v>
      </c>
      <c r="CB155" s="22">
        <f t="shared" si="171"/>
        <v>3.9806453659427267E-12</v>
      </c>
      <c r="CC155" s="62">
        <f t="shared" si="119"/>
        <v>289.81318907403755</v>
      </c>
      <c r="CD155" s="62">
        <f ca="1">AVERAGE(OFFSET($CC$3,0,0,'Données projet'!$E$12+1,1))-AVERAGE(OFFSET($H$3,0,0,'Données projet'!$E$12+1,1))</f>
        <v>292.13851489852607</v>
      </c>
      <c r="CE155" s="62">
        <f t="shared" si="148"/>
        <v>280.10866188737418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69.039960656554612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-1.1368683772161603E-13</v>
      </c>
      <c r="CU155" s="18">
        <f>CT155*VLOOKUP('Données projet'!$B$13,Paramètres!$A$1:$I$89,3,0)*VLOOKUP('Données projet'!$B$13,Paramètres!$A$1:$I$89,5,0)</f>
        <v>-9.2222762759774927E-14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265.25572936607409</v>
      </c>
      <c r="CZ155" s="62">
        <f t="shared" si="150"/>
        <v>307.96244316129071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69.039960656554612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5.6843418860808015E-14</v>
      </c>
      <c r="DP155" s="18">
        <f>DO155*VLOOKUP('Données projet'!$B$14,Paramètres!$A$1:$I$89,3,0)*VLOOKUP('Données projet'!$B$14,Paramètres!$A$1:$I$89,5,0)</f>
        <v>5.4092197387944907E-14</v>
      </c>
      <c r="DQ155" s="14">
        <f t="shared" si="176"/>
        <v>8.7287050538073676E-13</v>
      </c>
      <c r="DR155" s="22">
        <f t="shared" si="177"/>
        <v>1.6144600406554537E-12</v>
      </c>
      <c r="DS155" s="62">
        <f t="shared" si="125"/>
        <v>289.81318907403517</v>
      </c>
      <c r="DT155" s="62">
        <f ca="1">AVERAGE(OFFSET($DS$3,0,0,'Données projet'!$E$14+1,1))-AVERAGE(OFFSET($H$3,0,0,'Données projet'!$E$14+1,1))</f>
        <v>425.41154182732936</v>
      </c>
      <c r="DU155" s="62">
        <f t="shared" si="152"/>
        <v>306.44721925744591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69.039960656554612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-5.6843418860808015E-14</v>
      </c>
      <c r="EK155" s="18">
        <f>EJ155*VLOOKUP('Données projet'!$B$15,Paramètres!$A$1:$I$89,3,0)*VLOOKUP('Données projet'!$B$15,Paramètres!$A$1:$I$89,5,0)</f>
        <v>-4.1677594708744434E-14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357.57626046668958</v>
      </c>
      <c r="EP155" s="62">
        <f t="shared" si="154"/>
        <v>386.90439522046199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69.039960656554612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1.1368683772161603E-13</v>
      </c>
      <c r="FF155" s="18">
        <f>FE155*VLOOKUP('Données projet'!$B$16,Paramètres!$A$1:$I$89,3,0)*VLOOKUP('Données projet'!$B$16,Paramètres!$A$1:$I$89,5,0)</f>
        <v>8.8675733422860506E-14</v>
      </c>
      <c r="FG155" s="14">
        <f t="shared" si="182"/>
        <v>1.3509285393066301E-12</v>
      </c>
      <c r="FH155" s="22">
        <f t="shared" si="183"/>
        <v>2.5073107750038623E-12</v>
      </c>
      <c r="FI155" s="62">
        <f t="shared" si="131"/>
        <v>289.81318907403607</v>
      </c>
      <c r="FJ155" s="62">
        <f ca="1">AVERAGE(OFFSET($FI$3,0,0,'Données projet'!$E$16+1,1))-AVERAGE(OFFSET($H$3,0,0,'Données projet'!$E$16+1,1))</f>
        <v>303.56663121833833</v>
      </c>
      <c r="FK155" s="62">
        <f t="shared" si="156"/>
        <v>293.97736357938038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69.039960656554612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-5.6843418860808015E-14</v>
      </c>
      <c r="GA155" s="18">
        <f>FZ155*VLOOKUP('Données projet'!$B$17,Paramètres!$A$1:$I$89,3,0)*VLOOKUP('Données projet'!$B$17,Paramètres!$A$1:$I$89,5,0)</f>
        <v>-4.5224624045658861E-14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383.71724511025587</v>
      </c>
      <c r="GF155" s="62">
        <f t="shared" si="158"/>
        <v>415.10774719533185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69.039960656554612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1.7053025658242404E-13</v>
      </c>
      <c r="GV155" s="18">
        <f>GU155*VLOOKUP('Données projet'!$B$18,Paramètres!$A$1:$I$89,3,0)*VLOOKUP('Données projet'!$B$18,Paramètres!$A$1:$I$89,5,0)</f>
        <v>1.1439169611549005E-13</v>
      </c>
      <c r="GW155" s="14">
        <f t="shared" si="188"/>
        <v>1.6918016515029816E-12</v>
      </c>
      <c r="GX155" s="22">
        <f t="shared" si="189"/>
        <v>3.1457867471021712E-12</v>
      </c>
      <c r="GY155" s="62">
        <f t="shared" si="137"/>
        <v>289.8131890740367</v>
      </c>
      <c r="GZ155" s="62">
        <f ca="1">AVERAGE(OFFSET($GY$3,0,0,'Données projet'!$E$18+1,1))-AVERAGE(OFFSET($H$3,0,0,'Données projet'!$E$18+1,1))</f>
        <v>329.93956600482801</v>
      </c>
      <c r="HA155" s="62">
        <f t="shared" si="160"/>
        <v>268.69186630599165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2.7450000000000001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10.065</v>
      </c>
      <c r="H156" s="70">
        <f t="shared" si="110"/>
        <v>216.40666666666667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69.056615192836958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-1.0286385077051818E-13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551.67307965706379</v>
      </c>
      <c r="T156" s="62">
        <f t="shared" si="142"/>
        <v>288.70738860523943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69.056615192836958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-9.5769792096689348E-14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518.18933270904506</v>
      </c>
      <c r="AO156" s="62">
        <f t="shared" si="144"/>
        <v>272.44431899810411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69.056615192836958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-9.7543306765146564E-14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464.73160475167867</v>
      </c>
      <c r="BJ156" s="62">
        <f t="shared" si="146"/>
        <v>241.31968359962227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69.056615192836958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2.2737367544323206E-13</v>
      </c>
      <c r="BZ156" s="14">
        <f>BY156*VLOOKUP('Données projet'!$B$12,Paramètres!$A$1:$I$89,3,0)*VLOOKUP('Données projet'!$B$12,Paramètres!$A$1:$I$89,5,0)</f>
        <v>1.4897523215040565E-13</v>
      </c>
      <c r="CA156" s="14">
        <f t="shared" si="170"/>
        <v>2.136562777003313E-12</v>
      </c>
      <c r="CB156" s="22">
        <f t="shared" si="171"/>
        <v>3.9806453659427267E-12</v>
      </c>
      <c r="CC156" s="62">
        <f t="shared" si="119"/>
        <v>289.87425570707279</v>
      </c>
      <c r="CD156" s="62">
        <f ca="1">AVERAGE(OFFSET($CC$3,0,0,'Données projet'!$E$12+1,1))-AVERAGE(OFFSET($H$3,0,0,'Données projet'!$E$12+1,1))</f>
        <v>292.13851489852607</v>
      </c>
      <c r="CE156" s="62">
        <f t="shared" si="148"/>
        <v>280.10866188737418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69.056615192836958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-1.1368683772161603E-13</v>
      </c>
      <c r="CU156" s="18">
        <f>CT156*VLOOKUP('Données projet'!$B$13,Paramètres!$A$1:$I$89,3,0)*VLOOKUP('Données projet'!$B$13,Paramètres!$A$1:$I$89,5,0)</f>
        <v>-9.2222762759774927E-14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265.25572936607409</v>
      </c>
      <c r="CZ156" s="62">
        <f t="shared" si="150"/>
        <v>307.96244316129071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69.056615192836958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5.6843418860808015E-14</v>
      </c>
      <c r="DP156" s="18">
        <f>DO156*VLOOKUP('Données projet'!$B$14,Paramètres!$A$1:$I$89,3,0)*VLOOKUP('Données projet'!$B$14,Paramètres!$A$1:$I$89,5,0)</f>
        <v>5.4092197387944907E-14</v>
      </c>
      <c r="DQ156" s="14">
        <f t="shared" si="176"/>
        <v>8.7287050538073676E-13</v>
      </c>
      <c r="DR156" s="22">
        <f t="shared" si="177"/>
        <v>1.6144600406554537E-12</v>
      </c>
      <c r="DS156" s="62">
        <f t="shared" si="125"/>
        <v>289.8742557070704</v>
      </c>
      <c r="DT156" s="62">
        <f ca="1">AVERAGE(OFFSET($DS$3,0,0,'Données projet'!$E$14+1,1))-AVERAGE(OFFSET($H$3,0,0,'Données projet'!$E$14+1,1))</f>
        <v>425.41154182732936</v>
      </c>
      <c r="DU156" s="62">
        <f t="shared" si="152"/>
        <v>306.44721925744591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69.056615192836958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-5.6843418860808015E-14</v>
      </c>
      <c r="EK156" s="18">
        <f>EJ156*VLOOKUP('Données projet'!$B$15,Paramètres!$A$1:$I$89,3,0)*VLOOKUP('Données projet'!$B$15,Paramètres!$A$1:$I$89,5,0)</f>
        <v>-4.1677594708744434E-14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357.57626046668958</v>
      </c>
      <c r="EP156" s="62">
        <f t="shared" si="154"/>
        <v>386.90439522046199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69.056615192836958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1.1368683772161603E-13</v>
      </c>
      <c r="FF156" s="18">
        <f>FE156*VLOOKUP('Données projet'!$B$16,Paramètres!$A$1:$I$89,3,0)*VLOOKUP('Données projet'!$B$16,Paramètres!$A$1:$I$89,5,0)</f>
        <v>8.8675733422860506E-14</v>
      </c>
      <c r="FG156" s="14">
        <f t="shared" si="182"/>
        <v>1.3509285393066301E-12</v>
      </c>
      <c r="FH156" s="22">
        <f t="shared" si="183"/>
        <v>2.5073107750038623E-12</v>
      </c>
      <c r="FI156" s="62">
        <f t="shared" si="131"/>
        <v>289.87425570707131</v>
      </c>
      <c r="FJ156" s="62">
        <f ca="1">AVERAGE(OFFSET($FI$3,0,0,'Données projet'!$E$16+1,1))-AVERAGE(OFFSET($H$3,0,0,'Données projet'!$E$16+1,1))</f>
        <v>303.56663121833833</v>
      </c>
      <c r="FK156" s="62">
        <f t="shared" si="156"/>
        <v>293.97736357938038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69.056615192836958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-5.6843418860808015E-14</v>
      </c>
      <c r="GA156" s="18">
        <f>FZ156*VLOOKUP('Données projet'!$B$17,Paramètres!$A$1:$I$89,3,0)*VLOOKUP('Données projet'!$B$17,Paramètres!$A$1:$I$89,5,0)</f>
        <v>-4.5224624045658861E-14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383.71724511025587</v>
      </c>
      <c r="GF156" s="62">
        <f t="shared" si="158"/>
        <v>415.10774719533185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69.056615192836958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1.7053025658242404E-13</v>
      </c>
      <c r="GV156" s="18">
        <f>GU156*VLOOKUP('Données projet'!$B$18,Paramètres!$A$1:$I$89,3,0)*VLOOKUP('Données projet'!$B$18,Paramètres!$A$1:$I$89,5,0)</f>
        <v>1.1439169611549005E-13</v>
      </c>
      <c r="GW156" s="14">
        <f t="shared" si="188"/>
        <v>1.6918016515029816E-12</v>
      </c>
      <c r="GX156" s="22">
        <f t="shared" si="189"/>
        <v>3.1457867471021712E-12</v>
      </c>
      <c r="GY156" s="62">
        <f t="shared" si="137"/>
        <v>289.87425570707194</v>
      </c>
      <c r="GZ156" s="62">
        <f ca="1">AVERAGE(OFFSET($GY$3,0,0,'Données projet'!$E$18+1,1))-AVERAGE(OFFSET($H$3,0,0,'Données projet'!$E$18+1,1))</f>
        <v>329.93956600482801</v>
      </c>
      <c r="HA156" s="62">
        <f t="shared" si="160"/>
        <v>268.69186630599165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2.7450000000000001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10.065</v>
      </c>
      <c r="H157" s="70">
        <f t="shared" si="110"/>
        <v>216.40666666666667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69.072980810148778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-1.0286385077051818E-13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551.67307965706379</v>
      </c>
      <c r="T157" s="62">
        <f t="shared" si="142"/>
        <v>288.70738860523943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69.072980810148778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-9.5769792096689348E-14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518.18933270904506</v>
      </c>
      <c r="AO157" s="62">
        <f t="shared" si="144"/>
        <v>272.44431899810411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69.072980810148778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-9.7543306765146564E-14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464.73160475167867</v>
      </c>
      <c r="BJ157" s="62">
        <f t="shared" si="146"/>
        <v>241.31968359962227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69.072980810148778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2.2737367544323206E-13</v>
      </c>
      <c r="BZ157" s="14">
        <f>BY157*VLOOKUP('Données projet'!$B$12,Paramètres!$A$1:$I$89,3,0)*VLOOKUP('Données projet'!$B$12,Paramètres!$A$1:$I$89,5,0)</f>
        <v>1.4897523215040565E-13</v>
      </c>
      <c r="CA157" s="14">
        <f t="shared" si="170"/>
        <v>2.136562777003313E-12</v>
      </c>
      <c r="CB157" s="22">
        <f t="shared" si="171"/>
        <v>3.9806453659427267E-12</v>
      </c>
      <c r="CC157" s="62">
        <f t="shared" si="119"/>
        <v>289.93426297054947</v>
      </c>
      <c r="CD157" s="62">
        <f ca="1">AVERAGE(OFFSET($CC$3,0,0,'Données projet'!$E$12+1,1))-AVERAGE(OFFSET($H$3,0,0,'Données projet'!$E$12+1,1))</f>
        <v>292.13851489852607</v>
      </c>
      <c r="CE157" s="62">
        <f t="shared" si="148"/>
        <v>280.10866188737418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69.072980810148778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-1.1368683772161603E-13</v>
      </c>
      <c r="CU157" s="18">
        <f>CT157*VLOOKUP('Données projet'!$B$13,Paramètres!$A$1:$I$89,3,0)*VLOOKUP('Données projet'!$B$13,Paramètres!$A$1:$I$89,5,0)</f>
        <v>-9.2222762759774927E-14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265.25572936607409</v>
      </c>
      <c r="CZ157" s="62">
        <f t="shared" si="150"/>
        <v>307.96244316129071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69.072980810148778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5.6843418860808015E-14</v>
      </c>
      <c r="DP157" s="18">
        <f>DO157*VLOOKUP('Données projet'!$B$14,Paramètres!$A$1:$I$89,3,0)*VLOOKUP('Données projet'!$B$14,Paramètres!$A$1:$I$89,5,0)</f>
        <v>5.4092197387944907E-14</v>
      </c>
      <c r="DQ157" s="14">
        <f t="shared" si="176"/>
        <v>8.7287050538073676E-13</v>
      </c>
      <c r="DR157" s="22">
        <f t="shared" si="177"/>
        <v>1.6144600406554537E-12</v>
      </c>
      <c r="DS157" s="62">
        <f t="shared" si="125"/>
        <v>289.93426297054708</v>
      </c>
      <c r="DT157" s="62">
        <f ca="1">AVERAGE(OFFSET($DS$3,0,0,'Données projet'!$E$14+1,1))-AVERAGE(OFFSET($H$3,0,0,'Données projet'!$E$14+1,1))</f>
        <v>425.41154182732936</v>
      </c>
      <c r="DU157" s="62">
        <f t="shared" si="152"/>
        <v>306.44721925744591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69.072980810148778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-5.6843418860808015E-14</v>
      </c>
      <c r="EK157" s="18">
        <f>EJ157*VLOOKUP('Données projet'!$B$15,Paramètres!$A$1:$I$89,3,0)*VLOOKUP('Données projet'!$B$15,Paramètres!$A$1:$I$89,5,0)</f>
        <v>-4.1677594708744434E-14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357.57626046668958</v>
      </c>
      <c r="EP157" s="62">
        <f t="shared" si="154"/>
        <v>386.90439522046199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69.072980810148778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1.1368683772161603E-13</v>
      </c>
      <c r="FF157" s="18">
        <f>FE157*VLOOKUP('Données projet'!$B$16,Paramètres!$A$1:$I$89,3,0)*VLOOKUP('Données projet'!$B$16,Paramètres!$A$1:$I$89,5,0)</f>
        <v>8.8675733422860506E-14</v>
      </c>
      <c r="FG157" s="14">
        <f t="shared" si="182"/>
        <v>1.3509285393066301E-12</v>
      </c>
      <c r="FH157" s="22">
        <f t="shared" si="183"/>
        <v>2.5073107750038623E-12</v>
      </c>
      <c r="FI157" s="62">
        <f t="shared" si="131"/>
        <v>289.93426297054799</v>
      </c>
      <c r="FJ157" s="62">
        <f ca="1">AVERAGE(OFFSET($FI$3,0,0,'Données projet'!$E$16+1,1))-AVERAGE(OFFSET($H$3,0,0,'Données projet'!$E$16+1,1))</f>
        <v>303.56663121833833</v>
      </c>
      <c r="FK157" s="62">
        <f t="shared" si="156"/>
        <v>293.97736357938038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69.072980810148778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-5.6843418860808015E-14</v>
      </c>
      <c r="GA157" s="18">
        <f>FZ157*VLOOKUP('Données projet'!$B$17,Paramètres!$A$1:$I$89,3,0)*VLOOKUP('Données projet'!$B$17,Paramètres!$A$1:$I$89,5,0)</f>
        <v>-4.5224624045658861E-14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383.71724511025587</v>
      </c>
      <c r="GF157" s="62">
        <f t="shared" si="158"/>
        <v>415.10774719533185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69.072980810148778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1.7053025658242404E-13</v>
      </c>
      <c r="GV157" s="18">
        <f>GU157*VLOOKUP('Données projet'!$B$18,Paramètres!$A$1:$I$89,3,0)*VLOOKUP('Données projet'!$B$18,Paramètres!$A$1:$I$89,5,0)</f>
        <v>1.1439169611549005E-13</v>
      </c>
      <c r="GW157" s="14">
        <f t="shared" si="188"/>
        <v>1.6918016515029816E-12</v>
      </c>
      <c r="GX157" s="22">
        <f t="shared" si="189"/>
        <v>3.1457867471021712E-12</v>
      </c>
      <c r="GY157" s="62">
        <f t="shared" si="137"/>
        <v>289.93426297054862</v>
      </c>
      <c r="GZ157" s="62">
        <f ca="1">AVERAGE(OFFSET($GY$3,0,0,'Données projet'!$E$18+1,1))-AVERAGE(OFFSET($H$3,0,0,'Données projet'!$E$18+1,1))</f>
        <v>329.93956600482801</v>
      </c>
      <c r="HA157" s="62">
        <f t="shared" si="160"/>
        <v>268.69186630599165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2.7450000000000001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10.065</v>
      </c>
      <c r="H158" s="70">
        <f t="shared" si="110"/>
        <v>216.40666666666667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69.089062520588271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-1.0286385077051818E-13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551.67307965706379</v>
      </c>
      <c r="T158" s="62">
        <f t="shared" si="142"/>
        <v>288.70738860523943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69.089062520588271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-9.5769792096689348E-14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518.18933270904506</v>
      </c>
      <c r="AO158" s="62">
        <f t="shared" si="144"/>
        <v>272.44431899810411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69.089062520588271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-9.7543306765146564E-14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464.73160475167867</v>
      </c>
      <c r="BJ158" s="62">
        <f t="shared" si="146"/>
        <v>241.31968359962227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69.089062520588271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2.2737367544323206E-13</v>
      </c>
      <c r="BZ158" s="14">
        <f>BY158*VLOOKUP('Données projet'!$B$12,Paramètres!$A$1:$I$89,3,0)*VLOOKUP('Données projet'!$B$12,Paramètres!$A$1:$I$89,5,0)</f>
        <v>1.4897523215040565E-13</v>
      </c>
      <c r="CA158" s="14">
        <f t="shared" si="170"/>
        <v>2.136562777003313E-12</v>
      </c>
      <c r="CB158" s="22">
        <f t="shared" si="171"/>
        <v>3.9806453659427267E-12</v>
      </c>
      <c r="CC158" s="62">
        <f t="shared" si="119"/>
        <v>289.99322924216096</v>
      </c>
      <c r="CD158" s="62">
        <f ca="1">AVERAGE(OFFSET($CC$3,0,0,'Données projet'!$E$12+1,1))-AVERAGE(OFFSET($H$3,0,0,'Données projet'!$E$12+1,1))</f>
        <v>292.13851489852607</v>
      </c>
      <c r="CE158" s="62">
        <f t="shared" si="148"/>
        <v>280.10866188737418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69.089062520588271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-1.1368683772161603E-13</v>
      </c>
      <c r="CU158" s="18">
        <f>CT158*VLOOKUP('Données projet'!$B$13,Paramètres!$A$1:$I$89,3,0)*VLOOKUP('Données projet'!$B$13,Paramètres!$A$1:$I$89,5,0)</f>
        <v>-9.2222762759774927E-14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265.25572936607409</v>
      </c>
      <c r="CZ158" s="62">
        <f t="shared" si="150"/>
        <v>307.96244316129071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69.089062520588271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5.6843418860808015E-14</v>
      </c>
      <c r="DP158" s="18">
        <f>DO158*VLOOKUP('Données projet'!$B$14,Paramètres!$A$1:$I$89,3,0)*VLOOKUP('Données projet'!$B$14,Paramètres!$A$1:$I$89,5,0)</f>
        <v>5.4092197387944907E-14</v>
      </c>
      <c r="DQ158" s="14">
        <f t="shared" si="176"/>
        <v>8.7287050538073676E-13</v>
      </c>
      <c r="DR158" s="22">
        <f t="shared" si="177"/>
        <v>1.6144600406554537E-12</v>
      </c>
      <c r="DS158" s="62">
        <f t="shared" si="125"/>
        <v>289.99322924215858</v>
      </c>
      <c r="DT158" s="62">
        <f ca="1">AVERAGE(OFFSET($DS$3,0,0,'Données projet'!$E$14+1,1))-AVERAGE(OFFSET($H$3,0,0,'Données projet'!$E$14+1,1))</f>
        <v>425.41154182732936</v>
      </c>
      <c r="DU158" s="62">
        <f t="shared" si="152"/>
        <v>306.44721925744591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69.089062520588271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-5.6843418860808015E-14</v>
      </c>
      <c r="EK158" s="18">
        <f>EJ158*VLOOKUP('Données projet'!$B$15,Paramètres!$A$1:$I$89,3,0)*VLOOKUP('Données projet'!$B$15,Paramètres!$A$1:$I$89,5,0)</f>
        <v>-4.1677594708744434E-14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357.57626046668958</v>
      </c>
      <c r="EP158" s="62">
        <f t="shared" si="154"/>
        <v>386.90439522046199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69.089062520588271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1.1368683772161603E-13</v>
      </c>
      <c r="FF158" s="18">
        <f>FE158*VLOOKUP('Données projet'!$B$16,Paramètres!$A$1:$I$89,3,0)*VLOOKUP('Données projet'!$B$16,Paramètres!$A$1:$I$89,5,0)</f>
        <v>8.8675733422860506E-14</v>
      </c>
      <c r="FG158" s="14">
        <f t="shared" si="182"/>
        <v>1.3509285393066301E-12</v>
      </c>
      <c r="FH158" s="22">
        <f t="shared" si="183"/>
        <v>2.5073107750038623E-12</v>
      </c>
      <c r="FI158" s="62">
        <f t="shared" si="131"/>
        <v>289.99322924215949</v>
      </c>
      <c r="FJ158" s="62">
        <f ca="1">AVERAGE(OFFSET($FI$3,0,0,'Données projet'!$E$16+1,1))-AVERAGE(OFFSET($H$3,0,0,'Données projet'!$E$16+1,1))</f>
        <v>303.56663121833833</v>
      </c>
      <c r="FK158" s="62">
        <f t="shared" si="156"/>
        <v>293.97736357938038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69.089062520588271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-5.6843418860808015E-14</v>
      </c>
      <c r="GA158" s="18">
        <f>FZ158*VLOOKUP('Données projet'!$B$17,Paramètres!$A$1:$I$89,3,0)*VLOOKUP('Données projet'!$B$17,Paramètres!$A$1:$I$89,5,0)</f>
        <v>-4.5224624045658861E-14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383.71724511025587</v>
      </c>
      <c r="GF158" s="62">
        <f t="shared" si="158"/>
        <v>415.10774719533185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69.089062520588271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1.7053025658242404E-13</v>
      </c>
      <c r="GV158" s="18">
        <f>GU158*VLOOKUP('Données projet'!$B$18,Paramètres!$A$1:$I$89,3,0)*VLOOKUP('Données projet'!$B$18,Paramètres!$A$1:$I$89,5,0)</f>
        <v>1.1439169611549005E-13</v>
      </c>
      <c r="GW158" s="14">
        <f t="shared" si="188"/>
        <v>1.6918016515029816E-12</v>
      </c>
      <c r="GX158" s="22">
        <f t="shared" si="189"/>
        <v>3.1457867471021712E-12</v>
      </c>
      <c r="GY158" s="62">
        <f t="shared" si="137"/>
        <v>289.99322924216011</v>
      </c>
      <c r="GZ158" s="62">
        <f ca="1">AVERAGE(OFFSET($GY$3,0,0,'Données projet'!$E$18+1,1))-AVERAGE(OFFSET($H$3,0,0,'Données projet'!$E$18+1,1))</f>
        <v>329.93956600482801</v>
      </c>
      <c r="HA158" s="62">
        <f t="shared" si="160"/>
        <v>268.69186630599165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2.7450000000000001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10.065</v>
      </c>
      <c r="H159" s="70">
        <f t="shared" si="110"/>
        <v>216.40666666666667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69.10486524930495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-1.0286385077051818E-13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551.67307965706379</v>
      </c>
      <c r="T159" s="62">
        <f t="shared" si="142"/>
        <v>288.70738860523943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69.10486524930495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-9.5769792096689348E-14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518.18933270904506</v>
      </c>
      <c r="AO159" s="62">
        <f t="shared" si="144"/>
        <v>272.44431899810411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69.10486524930495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-9.7543306765146564E-14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464.73160475167867</v>
      </c>
      <c r="BJ159" s="62">
        <f t="shared" si="146"/>
        <v>241.31968359962227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69.10486524930495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2.2737367544323206E-13</v>
      </c>
      <c r="BZ159" s="14">
        <f>BY159*VLOOKUP('Données projet'!$B$12,Paramètres!$A$1:$I$89,3,0)*VLOOKUP('Données projet'!$B$12,Paramètres!$A$1:$I$89,5,0)</f>
        <v>1.4897523215040565E-13</v>
      </c>
      <c r="CA159" s="14">
        <f t="shared" si="170"/>
        <v>2.136562777003313E-12</v>
      </c>
      <c r="CB159" s="22">
        <f t="shared" si="171"/>
        <v>3.9806453659427267E-12</v>
      </c>
      <c r="CC159" s="62">
        <f t="shared" si="119"/>
        <v>290.05117258078877</v>
      </c>
      <c r="CD159" s="62">
        <f ca="1">AVERAGE(OFFSET($CC$3,0,0,'Données projet'!$E$12+1,1))-AVERAGE(OFFSET($H$3,0,0,'Données projet'!$E$12+1,1))</f>
        <v>292.13851489852607</v>
      </c>
      <c r="CE159" s="62">
        <f t="shared" si="148"/>
        <v>280.10866188737418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69.10486524930495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-1.1368683772161603E-13</v>
      </c>
      <c r="CU159" s="18">
        <f>CT159*VLOOKUP('Données projet'!$B$13,Paramètres!$A$1:$I$89,3,0)*VLOOKUP('Données projet'!$B$13,Paramètres!$A$1:$I$89,5,0)</f>
        <v>-9.2222762759774927E-14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265.25572936607409</v>
      </c>
      <c r="CZ159" s="62">
        <f t="shared" si="150"/>
        <v>307.96244316129071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69.10486524930495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5.6843418860808015E-14</v>
      </c>
      <c r="DP159" s="18">
        <f>DO159*VLOOKUP('Données projet'!$B$14,Paramètres!$A$1:$I$89,3,0)*VLOOKUP('Données projet'!$B$14,Paramètres!$A$1:$I$89,5,0)</f>
        <v>5.4092197387944907E-14</v>
      </c>
      <c r="DQ159" s="14">
        <f t="shared" si="176"/>
        <v>8.7287050538073676E-13</v>
      </c>
      <c r="DR159" s="22">
        <f t="shared" si="177"/>
        <v>1.6144600406554537E-12</v>
      </c>
      <c r="DS159" s="62">
        <f t="shared" si="125"/>
        <v>290.05117258078639</v>
      </c>
      <c r="DT159" s="62">
        <f ca="1">AVERAGE(OFFSET($DS$3,0,0,'Données projet'!$E$14+1,1))-AVERAGE(OFFSET($H$3,0,0,'Données projet'!$E$14+1,1))</f>
        <v>425.41154182732936</v>
      </c>
      <c r="DU159" s="62">
        <f t="shared" si="152"/>
        <v>306.44721925744591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69.10486524930495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-5.6843418860808015E-14</v>
      </c>
      <c r="EK159" s="18">
        <f>EJ159*VLOOKUP('Données projet'!$B$15,Paramètres!$A$1:$I$89,3,0)*VLOOKUP('Données projet'!$B$15,Paramètres!$A$1:$I$89,5,0)</f>
        <v>-4.1677594708744434E-14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357.57626046668958</v>
      </c>
      <c r="EP159" s="62">
        <f t="shared" si="154"/>
        <v>386.90439522046199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69.10486524930495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1.1368683772161603E-13</v>
      </c>
      <c r="FF159" s="18">
        <f>FE159*VLOOKUP('Données projet'!$B$16,Paramètres!$A$1:$I$89,3,0)*VLOOKUP('Données projet'!$B$16,Paramètres!$A$1:$I$89,5,0)</f>
        <v>8.8675733422860506E-14</v>
      </c>
      <c r="FG159" s="14">
        <f t="shared" si="182"/>
        <v>1.3509285393066301E-12</v>
      </c>
      <c r="FH159" s="22">
        <f t="shared" si="183"/>
        <v>2.5073107750038623E-12</v>
      </c>
      <c r="FI159" s="62">
        <f t="shared" si="131"/>
        <v>290.05117258078729</v>
      </c>
      <c r="FJ159" s="62">
        <f ca="1">AVERAGE(OFFSET($FI$3,0,0,'Données projet'!$E$16+1,1))-AVERAGE(OFFSET($H$3,0,0,'Données projet'!$E$16+1,1))</f>
        <v>303.56663121833833</v>
      </c>
      <c r="FK159" s="62">
        <f t="shared" si="156"/>
        <v>293.97736357938038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69.10486524930495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-5.6843418860808015E-14</v>
      </c>
      <c r="GA159" s="18">
        <f>FZ159*VLOOKUP('Données projet'!$B$17,Paramètres!$A$1:$I$89,3,0)*VLOOKUP('Données projet'!$B$17,Paramètres!$A$1:$I$89,5,0)</f>
        <v>-4.5224624045658861E-14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383.71724511025587</v>
      </c>
      <c r="GF159" s="62">
        <f t="shared" si="158"/>
        <v>415.10774719533185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69.10486524930495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1.7053025658242404E-13</v>
      </c>
      <c r="GV159" s="18">
        <f>GU159*VLOOKUP('Données projet'!$B$18,Paramètres!$A$1:$I$89,3,0)*VLOOKUP('Données projet'!$B$18,Paramètres!$A$1:$I$89,5,0)</f>
        <v>1.1439169611549005E-13</v>
      </c>
      <c r="GW159" s="14">
        <f t="shared" si="188"/>
        <v>1.6918016515029816E-12</v>
      </c>
      <c r="GX159" s="22">
        <f t="shared" si="189"/>
        <v>3.1457867471021712E-12</v>
      </c>
      <c r="GY159" s="62">
        <f t="shared" si="137"/>
        <v>290.05117258078792</v>
      </c>
      <c r="GZ159" s="62">
        <f ca="1">AVERAGE(OFFSET($GY$3,0,0,'Données projet'!$E$18+1,1))-AVERAGE(OFFSET($H$3,0,0,'Données projet'!$E$18+1,1))</f>
        <v>329.93956600482801</v>
      </c>
      <c r="HA159" s="62">
        <f t="shared" si="160"/>
        <v>268.69186630599165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2.7450000000000001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10.065</v>
      </c>
      <c r="H160" s="70">
        <f t="shared" si="110"/>
        <v>216.40666666666667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69.12039383600802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-1.0286385077051818E-13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551.67307965706379</v>
      </c>
      <c r="T160" s="62">
        <f t="shared" si="142"/>
        <v>288.70738860523943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69.12039383600802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-9.5769792096689348E-14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518.18933270904506</v>
      </c>
      <c r="AO160" s="62">
        <f t="shared" si="144"/>
        <v>272.44431899810411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69.12039383600802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-9.7543306765146564E-14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464.73160475167867</v>
      </c>
      <c r="BJ160" s="62">
        <f t="shared" si="146"/>
        <v>241.31968359962227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69.12039383600802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2.2737367544323206E-13</v>
      </c>
      <c r="BZ160" s="14">
        <f>BY160*VLOOKUP('Données projet'!$B$12,Paramètres!$A$1:$I$89,3,0)*VLOOKUP('Données projet'!$B$12,Paramètres!$A$1:$I$89,5,0)</f>
        <v>1.4897523215040565E-13</v>
      </c>
      <c r="CA160" s="14">
        <f t="shared" si="170"/>
        <v>2.136562777003313E-12</v>
      </c>
      <c r="CB160" s="22">
        <f t="shared" si="171"/>
        <v>3.9806453659427267E-12</v>
      </c>
      <c r="CC160" s="62">
        <f t="shared" si="119"/>
        <v>290.10811073203337</v>
      </c>
      <c r="CD160" s="62">
        <f ca="1">AVERAGE(OFFSET($CC$3,0,0,'Données projet'!$E$12+1,1))-AVERAGE(OFFSET($H$3,0,0,'Données projet'!$E$12+1,1))</f>
        <v>292.13851489852607</v>
      </c>
      <c r="CE160" s="62">
        <f t="shared" si="148"/>
        <v>280.10866188737418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69.12039383600802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-1.1368683772161603E-13</v>
      </c>
      <c r="CU160" s="18">
        <f>CT160*VLOOKUP('Données projet'!$B$13,Paramètres!$A$1:$I$89,3,0)*VLOOKUP('Données projet'!$B$13,Paramètres!$A$1:$I$89,5,0)</f>
        <v>-9.2222762759774927E-14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265.25572936607409</v>
      </c>
      <c r="CZ160" s="62">
        <f t="shared" si="150"/>
        <v>307.96244316129071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69.12039383600802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5.6843418860808015E-14</v>
      </c>
      <c r="DP160" s="18">
        <f>DO160*VLOOKUP('Données projet'!$B$14,Paramètres!$A$1:$I$89,3,0)*VLOOKUP('Données projet'!$B$14,Paramètres!$A$1:$I$89,5,0)</f>
        <v>5.4092197387944907E-14</v>
      </c>
      <c r="DQ160" s="14">
        <f t="shared" si="176"/>
        <v>8.7287050538073676E-13</v>
      </c>
      <c r="DR160" s="22">
        <f t="shared" si="177"/>
        <v>1.6144600406554537E-12</v>
      </c>
      <c r="DS160" s="62">
        <f t="shared" si="125"/>
        <v>290.10811073203098</v>
      </c>
      <c r="DT160" s="62">
        <f ca="1">AVERAGE(OFFSET($DS$3,0,0,'Données projet'!$E$14+1,1))-AVERAGE(OFFSET($H$3,0,0,'Données projet'!$E$14+1,1))</f>
        <v>425.41154182732936</v>
      </c>
      <c r="DU160" s="62">
        <f t="shared" si="152"/>
        <v>306.44721925744591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69.12039383600802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-5.6843418860808015E-14</v>
      </c>
      <c r="EK160" s="18">
        <f>EJ160*VLOOKUP('Données projet'!$B$15,Paramètres!$A$1:$I$89,3,0)*VLOOKUP('Données projet'!$B$15,Paramètres!$A$1:$I$89,5,0)</f>
        <v>-4.1677594708744434E-14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357.57626046668958</v>
      </c>
      <c r="EP160" s="62">
        <f t="shared" si="154"/>
        <v>386.90439522046199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69.12039383600802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1.1368683772161603E-13</v>
      </c>
      <c r="FF160" s="18">
        <f>FE160*VLOOKUP('Données projet'!$B$16,Paramètres!$A$1:$I$89,3,0)*VLOOKUP('Données projet'!$B$16,Paramètres!$A$1:$I$89,5,0)</f>
        <v>8.8675733422860506E-14</v>
      </c>
      <c r="FG160" s="14">
        <f t="shared" si="182"/>
        <v>1.3509285393066301E-12</v>
      </c>
      <c r="FH160" s="22">
        <f t="shared" si="183"/>
        <v>2.5073107750038623E-12</v>
      </c>
      <c r="FI160" s="62">
        <f t="shared" si="131"/>
        <v>290.10811073203189</v>
      </c>
      <c r="FJ160" s="62">
        <f ca="1">AVERAGE(OFFSET($FI$3,0,0,'Données projet'!$E$16+1,1))-AVERAGE(OFFSET($H$3,0,0,'Données projet'!$E$16+1,1))</f>
        <v>303.56663121833833</v>
      </c>
      <c r="FK160" s="62">
        <f t="shared" si="156"/>
        <v>293.97736357938038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69.12039383600802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-5.6843418860808015E-14</v>
      </c>
      <c r="GA160" s="18">
        <f>FZ160*VLOOKUP('Données projet'!$B$17,Paramètres!$A$1:$I$89,3,0)*VLOOKUP('Données projet'!$B$17,Paramètres!$A$1:$I$89,5,0)</f>
        <v>-4.5224624045658861E-14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383.71724511025587</v>
      </c>
      <c r="GF160" s="62">
        <f t="shared" si="158"/>
        <v>415.10774719533185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69.12039383600802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1.7053025658242404E-13</v>
      </c>
      <c r="GV160" s="18">
        <f>GU160*VLOOKUP('Données projet'!$B$18,Paramètres!$A$1:$I$89,3,0)*VLOOKUP('Données projet'!$B$18,Paramètres!$A$1:$I$89,5,0)</f>
        <v>1.1439169611549005E-13</v>
      </c>
      <c r="GW160" s="14">
        <f t="shared" si="188"/>
        <v>1.6918016515029816E-12</v>
      </c>
      <c r="GX160" s="22">
        <f t="shared" si="189"/>
        <v>3.1457867471021712E-12</v>
      </c>
      <c r="GY160" s="62">
        <f t="shared" si="137"/>
        <v>290.10811073203251</v>
      </c>
      <c r="GZ160" s="62">
        <f ca="1">AVERAGE(OFFSET($GY$3,0,0,'Données projet'!$E$18+1,1))-AVERAGE(OFFSET($H$3,0,0,'Données projet'!$E$18+1,1))</f>
        <v>329.93956600482801</v>
      </c>
      <c r="HA160" s="62">
        <f t="shared" si="160"/>
        <v>268.69186630599165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2.7450000000000001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10.065</v>
      </c>
      <c r="H161" s="70">
        <f t="shared" si="110"/>
        <v>216.40666666666667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69.135653036448502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-1.0286385077051818E-13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551.67307965706379</v>
      </c>
      <c r="T161" s="62">
        <f t="shared" si="142"/>
        <v>288.70738860523943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69.135653036448502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-9.5769792096689348E-14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518.18933270904506</v>
      </c>
      <c r="AO161" s="62">
        <f t="shared" si="144"/>
        <v>272.44431899810411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69.135653036448502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-9.7543306765146564E-14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464.73160475167867</v>
      </c>
      <c r="BJ161" s="62">
        <f t="shared" si="146"/>
        <v>241.31968359962227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69.135653036448502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2.2737367544323206E-13</v>
      </c>
      <c r="BZ161" s="14">
        <f>BY161*VLOOKUP('Données projet'!$B$12,Paramètres!$A$1:$I$89,3,0)*VLOOKUP('Données projet'!$B$12,Paramètres!$A$1:$I$89,5,0)</f>
        <v>1.4897523215040565E-13</v>
      </c>
      <c r="CA161" s="14">
        <f t="shared" si="170"/>
        <v>2.136562777003313E-12</v>
      </c>
      <c r="CB161" s="22">
        <f t="shared" si="171"/>
        <v>3.9806453659427267E-12</v>
      </c>
      <c r="CC161" s="62">
        <f t="shared" si="119"/>
        <v>290.16406113364849</v>
      </c>
      <c r="CD161" s="62">
        <f ca="1">AVERAGE(OFFSET($CC$3,0,0,'Données projet'!$E$12+1,1))-AVERAGE(OFFSET($H$3,0,0,'Données projet'!$E$12+1,1))</f>
        <v>292.13851489852607</v>
      </c>
      <c r="CE161" s="62">
        <f t="shared" si="148"/>
        <v>280.10866188737418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69.135653036448502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-1.1368683772161603E-13</v>
      </c>
      <c r="CU161" s="18">
        <f>CT161*VLOOKUP('Données projet'!$B$13,Paramètres!$A$1:$I$89,3,0)*VLOOKUP('Données projet'!$B$13,Paramètres!$A$1:$I$89,5,0)</f>
        <v>-9.2222762759774927E-14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265.25572936607409</v>
      </c>
      <c r="CZ161" s="62">
        <f t="shared" si="150"/>
        <v>307.96244316129071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69.135653036448502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5.6843418860808015E-14</v>
      </c>
      <c r="DP161" s="18">
        <f>DO161*VLOOKUP('Données projet'!$B$14,Paramètres!$A$1:$I$89,3,0)*VLOOKUP('Données projet'!$B$14,Paramètres!$A$1:$I$89,5,0)</f>
        <v>5.4092197387944907E-14</v>
      </c>
      <c r="DQ161" s="14">
        <f t="shared" si="176"/>
        <v>8.7287050538073676E-13</v>
      </c>
      <c r="DR161" s="22">
        <f t="shared" si="177"/>
        <v>1.6144600406554537E-12</v>
      </c>
      <c r="DS161" s="62">
        <f t="shared" si="125"/>
        <v>290.1640611336461</v>
      </c>
      <c r="DT161" s="62">
        <f ca="1">AVERAGE(OFFSET($DS$3,0,0,'Données projet'!$E$14+1,1))-AVERAGE(OFFSET($H$3,0,0,'Données projet'!$E$14+1,1))</f>
        <v>425.41154182732936</v>
      </c>
      <c r="DU161" s="62">
        <f t="shared" si="152"/>
        <v>306.44721925744591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69.135653036448502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-5.6843418860808015E-14</v>
      </c>
      <c r="EK161" s="18">
        <f>EJ161*VLOOKUP('Données projet'!$B$15,Paramètres!$A$1:$I$89,3,0)*VLOOKUP('Données projet'!$B$15,Paramètres!$A$1:$I$89,5,0)</f>
        <v>-4.1677594708744434E-14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357.57626046668958</v>
      </c>
      <c r="EP161" s="62">
        <f t="shared" si="154"/>
        <v>386.90439522046199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69.135653036448502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1.1368683772161603E-13</v>
      </c>
      <c r="FF161" s="18">
        <f>FE161*VLOOKUP('Données projet'!$B$16,Paramètres!$A$1:$I$89,3,0)*VLOOKUP('Données projet'!$B$16,Paramètres!$A$1:$I$89,5,0)</f>
        <v>8.8675733422860506E-14</v>
      </c>
      <c r="FG161" s="14">
        <f t="shared" si="182"/>
        <v>1.3509285393066301E-12</v>
      </c>
      <c r="FH161" s="22">
        <f t="shared" si="183"/>
        <v>2.5073107750038623E-12</v>
      </c>
      <c r="FI161" s="62">
        <f t="shared" si="131"/>
        <v>290.16406113364701</v>
      </c>
      <c r="FJ161" s="62">
        <f ca="1">AVERAGE(OFFSET($FI$3,0,0,'Données projet'!$E$16+1,1))-AVERAGE(OFFSET($H$3,0,0,'Données projet'!$E$16+1,1))</f>
        <v>303.56663121833833</v>
      </c>
      <c r="FK161" s="62">
        <f t="shared" si="156"/>
        <v>293.97736357938038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69.135653036448502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-5.6843418860808015E-14</v>
      </c>
      <c r="GA161" s="18">
        <f>FZ161*VLOOKUP('Données projet'!$B$17,Paramètres!$A$1:$I$89,3,0)*VLOOKUP('Données projet'!$B$17,Paramètres!$A$1:$I$89,5,0)</f>
        <v>-4.5224624045658861E-14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383.71724511025587</v>
      </c>
      <c r="GF161" s="62">
        <f t="shared" si="158"/>
        <v>415.10774719533185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69.135653036448502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1.7053025658242404E-13</v>
      </c>
      <c r="GV161" s="18">
        <f>GU161*VLOOKUP('Données projet'!$B$18,Paramètres!$A$1:$I$89,3,0)*VLOOKUP('Données projet'!$B$18,Paramètres!$A$1:$I$89,5,0)</f>
        <v>1.1439169611549005E-13</v>
      </c>
      <c r="GW161" s="14">
        <f t="shared" si="188"/>
        <v>1.6918016515029816E-12</v>
      </c>
      <c r="GX161" s="22">
        <f t="shared" si="189"/>
        <v>3.1457867471021712E-12</v>
      </c>
      <c r="GY161" s="62">
        <f t="shared" si="137"/>
        <v>290.16406113364764</v>
      </c>
      <c r="GZ161" s="62">
        <f ca="1">AVERAGE(OFFSET($GY$3,0,0,'Données projet'!$E$18+1,1))-AVERAGE(OFFSET($H$3,0,0,'Données projet'!$E$18+1,1))</f>
        <v>329.93956600482801</v>
      </c>
      <c r="HA161" s="62">
        <f t="shared" si="160"/>
        <v>268.69186630599165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2.7450000000000001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10.065</v>
      </c>
      <c r="H162" s="70">
        <f t="shared" si="110"/>
        <v>216.40666666666667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69.15064752387579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-1.0286385077051818E-13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551.67307965706379</v>
      </c>
      <c r="T162" s="62">
        <f t="shared" si="142"/>
        <v>288.70738860523943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69.15064752387579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-9.5769792096689348E-14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518.18933270904506</v>
      </c>
      <c r="AO162" s="62">
        <f t="shared" si="144"/>
        <v>272.44431899810411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69.15064752387579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-9.7543306765146564E-14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464.73160475167867</v>
      </c>
      <c r="BJ162" s="62">
        <f t="shared" si="146"/>
        <v>241.31968359962227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69.15064752387579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2.2737367544323206E-13</v>
      </c>
      <c r="BZ162" s="14">
        <f>BY162*VLOOKUP('Données projet'!$B$12,Paramètres!$A$1:$I$89,3,0)*VLOOKUP('Données projet'!$B$12,Paramètres!$A$1:$I$89,5,0)</f>
        <v>1.4897523215040565E-13</v>
      </c>
      <c r="CA162" s="14">
        <f t="shared" si="170"/>
        <v>2.136562777003313E-12</v>
      </c>
      <c r="CB162" s="22">
        <f t="shared" si="171"/>
        <v>3.9806453659427267E-12</v>
      </c>
      <c r="CC162" s="62">
        <f t="shared" si="119"/>
        <v>290.21904092088187</v>
      </c>
      <c r="CD162" s="62">
        <f ca="1">AVERAGE(OFFSET($CC$3,0,0,'Données projet'!$E$12+1,1))-AVERAGE(OFFSET($H$3,0,0,'Données projet'!$E$12+1,1))</f>
        <v>292.13851489852607</v>
      </c>
      <c r="CE162" s="62">
        <f t="shared" si="148"/>
        <v>280.10866188737418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69.15064752387579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-1.1368683772161603E-13</v>
      </c>
      <c r="CU162" s="18">
        <f>CT162*VLOOKUP('Données projet'!$B$13,Paramètres!$A$1:$I$89,3,0)*VLOOKUP('Données projet'!$B$13,Paramètres!$A$1:$I$89,5,0)</f>
        <v>-9.2222762759774927E-14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265.25572936607409</v>
      </c>
      <c r="CZ162" s="62">
        <f t="shared" si="150"/>
        <v>307.96244316129071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69.15064752387579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5.6843418860808015E-14</v>
      </c>
      <c r="DP162" s="18">
        <f>DO162*VLOOKUP('Données projet'!$B$14,Paramètres!$A$1:$I$89,3,0)*VLOOKUP('Données projet'!$B$14,Paramètres!$A$1:$I$89,5,0)</f>
        <v>5.4092197387944907E-14</v>
      </c>
      <c r="DQ162" s="14">
        <f t="shared" si="176"/>
        <v>8.7287050538073676E-13</v>
      </c>
      <c r="DR162" s="22">
        <f t="shared" si="177"/>
        <v>1.6144600406554537E-12</v>
      </c>
      <c r="DS162" s="62">
        <f t="shared" si="125"/>
        <v>290.21904092087948</v>
      </c>
      <c r="DT162" s="62">
        <f ca="1">AVERAGE(OFFSET($DS$3,0,0,'Données projet'!$E$14+1,1))-AVERAGE(OFFSET($H$3,0,0,'Données projet'!$E$14+1,1))</f>
        <v>425.41154182732936</v>
      </c>
      <c r="DU162" s="62">
        <f t="shared" si="152"/>
        <v>306.44721925744591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69.15064752387579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-5.6843418860808015E-14</v>
      </c>
      <c r="EK162" s="18">
        <f>EJ162*VLOOKUP('Données projet'!$B$15,Paramètres!$A$1:$I$89,3,0)*VLOOKUP('Données projet'!$B$15,Paramètres!$A$1:$I$89,5,0)</f>
        <v>-4.1677594708744434E-14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357.57626046668958</v>
      </c>
      <c r="EP162" s="62">
        <f t="shared" si="154"/>
        <v>386.90439522046199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69.15064752387579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1.1368683772161603E-13</v>
      </c>
      <c r="FF162" s="18">
        <f>FE162*VLOOKUP('Données projet'!$B$16,Paramètres!$A$1:$I$89,3,0)*VLOOKUP('Données projet'!$B$16,Paramètres!$A$1:$I$89,5,0)</f>
        <v>8.8675733422860506E-14</v>
      </c>
      <c r="FG162" s="14">
        <f t="shared" si="182"/>
        <v>1.3509285393066301E-12</v>
      </c>
      <c r="FH162" s="22">
        <f t="shared" si="183"/>
        <v>2.5073107750038623E-12</v>
      </c>
      <c r="FI162" s="62">
        <f t="shared" si="131"/>
        <v>290.21904092088039</v>
      </c>
      <c r="FJ162" s="62">
        <f ca="1">AVERAGE(OFFSET($FI$3,0,0,'Données projet'!$E$16+1,1))-AVERAGE(OFFSET($H$3,0,0,'Données projet'!$E$16+1,1))</f>
        <v>303.56663121833833</v>
      </c>
      <c r="FK162" s="62">
        <f t="shared" si="156"/>
        <v>293.97736357938038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69.15064752387579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-5.6843418860808015E-14</v>
      </c>
      <c r="GA162" s="18">
        <f>FZ162*VLOOKUP('Données projet'!$B$17,Paramètres!$A$1:$I$89,3,0)*VLOOKUP('Données projet'!$B$17,Paramètres!$A$1:$I$89,5,0)</f>
        <v>-4.5224624045658861E-14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383.71724511025587</v>
      </c>
      <c r="GF162" s="62">
        <f t="shared" si="158"/>
        <v>415.10774719533185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69.15064752387579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1.7053025658242404E-13</v>
      </c>
      <c r="GV162" s="18">
        <f>GU162*VLOOKUP('Données projet'!$B$18,Paramètres!$A$1:$I$89,3,0)*VLOOKUP('Données projet'!$B$18,Paramètres!$A$1:$I$89,5,0)</f>
        <v>1.1439169611549005E-13</v>
      </c>
      <c r="GW162" s="14">
        <f t="shared" si="188"/>
        <v>1.6918016515029816E-12</v>
      </c>
      <c r="GX162" s="22">
        <f t="shared" si="189"/>
        <v>3.1457867471021712E-12</v>
      </c>
      <c r="GY162" s="62">
        <f t="shared" si="137"/>
        <v>290.21904092088101</v>
      </c>
      <c r="GZ162" s="62">
        <f ca="1">AVERAGE(OFFSET($GY$3,0,0,'Données projet'!$E$18+1,1))-AVERAGE(OFFSET($H$3,0,0,'Données projet'!$E$18+1,1))</f>
        <v>329.93956600482801</v>
      </c>
      <c r="HA162" s="62">
        <f t="shared" si="160"/>
        <v>268.69186630599165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2.7450000000000001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10.065</v>
      </c>
      <c r="H163" s="70">
        <f t="shared" si="110"/>
        <v>216.40666666666667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69.165381890468893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-1.0286385077051818E-13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551.67307965706379</v>
      </c>
      <c r="T163" s="62">
        <f t="shared" si="142"/>
        <v>288.70738860523943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69.165381890468893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-9.5769792096689348E-14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518.18933270904506</v>
      </c>
      <c r="AO163" s="62">
        <f t="shared" si="144"/>
        <v>272.44431899810411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69.165381890468893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-9.7543306765146564E-14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464.73160475167867</v>
      </c>
      <c r="BJ163" s="62">
        <f t="shared" si="146"/>
        <v>241.31968359962227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69.165381890468893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2.2737367544323206E-13</v>
      </c>
      <c r="BZ163" s="14">
        <f>BY163*VLOOKUP('Données projet'!$B$12,Paramètres!$A$1:$I$89,3,0)*VLOOKUP('Données projet'!$B$12,Paramètres!$A$1:$I$89,5,0)</f>
        <v>1.4897523215040565E-13</v>
      </c>
      <c r="CA163" s="14">
        <f t="shared" si="170"/>
        <v>2.136562777003313E-12</v>
      </c>
      <c r="CB163" s="22">
        <f t="shared" si="171"/>
        <v>3.9806453659427267E-12</v>
      </c>
      <c r="CC163" s="62">
        <f t="shared" si="119"/>
        <v>290.27306693172324</v>
      </c>
      <c r="CD163" s="62">
        <f ca="1">AVERAGE(OFFSET($CC$3,0,0,'Données projet'!$E$12+1,1))-AVERAGE(OFFSET($H$3,0,0,'Données projet'!$E$12+1,1))</f>
        <v>292.13851489852607</v>
      </c>
      <c r="CE163" s="62">
        <f t="shared" si="148"/>
        <v>280.10866188737418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69.165381890468893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-1.1368683772161603E-13</v>
      </c>
      <c r="CU163" s="18">
        <f>CT163*VLOOKUP('Données projet'!$B$13,Paramètres!$A$1:$I$89,3,0)*VLOOKUP('Données projet'!$B$13,Paramètres!$A$1:$I$89,5,0)</f>
        <v>-9.2222762759774927E-14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265.25572936607409</v>
      </c>
      <c r="CZ163" s="62">
        <f t="shared" si="150"/>
        <v>307.96244316129071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69.165381890468893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5.6843418860808015E-14</v>
      </c>
      <c r="DP163" s="18">
        <f>DO163*VLOOKUP('Données projet'!$B$14,Paramètres!$A$1:$I$89,3,0)*VLOOKUP('Données projet'!$B$14,Paramètres!$A$1:$I$89,5,0)</f>
        <v>5.4092197387944907E-14</v>
      </c>
      <c r="DQ163" s="14">
        <f t="shared" si="176"/>
        <v>8.7287050538073676E-13</v>
      </c>
      <c r="DR163" s="22">
        <f t="shared" si="177"/>
        <v>1.6144600406554537E-12</v>
      </c>
      <c r="DS163" s="62">
        <f t="shared" si="125"/>
        <v>290.27306693172085</v>
      </c>
      <c r="DT163" s="62">
        <f ca="1">AVERAGE(OFFSET($DS$3,0,0,'Données projet'!$E$14+1,1))-AVERAGE(OFFSET($H$3,0,0,'Données projet'!$E$14+1,1))</f>
        <v>425.41154182732936</v>
      </c>
      <c r="DU163" s="62">
        <f t="shared" si="152"/>
        <v>306.44721925744591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69.165381890468893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-5.6843418860808015E-14</v>
      </c>
      <c r="EK163" s="18">
        <f>EJ163*VLOOKUP('Données projet'!$B$15,Paramètres!$A$1:$I$89,3,0)*VLOOKUP('Données projet'!$B$15,Paramètres!$A$1:$I$89,5,0)</f>
        <v>-4.1677594708744434E-14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357.57626046668958</v>
      </c>
      <c r="EP163" s="62">
        <f t="shared" si="154"/>
        <v>386.90439522046199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69.165381890468893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1.1368683772161603E-13</v>
      </c>
      <c r="FF163" s="18">
        <f>FE163*VLOOKUP('Données projet'!$B$16,Paramètres!$A$1:$I$89,3,0)*VLOOKUP('Données projet'!$B$16,Paramètres!$A$1:$I$89,5,0)</f>
        <v>8.8675733422860506E-14</v>
      </c>
      <c r="FG163" s="14">
        <f t="shared" si="182"/>
        <v>1.3509285393066301E-12</v>
      </c>
      <c r="FH163" s="22">
        <f t="shared" si="183"/>
        <v>2.5073107750038623E-12</v>
      </c>
      <c r="FI163" s="62">
        <f t="shared" si="131"/>
        <v>290.27306693172176</v>
      </c>
      <c r="FJ163" s="62">
        <f ca="1">AVERAGE(OFFSET($FI$3,0,0,'Données projet'!$E$16+1,1))-AVERAGE(OFFSET($H$3,0,0,'Données projet'!$E$16+1,1))</f>
        <v>303.56663121833833</v>
      </c>
      <c r="FK163" s="62">
        <f t="shared" si="156"/>
        <v>293.97736357938038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69.165381890468893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-5.6843418860808015E-14</v>
      </c>
      <c r="GA163" s="18">
        <f>FZ163*VLOOKUP('Données projet'!$B$17,Paramètres!$A$1:$I$89,3,0)*VLOOKUP('Données projet'!$B$17,Paramètres!$A$1:$I$89,5,0)</f>
        <v>-4.5224624045658861E-14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383.71724511025587</v>
      </c>
      <c r="GF163" s="62">
        <f t="shared" si="158"/>
        <v>415.10774719533185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69.165381890468893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1.7053025658242404E-13</v>
      </c>
      <c r="GV163" s="18">
        <f>GU163*VLOOKUP('Données projet'!$B$18,Paramètres!$A$1:$I$89,3,0)*VLOOKUP('Données projet'!$B$18,Paramètres!$A$1:$I$89,5,0)</f>
        <v>1.1439169611549005E-13</v>
      </c>
      <c r="GW163" s="14">
        <f t="shared" si="188"/>
        <v>1.6918016515029816E-12</v>
      </c>
      <c r="GX163" s="22">
        <f t="shared" si="189"/>
        <v>3.1457867471021712E-12</v>
      </c>
      <c r="GY163" s="62">
        <f t="shared" si="137"/>
        <v>290.27306693172238</v>
      </c>
      <c r="GZ163" s="62">
        <f ca="1">AVERAGE(OFFSET($GY$3,0,0,'Données projet'!$E$18+1,1))-AVERAGE(OFFSET($H$3,0,0,'Données projet'!$E$18+1,1))</f>
        <v>329.93956600482801</v>
      </c>
      <c r="HA163" s="62">
        <f t="shared" si="160"/>
        <v>268.69186630599165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2.7450000000000001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10.065</v>
      </c>
      <c r="H164" s="70">
        <f t="shared" si="110"/>
        <v>216.40666666666667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69.179860648742704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-1.0286385077051818E-13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551.67307965706379</v>
      </c>
      <c r="T164" s="62">
        <f t="shared" si="142"/>
        <v>288.70738860523943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69.179860648742704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-9.5769792096689348E-14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518.18933270904506</v>
      </c>
      <c r="AO164" s="62">
        <f t="shared" si="144"/>
        <v>272.44431899810411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69.179860648742704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-9.7543306765146564E-14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464.73160475167867</v>
      </c>
      <c r="BJ164" s="62">
        <f t="shared" si="146"/>
        <v>241.31968359962227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69.179860648742704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2.2737367544323206E-13</v>
      </c>
      <c r="BZ164" s="14">
        <f>BY164*VLOOKUP('Données projet'!$B$12,Paramètres!$A$1:$I$89,3,0)*VLOOKUP('Données projet'!$B$12,Paramètres!$A$1:$I$89,5,0)</f>
        <v>1.4897523215040565E-13</v>
      </c>
      <c r="CA164" s="14">
        <f t="shared" si="170"/>
        <v>2.136562777003313E-12</v>
      </c>
      <c r="CB164" s="22">
        <f t="shared" si="171"/>
        <v>3.9806453659427267E-12</v>
      </c>
      <c r="CC164" s="62">
        <f t="shared" si="119"/>
        <v>290.32615571206054</v>
      </c>
      <c r="CD164" s="62">
        <f ca="1">AVERAGE(OFFSET($CC$3,0,0,'Données projet'!$E$12+1,1))-AVERAGE(OFFSET($H$3,0,0,'Données projet'!$E$12+1,1))</f>
        <v>292.13851489852607</v>
      </c>
      <c r="CE164" s="62">
        <f t="shared" si="148"/>
        <v>280.10866188737418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69.179860648742704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-1.1368683772161603E-13</v>
      </c>
      <c r="CU164" s="18">
        <f>CT164*VLOOKUP('Données projet'!$B$13,Paramètres!$A$1:$I$89,3,0)*VLOOKUP('Données projet'!$B$13,Paramètres!$A$1:$I$89,5,0)</f>
        <v>-9.2222762759774927E-14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265.25572936607409</v>
      </c>
      <c r="CZ164" s="62">
        <f t="shared" si="150"/>
        <v>307.96244316129071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69.179860648742704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5.6843418860808015E-14</v>
      </c>
      <c r="DP164" s="18">
        <f>DO164*VLOOKUP('Données projet'!$B$14,Paramètres!$A$1:$I$89,3,0)*VLOOKUP('Données projet'!$B$14,Paramètres!$A$1:$I$89,5,0)</f>
        <v>5.4092197387944907E-14</v>
      </c>
      <c r="DQ164" s="14">
        <f t="shared" si="176"/>
        <v>8.7287050538073676E-13</v>
      </c>
      <c r="DR164" s="22">
        <f t="shared" si="177"/>
        <v>1.6144600406554537E-12</v>
      </c>
      <c r="DS164" s="62">
        <f t="shared" si="125"/>
        <v>290.32615571205815</v>
      </c>
      <c r="DT164" s="62">
        <f ca="1">AVERAGE(OFFSET($DS$3,0,0,'Données projet'!$E$14+1,1))-AVERAGE(OFFSET($H$3,0,0,'Données projet'!$E$14+1,1))</f>
        <v>425.41154182732936</v>
      </c>
      <c r="DU164" s="62">
        <f t="shared" si="152"/>
        <v>306.44721925744591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69.179860648742704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-5.6843418860808015E-14</v>
      </c>
      <c r="EK164" s="18">
        <f>EJ164*VLOOKUP('Données projet'!$B$15,Paramètres!$A$1:$I$89,3,0)*VLOOKUP('Données projet'!$B$15,Paramètres!$A$1:$I$89,5,0)</f>
        <v>-4.1677594708744434E-14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357.57626046668958</v>
      </c>
      <c r="EP164" s="62">
        <f t="shared" si="154"/>
        <v>386.90439522046199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69.179860648742704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1.1368683772161603E-13</v>
      </c>
      <c r="FF164" s="18">
        <f>FE164*VLOOKUP('Données projet'!$B$16,Paramètres!$A$1:$I$89,3,0)*VLOOKUP('Données projet'!$B$16,Paramètres!$A$1:$I$89,5,0)</f>
        <v>8.8675733422860506E-14</v>
      </c>
      <c r="FG164" s="14">
        <f t="shared" si="182"/>
        <v>1.3509285393066301E-12</v>
      </c>
      <c r="FH164" s="22">
        <f t="shared" si="183"/>
        <v>2.5073107750038623E-12</v>
      </c>
      <c r="FI164" s="62">
        <f t="shared" si="131"/>
        <v>290.32615571205906</v>
      </c>
      <c r="FJ164" s="62">
        <f ca="1">AVERAGE(OFFSET($FI$3,0,0,'Données projet'!$E$16+1,1))-AVERAGE(OFFSET($H$3,0,0,'Données projet'!$E$16+1,1))</f>
        <v>303.56663121833833</v>
      </c>
      <c r="FK164" s="62">
        <f t="shared" si="156"/>
        <v>293.97736357938038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69.179860648742704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-5.6843418860808015E-14</v>
      </c>
      <c r="GA164" s="18">
        <f>FZ164*VLOOKUP('Données projet'!$B$17,Paramètres!$A$1:$I$89,3,0)*VLOOKUP('Données projet'!$B$17,Paramètres!$A$1:$I$89,5,0)</f>
        <v>-4.5224624045658861E-14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383.71724511025587</v>
      </c>
      <c r="GF164" s="62">
        <f t="shared" si="158"/>
        <v>415.10774719533185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69.179860648742704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1.7053025658242404E-13</v>
      </c>
      <c r="GV164" s="18">
        <f>GU164*VLOOKUP('Données projet'!$B$18,Paramètres!$A$1:$I$89,3,0)*VLOOKUP('Données projet'!$B$18,Paramètres!$A$1:$I$89,5,0)</f>
        <v>1.1439169611549005E-13</v>
      </c>
      <c r="GW164" s="14">
        <f t="shared" si="188"/>
        <v>1.6918016515029816E-12</v>
      </c>
      <c r="GX164" s="22">
        <f t="shared" si="189"/>
        <v>3.1457867471021712E-12</v>
      </c>
      <c r="GY164" s="62">
        <f t="shared" si="137"/>
        <v>290.32615571205969</v>
      </c>
      <c r="GZ164" s="62">
        <f ca="1">AVERAGE(OFFSET($GY$3,0,0,'Données projet'!$E$18+1,1))-AVERAGE(OFFSET($H$3,0,0,'Données projet'!$E$18+1,1))</f>
        <v>329.93956600482801</v>
      </c>
      <c r="HA164" s="62">
        <f t="shared" si="160"/>
        <v>268.69186630599165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2.7450000000000001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10.065</v>
      </c>
      <c r="H165" s="70">
        <f t="shared" si="110"/>
        <v>216.40666666666667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69.194088232930113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-1.0286385077051818E-13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551.67307965706379</v>
      </c>
      <c r="T165" s="62">
        <f t="shared" si="142"/>
        <v>288.70738860523943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69.194088232930113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-9.5769792096689348E-14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518.18933270904506</v>
      </c>
      <c r="AO165" s="62">
        <f t="shared" si="144"/>
        <v>272.44431899810411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69.194088232930113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-9.7543306765146564E-14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464.73160475167867</v>
      </c>
      <c r="BJ165" s="62">
        <f t="shared" si="146"/>
        <v>241.31968359962227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69.194088232930113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2.2737367544323206E-13</v>
      </c>
      <c r="BZ165" s="14">
        <f>BY165*VLOOKUP('Données projet'!$B$12,Paramètres!$A$1:$I$89,3,0)*VLOOKUP('Données projet'!$B$12,Paramètres!$A$1:$I$89,5,0)</f>
        <v>1.4897523215040565E-13</v>
      </c>
      <c r="CA165" s="14">
        <f t="shared" si="170"/>
        <v>2.136562777003313E-12</v>
      </c>
      <c r="CB165" s="22">
        <f t="shared" si="171"/>
        <v>3.9806453659427267E-12</v>
      </c>
      <c r="CC165" s="62">
        <f t="shared" si="119"/>
        <v>290.37832352074776</v>
      </c>
      <c r="CD165" s="62">
        <f ca="1">AVERAGE(OFFSET($CC$3,0,0,'Données projet'!$E$12+1,1))-AVERAGE(OFFSET($H$3,0,0,'Données projet'!$E$12+1,1))</f>
        <v>292.13851489852607</v>
      </c>
      <c r="CE165" s="62">
        <f t="shared" si="148"/>
        <v>280.10866188737418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69.194088232930113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-1.1368683772161603E-13</v>
      </c>
      <c r="CU165" s="18">
        <f>CT165*VLOOKUP('Données projet'!$B$13,Paramètres!$A$1:$I$89,3,0)*VLOOKUP('Données projet'!$B$13,Paramètres!$A$1:$I$89,5,0)</f>
        <v>-9.2222762759774927E-14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265.25572936607409</v>
      </c>
      <c r="CZ165" s="62">
        <f t="shared" si="150"/>
        <v>307.96244316129071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69.194088232930113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5.6843418860808015E-14</v>
      </c>
      <c r="DP165" s="18">
        <f>DO165*VLOOKUP('Données projet'!$B$14,Paramètres!$A$1:$I$89,3,0)*VLOOKUP('Données projet'!$B$14,Paramètres!$A$1:$I$89,5,0)</f>
        <v>5.4092197387944907E-14</v>
      </c>
      <c r="DQ165" s="14">
        <f t="shared" si="176"/>
        <v>8.7287050538073676E-13</v>
      </c>
      <c r="DR165" s="22">
        <f t="shared" si="177"/>
        <v>1.6144600406554537E-12</v>
      </c>
      <c r="DS165" s="62">
        <f t="shared" si="125"/>
        <v>290.37832352074537</v>
      </c>
      <c r="DT165" s="62">
        <f ca="1">AVERAGE(OFFSET($DS$3,0,0,'Données projet'!$E$14+1,1))-AVERAGE(OFFSET($H$3,0,0,'Données projet'!$E$14+1,1))</f>
        <v>425.41154182732936</v>
      </c>
      <c r="DU165" s="62">
        <f t="shared" si="152"/>
        <v>306.44721925744591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69.194088232930113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-5.6843418860808015E-14</v>
      </c>
      <c r="EK165" s="18">
        <f>EJ165*VLOOKUP('Données projet'!$B$15,Paramètres!$A$1:$I$89,3,0)*VLOOKUP('Données projet'!$B$15,Paramètres!$A$1:$I$89,5,0)</f>
        <v>-4.1677594708744434E-14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357.57626046668958</v>
      </c>
      <c r="EP165" s="62">
        <f t="shared" si="154"/>
        <v>386.90439522046199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69.194088232930113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1.1368683772161603E-13</v>
      </c>
      <c r="FF165" s="18">
        <f>FE165*VLOOKUP('Données projet'!$B$16,Paramètres!$A$1:$I$89,3,0)*VLOOKUP('Données projet'!$B$16,Paramètres!$A$1:$I$89,5,0)</f>
        <v>8.8675733422860506E-14</v>
      </c>
      <c r="FG165" s="14">
        <f t="shared" si="182"/>
        <v>1.3509285393066301E-12</v>
      </c>
      <c r="FH165" s="22">
        <f t="shared" si="183"/>
        <v>2.5073107750038623E-12</v>
      </c>
      <c r="FI165" s="62">
        <f t="shared" si="131"/>
        <v>290.37832352074628</v>
      </c>
      <c r="FJ165" s="62">
        <f ca="1">AVERAGE(OFFSET($FI$3,0,0,'Données projet'!$E$16+1,1))-AVERAGE(OFFSET($H$3,0,0,'Données projet'!$E$16+1,1))</f>
        <v>303.56663121833833</v>
      </c>
      <c r="FK165" s="62">
        <f t="shared" si="156"/>
        <v>293.97736357938038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69.194088232930113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-5.6843418860808015E-14</v>
      </c>
      <c r="GA165" s="18">
        <f>FZ165*VLOOKUP('Données projet'!$B$17,Paramètres!$A$1:$I$89,3,0)*VLOOKUP('Données projet'!$B$17,Paramètres!$A$1:$I$89,5,0)</f>
        <v>-4.5224624045658861E-14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383.71724511025587</v>
      </c>
      <c r="GF165" s="62">
        <f t="shared" si="158"/>
        <v>415.10774719533185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69.194088232930113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1.7053025658242404E-13</v>
      </c>
      <c r="GV165" s="18">
        <f>GU165*VLOOKUP('Données projet'!$B$18,Paramètres!$A$1:$I$89,3,0)*VLOOKUP('Données projet'!$B$18,Paramètres!$A$1:$I$89,5,0)</f>
        <v>1.1439169611549005E-13</v>
      </c>
      <c r="GW165" s="14">
        <f t="shared" si="188"/>
        <v>1.6918016515029816E-12</v>
      </c>
      <c r="GX165" s="22">
        <f t="shared" si="189"/>
        <v>3.1457867471021712E-12</v>
      </c>
      <c r="GY165" s="62">
        <f t="shared" si="137"/>
        <v>290.3783235207469</v>
      </c>
      <c r="GZ165" s="62">
        <f ca="1">AVERAGE(OFFSET($GY$3,0,0,'Données projet'!$E$18+1,1))-AVERAGE(OFFSET($H$3,0,0,'Données projet'!$E$18+1,1))</f>
        <v>329.93956600482801</v>
      </c>
      <c r="HA165" s="62">
        <f t="shared" si="160"/>
        <v>268.69186630599165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2.7450000000000001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10.065</v>
      </c>
      <c r="H166" s="70">
        <f t="shared" si="110"/>
        <v>216.40666666666667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69.208069000339975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-1.0286385077051818E-13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551.67307965706379</v>
      </c>
      <c r="T166" s="62">
        <f t="shared" si="142"/>
        <v>288.70738860523943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69.208069000339975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-9.5769792096689348E-14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518.18933270904506</v>
      </c>
      <c r="AO166" s="62">
        <f t="shared" si="144"/>
        <v>272.44431899810411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69.208069000339975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-9.7543306765146564E-14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464.73160475167867</v>
      </c>
      <c r="BJ166" s="62">
        <f t="shared" si="146"/>
        <v>241.31968359962227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69.208069000339975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2.2737367544323206E-13</v>
      </c>
      <c r="BZ166" s="14">
        <f>BY166*VLOOKUP('Données projet'!$B$12,Paramètres!$A$1:$I$89,3,0)*VLOOKUP('Données projet'!$B$12,Paramètres!$A$1:$I$89,5,0)</f>
        <v>1.4897523215040565E-13</v>
      </c>
      <c r="CA166" s="14">
        <f t="shared" si="170"/>
        <v>2.136562777003313E-12</v>
      </c>
      <c r="CB166" s="22">
        <f t="shared" si="171"/>
        <v>3.9806453659427267E-12</v>
      </c>
      <c r="CC166" s="62">
        <f t="shared" si="119"/>
        <v>290.42958633458392</v>
      </c>
      <c r="CD166" s="62">
        <f ca="1">AVERAGE(OFFSET($CC$3,0,0,'Données projet'!$E$12+1,1))-AVERAGE(OFFSET($H$3,0,0,'Données projet'!$E$12+1,1))</f>
        <v>292.13851489852607</v>
      </c>
      <c r="CE166" s="62">
        <f t="shared" si="148"/>
        <v>280.10866188737418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69.208069000339975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-1.1368683772161603E-13</v>
      </c>
      <c r="CU166" s="18">
        <f>CT166*VLOOKUP('Données projet'!$B$13,Paramètres!$A$1:$I$89,3,0)*VLOOKUP('Données projet'!$B$13,Paramètres!$A$1:$I$89,5,0)</f>
        <v>-9.2222762759774927E-14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265.25572936607409</v>
      </c>
      <c r="CZ166" s="62">
        <f t="shared" si="150"/>
        <v>307.96244316129071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69.208069000339975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5.6843418860808015E-14</v>
      </c>
      <c r="DP166" s="18">
        <f>DO166*VLOOKUP('Données projet'!$B$14,Paramètres!$A$1:$I$89,3,0)*VLOOKUP('Données projet'!$B$14,Paramètres!$A$1:$I$89,5,0)</f>
        <v>5.4092197387944907E-14</v>
      </c>
      <c r="DQ166" s="14">
        <f t="shared" si="176"/>
        <v>8.7287050538073676E-13</v>
      </c>
      <c r="DR166" s="22">
        <f t="shared" si="177"/>
        <v>1.6144600406554537E-12</v>
      </c>
      <c r="DS166" s="62">
        <f t="shared" si="125"/>
        <v>290.42958633458153</v>
      </c>
      <c r="DT166" s="62">
        <f ca="1">AVERAGE(OFFSET($DS$3,0,0,'Données projet'!$E$14+1,1))-AVERAGE(OFFSET($H$3,0,0,'Données projet'!$E$14+1,1))</f>
        <v>425.41154182732936</v>
      </c>
      <c r="DU166" s="62">
        <f t="shared" si="152"/>
        <v>306.44721925744591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69.208069000339975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-5.6843418860808015E-14</v>
      </c>
      <c r="EK166" s="18">
        <f>EJ166*VLOOKUP('Données projet'!$B$15,Paramètres!$A$1:$I$89,3,0)*VLOOKUP('Données projet'!$B$15,Paramètres!$A$1:$I$89,5,0)</f>
        <v>-4.1677594708744434E-14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357.57626046668958</v>
      </c>
      <c r="EP166" s="62">
        <f t="shared" si="154"/>
        <v>386.90439522046199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69.208069000339975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1.1368683772161603E-13</v>
      </c>
      <c r="FF166" s="18">
        <f>FE166*VLOOKUP('Données projet'!$B$16,Paramètres!$A$1:$I$89,3,0)*VLOOKUP('Données projet'!$B$16,Paramètres!$A$1:$I$89,5,0)</f>
        <v>8.8675733422860506E-14</v>
      </c>
      <c r="FG166" s="14">
        <f t="shared" si="182"/>
        <v>1.3509285393066301E-12</v>
      </c>
      <c r="FH166" s="22">
        <f t="shared" si="183"/>
        <v>2.5073107750038623E-12</v>
      </c>
      <c r="FI166" s="62">
        <f t="shared" si="131"/>
        <v>290.42958633458244</v>
      </c>
      <c r="FJ166" s="62">
        <f ca="1">AVERAGE(OFFSET($FI$3,0,0,'Données projet'!$E$16+1,1))-AVERAGE(OFFSET($H$3,0,0,'Données projet'!$E$16+1,1))</f>
        <v>303.56663121833833</v>
      </c>
      <c r="FK166" s="62">
        <f t="shared" si="156"/>
        <v>293.97736357938038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69.208069000339975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-5.6843418860808015E-14</v>
      </c>
      <c r="GA166" s="18">
        <f>FZ166*VLOOKUP('Données projet'!$B$17,Paramètres!$A$1:$I$89,3,0)*VLOOKUP('Données projet'!$B$17,Paramètres!$A$1:$I$89,5,0)</f>
        <v>-4.5224624045658861E-14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383.71724511025587</v>
      </c>
      <c r="GF166" s="62">
        <f t="shared" si="158"/>
        <v>415.10774719533185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69.208069000339975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1.7053025658242404E-13</v>
      </c>
      <c r="GV166" s="18">
        <f>GU166*VLOOKUP('Données projet'!$B$18,Paramètres!$A$1:$I$89,3,0)*VLOOKUP('Données projet'!$B$18,Paramètres!$A$1:$I$89,5,0)</f>
        <v>1.1439169611549005E-13</v>
      </c>
      <c r="GW166" s="14">
        <f t="shared" si="188"/>
        <v>1.6918016515029816E-12</v>
      </c>
      <c r="GX166" s="22">
        <f t="shared" si="189"/>
        <v>3.1457867471021712E-12</v>
      </c>
      <c r="GY166" s="62">
        <f t="shared" si="137"/>
        <v>290.42958633458306</v>
      </c>
      <c r="GZ166" s="62">
        <f ca="1">AVERAGE(OFFSET($GY$3,0,0,'Données projet'!$E$18+1,1))-AVERAGE(OFFSET($H$3,0,0,'Données projet'!$E$18+1,1))</f>
        <v>329.93956600482801</v>
      </c>
      <c r="HA166" s="62">
        <f t="shared" si="160"/>
        <v>268.69186630599165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2.7450000000000001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10.065</v>
      </c>
      <c r="H167" s="70">
        <f t="shared" si="110"/>
        <v>216.40666666666667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69.221807232691603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-1.0286385077051818E-13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551.67307965706379</v>
      </c>
      <c r="T167" s="62">
        <f t="shared" si="142"/>
        <v>288.70738860523943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69.221807232691603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-9.5769792096689348E-14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518.18933270904506</v>
      </c>
      <c r="AO167" s="62">
        <f t="shared" si="144"/>
        <v>272.44431899810411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69.221807232691603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-9.7543306765146564E-14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464.73160475167867</v>
      </c>
      <c r="BJ167" s="62">
        <f t="shared" si="146"/>
        <v>241.31968359962227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69.221807232691603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2.2737367544323206E-13</v>
      </c>
      <c r="BZ167" s="14">
        <f>BY167*VLOOKUP('Données projet'!$B$12,Paramètres!$A$1:$I$89,3,0)*VLOOKUP('Données projet'!$B$12,Paramètres!$A$1:$I$89,5,0)</f>
        <v>1.4897523215040565E-13</v>
      </c>
      <c r="CA167" s="14">
        <f t="shared" si="170"/>
        <v>2.136562777003313E-12</v>
      </c>
      <c r="CB167" s="22">
        <f t="shared" si="171"/>
        <v>3.9806453659427267E-12</v>
      </c>
      <c r="CC167" s="62">
        <f t="shared" si="119"/>
        <v>290.47995985320654</v>
      </c>
      <c r="CD167" s="62">
        <f ca="1">AVERAGE(OFFSET($CC$3,0,0,'Données projet'!$E$12+1,1))-AVERAGE(OFFSET($H$3,0,0,'Données projet'!$E$12+1,1))</f>
        <v>292.13851489852607</v>
      </c>
      <c r="CE167" s="62">
        <f t="shared" si="148"/>
        <v>280.10866188737418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69.221807232691603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-1.1368683772161603E-13</v>
      </c>
      <c r="CU167" s="18">
        <f>CT167*VLOOKUP('Données projet'!$B$13,Paramètres!$A$1:$I$89,3,0)*VLOOKUP('Données projet'!$B$13,Paramètres!$A$1:$I$89,5,0)</f>
        <v>-9.2222762759774927E-14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265.25572936607409</v>
      </c>
      <c r="CZ167" s="62">
        <f t="shared" si="150"/>
        <v>307.96244316129071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69.221807232691603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5.6843418860808015E-14</v>
      </c>
      <c r="DP167" s="18">
        <f>DO167*VLOOKUP('Données projet'!$B$14,Paramètres!$A$1:$I$89,3,0)*VLOOKUP('Données projet'!$B$14,Paramètres!$A$1:$I$89,5,0)</f>
        <v>5.4092197387944907E-14</v>
      </c>
      <c r="DQ167" s="14">
        <f t="shared" si="176"/>
        <v>8.7287050538073676E-13</v>
      </c>
      <c r="DR167" s="22">
        <f t="shared" si="177"/>
        <v>1.6144600406554537E-12</v>
      </c>
      <c r="DS167" s="62">
        <f t="shared" si="125"/>
        <v>290.47995985320415</v>
      </c>
      <c r="DT167" s="62">
        <f ca="1">AVERAGE(OFFSET($DS$3,0,0,'Données projet'!$E$14+1,1))-AVERAGE(OFFSET($H$3,0,0,'Données projet'!$E$14+1,1))</f>
        <v>425.41154182732936</v>
      </c>
      <c r="DU167" s="62">
        <f t="shared" si="152"/>
        <v>306.44721925744591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69.221807232691603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-5.6843418860808015E-14</v>
      </c>
      <c r="EK167" s="18">
        <f>EJ167*VLOOKUP('Données projet'!$B$15,Paramètres!$A$1:$I$89,3,0)*VLOOKUP('Données projet'!$B$15,Paramètres!$A$1:$I$89,5,0)</f>
        <v>-4.1677594708744434E-14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357.57626046668958</v>
      </c>
      <c r="EP167" s="62">
        <f t="shared" si="154"/>
        <v>386.90439522046199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69.221807232691603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1.1368683772161603E-13</v>
      </c>
      <c r="FF167" s="18">
        <f>FE167*VLOOKUP('Données projet'!$B$16,Paramètres!$A$1:$I$89,3,0)*VLOOKUP('Données projet'!$B$16,Paramètres!$A$1:$I$89,5,0)</f>
        <v>8.8675733422860506E-14</v>
      </c>
      <c r="FG167" s="14">
        <f t="shared" si="182"/>
        <v>1.3509285393066301E-12</v>
      </c>
      <c r="FH167" s="22">
        <f t="shared" si="183"/>
        <v>2.5073107750038623E-12</v>
      </c>
      <c r="FI167" s="62">
        <f t="shared" si="131"/>
        <v>290.47995985320506</v>
      </c>
      <c r="FJ167" s="62">
        <f ca="1">AVERAGE(OFFSET($FI$3,0,0,'Données projet'!$E$16+1,1))-AVERAGE(OFFSET($H$3,0,0,'Données projet'!$E$16+1,1))</f>
        <v>303.56663121833833</v>
      </c>
      <c r="FK167" s="62">
        <f t="shared" si="156"/>
        <v>293.97736357938038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69.221807232691603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-5.6843418860808015E-14</v>
      </c>
      <c r="GA167" s="18">
        <f>FZ167*VLOOKUP('Données projet'!$B$17,Paramètres!$A$1:$I$89,3,0)*VLOOKUP('Données projet'!$B$17,Paramètres!$A$1:$I$89,5,0)</f>
        <v>-4.5224624045658861E-14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383.71724511025587</v>
      </c>
      <c r="GF167" s="62">
        <f t="shared" si="158"/>
        <v>415.10774719533185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69.221807232691603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1.7053025658242404E-13</v>
      </c>
      <c r="GV167" s="18">
        <f>GU167*VLOOKUP('Données projet'!$B$18,Paramètres!$A$1:$I$89,3,0)*VLOOKUP('Données projet'!$B$18,Paramètres!$A$1:$I$89,5,0)</f>
        <v>1.1439169611549005E-13</v>
      </c>
      <c r="GW167" s="14">
        <f t="shared" si="188"/>
        <v>1.6918016515029816E-12</v>
      </c>
      <c r="GX167" s="22">
        <f t="shared" si="189"/>
        <v>3.1457867471021712E-12</v>
      </c>
      <c r="GY167" s="62">
        <f t="shared" si="137"/>
        <v>290.47995985320568</v>
      </c>
      <c r="GZ167" s="62">
        <f ca="1">AVERAGE(OFFSET($GY$3,0,0,'Données projet'!$E$18+1,1))-AVERAGE(OFFSET($H$3,0,0,'Données projet'!$E$18+1,1))</f>
        <v>329.93956600482801</v>
      </c>
      <c r="HA167" s="62">
        <f t="shared" si="160"/>
        <v>268.69186630599165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2.7450000000000001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10.065</v>
      </c>
      <c r="H168" s="70">
        <f t="shared" si="110"/>
        <v>216.40666666666667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69.23530713742602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-1.0286385077051818E-13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551.67307965706379</v>
      </c>
      <c r="T168" s="62">
        <f t="shared" si="142"/>
        <v>288.70738860523943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69.23530713742602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-9.5769792096689348E-14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518.18933270904506</v>
      </c>
      <c r="AO168" s="62">
        <f t="shared" si="144"/>
        <v>272.44431899810411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69.23530713742602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-9.7543306765146564E-14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464.73160475167867</v>
      </c>
      <c r="BJ168" s="62">
        <f t="shared" si="146"/>
        <v>241.31968359962227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69.23530713742602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2.2737367544323206E-13</v>
      </c>
      <c r="BZ168" s="14">
        <f>BY168*VLOOKUP('Données projet'!$B$12,Paramètres!$A$1:$I$89,3,0)*VLOOKUP('Données projet'!$B$12,Paramètres!$A$1:$I$89,5,0)</f>
        <v>1.4897523215040565E-13</v>
      </c>
      <c r="CA168" s="14">
        <f t="shared" si="170"/>
        <v>2.136562777003313E-12</v>
      </c>
      <c r="CB168" s="22">
        <f t="shared" si="171"/>
        <v>3.9806453659427267E-12</v>
      </c>
      <c r="CC168" s="62">
        <f t="shared" si="119"/>
        <v>290.52945950389937</v>
      </c>
      <c r="CD168" s="62">
        <f ca="1">AVERAGE(OFFSET($CC$3,0,0,'Données projet'!$E$12+1,1))-AVERAGE(OFFSET($H$3,0,0,'Données projet'!$E$12+1,1))</f>
        <v>292.13851489852607</v>
      </c>
      <c r="CE168" s="62">
        <f t="shared" si="148"/>
        <v>280.10866188737418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69.23530713742602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-1.1368683772161603E-13</v>
      </c>
      <c r="CU168" s="18">
        <f>CT168*VLOOKUP('Données projet'!$B$13,Paramètres!$A$1:$I$89,3,0)*VLOOKUP('Données projet'!$B$13,Paramètres!$A$1:$I$89,5,0)</f>
        <v>-9.2222762759774927E-14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265.25572936607409</v>
      </c>
      <c r="CZ168" s="62">
        <f t="shared" si="150"/>
        <v>307.96244316129071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69.23530713742602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5.6843418860808015E-14</v>
      </c>
      <c r="DP168" s="18">
        <f>DO168*VLOOKUP('Données projet'!$B$14,Paramètres!$A$1:$I$89,3,0)*VLOOKUP('Données projet'!$B$14,Paramètres!$A$1:$I$89,5,0)</f>
        <v>5.4092197387944907E-14</v>
      </c>
      <c r="DQ168" s="14">
        <f t="shared" si="176"/>
        <v>8.7287050538073676E-13</v>
      </c>
      <c r="DR168" s="22">
        <f t="shared" si="177"/>
        <v>1.6144600406554537E-12</v>
      </c>
      <c r="DS168" s="62">
        <f t="shared" si="125"/>
        <v>290.52945950389699</v>
      </c>
      <c r="DT168" s="62">
        <f ca="1">AVERAGE(OFFSET($DS$3,0,0,'Données projet'!$E$14+1,1))-AVERAGE(OFFSET($H$3,0,0,'Données projet'!$E$14+1,1))</f>
        <v>425.41154182732936</v>
      </c>
      <c r="DU168" s="62">
        <f t="shared" si="152"/>
        <v>306.44721925744591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69.23530713742602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-5.6843418860808015E-14</v>
      </c>
      <c r="EK168" s="18">
        <f>EJ168*VLOOKUP('Données projet'!$B$15,Paramètres!$A$1:$I$89,3,0)*VLOOKUP('Données projet'!$B$15,Paramètres!$A$1:$I$89,5,0)</f>
        <v>-4.1677594708744434E-14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357.57626046668958</v>
      </c>
      <c r="EP168" s="62">
        <f t="shared" si="154"/>
        <v>386.90439522046199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69.23530713742602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1.1368683772161603E-13</v>
      </c>
      <c r="FF168" s="18">
        <f>FE168*VLOOKUP('Données projet'!$B$16,Paramètres!$A$1:$I$89,3,0)*VLOOKUP('Données projet'!$B$16,Paramètres!$A$1:$I$89,5,0)</f>
        <v>8.8675733422860506E-14</v>
      </c>
      <c r="FG168" s="14">
        <f t="shared" si="182"/>
        <v>1.3509285393066301E-12</v>
      </c>
      <c r="FH168" s="22">
        <f t="shared" si="183"/>
        <v>2.5073107750038623E-12</v>
      </c>
      <c r="FI168" s="62">
        <f t="shared" si="131"/>
        <v>290.5294595038979</v>
      </c>
      <c r="FJ168" s="62">
        <f ca="1">AVERAGE(OFFSET($FI$3,0,0,'Données projet'!$E$16+1,1))-AVERAGE(OFFSET($H$3,0,0,'Données projet'!$E$16+1,1))</f>
        <v>303.56663121833833</v>
      </c>
      <c r="FK168" s="62">
        <f t="shared" si="156"/>
        <v>293.97736357938038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69.23530713742602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-5.6843418860808015E-14</v>
      </c>
      <c r="GA168" s="18">
        <f>FZ168*VLOOKUP('Données projet'!$B$17,Paramètres!$A$1:$I$89,3,0)*VLOOKUP('Données projet'!$B$17,Paramètres!$A$1:$I$89,5,0)</f>
        <v>-4.5224624045658861E-14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383.71724511025587</v>
      </c>
      <c r="GF168" s="62">
        <f t="shared" si="158"/>
        <v>415.10774719533185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69.23530713742602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1.7053025658242404E-13</v>
      </c>
      <c r="GV168" s="18">
        <f>GU168*VLOOKUP('Données projet'!$B$18,Paramètres!$A$1:$I$89,3,0)*VLOOKUP('Données projet'!$B$18,Paramètres!$A$1:$I$89,5,0)</f>
        <v>1.1439169611549005E-13</v>
      </c>
      <c r="GW168" s="14">
        <f t="shared" si="188"/>
        <v>1.6918016515029816E-12</v>
      </c>
      <c r="GX168" s="22">
        <f t="shared" si="189"/>
        <v>3.1457867471021712E-12</v>
      </c>
      <c r="GY168" s="62">
        <f t="shared" si="137"/>
        <v>290.52945950389852</v>
      </c>
      <c r="GZ168" s="62">
        <f ca="1">AVERAGE(OFFSET($GY$3,0,0,'Données projet'!$E$18+1,1))-AVERAGE(OFFSET($H$3,0,0,'Données projet'!$E$18+1,1))</f>
        <v>329.93956600482801</v>
      </c>
      <c r="HA168" s="62">
        <f t="shared" si="160"/>
        <v>268.69186630599165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2.7450000000000001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10.065</v>
      </c>
      <c r="H169" s="70">
        <f t="shared" si="110"/>
        <v>216.40666666666667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69.248572848994542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-1.0286385077051818E-13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551.67307965706379</v>
      </c>
      <c r="T169" s="62">
        <f t="shared" si="142"/>
        <v>288.70738860523943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69.248572848994542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-9.5769792096689348E-14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518.18933270904506</v>
      </c>
      <c r="AO169" s="62">
        <f t="shared" si="144"/>
        <v>272.44431899810411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69.248572848994542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-9.7543306765146564E-14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464.73160475167867</v>
      </c>
      <c r="BJ169" s="62">
        <f t="shared" si="146"/>
        <v>241.31968359962227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69.248572848994542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2.2737367544323206E-13</v>
      </c>
      <c r="BZ169" s="14">
        <f>BY169*VLOOKUP('Données projet'!$B$12,Paramètres!$A$1:$I$89,3,0)*VLOOKUP('Données projet'!$B$12,Paramètres!$A$1:$I$89,5,0)</f>
        <v>1.4897523215040565E-13</v>
      </c>
      <c r="CA169" s="14">
        <f t="shared" si="170"/>
        <v>2.136562777003313E-12</v>
      </c>
      <c r="CB169" s="22">
        <f t="shared" si="171"/>
        <v>3.9806453659427267E-12</v>
      </c>
      <c r="CC169" s="62">
        <f t="shared" si="119"/>
        <v>290.57810044631731</v>
      </c>
      <c r="CD169" s="62">
        <f ca="1">AVERAGE(OFFSET($CC$3,0,0,'Données projet'!$E$12+1,1))-AVERAGE(OFFSET($H$3,0,0,'Données projet'!$E$12+1,1))</f>
        <v>292.13851489852607</v>
      </c>
      <c r="CE169" s="62">
        <f t="shared" si="148"/>
        <v>280.10866188737418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69.248572848994542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-1.1368683772161603E-13</v>
      </c>
      <c r="CU169" s="18">
        <f>CT169*VLOOKUP('Données projet'!$B$13,Paramètres!$A$1:$I$89,3,0)*VLOOKUP('Données projet'!$B$13,Paramètres!$A$1:$I$89,5,0)</f>
        <v>-9.2222762759774927E-14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265.25572936607409</v>
      </c>
      <c r="CZ169" s="62">
        <f t="shared" si="150"/>
        <v>307.96244316129071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69.248572848994542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5.6843418860808015E-14</v>
      </c>
      <c r="DP169" s="18">
        <f>DO169*VLOOKUP('Données projet'!$B$14,Paramètres!$A$1:$I$89,3,0)*VLOOKUP('Données projet'!$B$14,Paramètres!$A$1:$I$89,5,0)</f>
        <v>5.4092197387944907E-14</v>
      </c>
      <c r="DQ169" s="14">
        <f t="shared" si="176"/>
        <v>8.7287050538073676E-13</v>
      </c>
      <c r="DR169" s="22">
        <f t="shared" si="177"/>
        <v>1.6144600406554537E-12</v>
      </c>
      <c r="DS169" s="62">
        <f t="shared" si="125"/>
        <v>290.57810044631492</v>
      </c>
      <c r="DT169" s="62">
        <f ca="1">AVERAGE(OFFSET($DS$3,0,0,'Données projet'!$E$14+1,1))-AVERAGE(OFFSET($H$3,0,0,'Données projet'!$E$14+1,1))</f>
        <v>425.41154182732936</v>
      </c>
      <c r="DU169" s="62">
        <f t="shared" si="152"/>
        <v>306.44721925744591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69.248572848994542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-5.6843418860808015E-14</v>
      </c>
      <c r="EK169" s="18">
        <f>EJ169*VLOOKUP('Données projet'!$B$15,Paramètres!$A$1:$I$89,3,0)*VLOOKUP('Données projet'!$B$15,Paramètres!$A$1:$I$89,5,0)</f>
        <v>-4.1677594708744434E-14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357.57626046668958</v>
      </c>
      <c r="EP169" s="62">
        <f t="shared" si="154"/>
        <v>386.90439522046199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69.248572848994542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1.1368683772161603E-13</v>
      </c>
      <c r="FF169" s="18">
        <f>FE169*VLOOKUP('Données projet'!$B$16,Paramètres!$A$1:$I$89,3,0)*VLOOKUP('Données projet'!$B$16,Paramètres!$A$1:$I$89,5,0)</f>
        <v>8.8675733422860506E-14</v>
      </c>
      <c r="FG169" s="14">
        <f t="shared" si="182"/>
        <v>1.3509285393066301E-12</v>
      </c>
      <c r="FH169" s="22">
        <f t="shared" si="183"/>
        <v>2.5073107750038623E-12</v>
      </c>
      <c r="FI169" s="62">
        <f t="shared" si="131"/>
        <v>290.57810044631583</v>
      </c>
      <c r="FJ169" s="62">
        <f ca="1">AVERAGE(OFFSET($FI$3,0,0,'Données projet'!$E$16+1,1))-AVERAGE(OFFSET($H$3,0,0,'Données projet'!$E$16+1,1))</f>
        <v>303.56663121833833</v>
      </c>
      <c r="FK169" s="62">
        <f t="shared" si="156"/>
        <v>293.97736357938038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69.248572848994542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-5.6843418860808015E-14</v>
      </c>
      <c r="GA169" s="18">
        <f>FZ169*VLOOKUP('Données projet'!$B$17,Paramètres!$A$1:$I$89,3,0)*VLOOKUP('Données projet'!$B$17,Paramètres!$A$1:$I$89,5,0)</f>
        <v>-4.5224624045658861E-14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383.71724511025587</v>
      </c>
      <c r="GF169" s="62">
        <f t="shared" si="158"/>
        <v>415.10774719533185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69.248572848994542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1.7053025658242404E-13</v>
      </c>
      <c r="GV169" s="18">
        <f>GU169*VLOOKUP('Données projet'!$B$18,Paramètres!$A$1:$I$89,3,0)*VLOOKUP('Données projet'!$B$18,Paramètres!$A$1:$I$89,5,0)</f>
        <v>1.1439169611549005E-13</v>
      </c>
      <c r="GW169" s="14">
        <f t="shared" si="188"/>
        <v>1.6918016515029816E-12</v>
      </c>
      <c r="GX169" s="22">
        <f t="shared" si="189"/>
        <v>3.1457867471021712E-12</v>
      </c>
      <c r="GY169" s="62">
        <f t="shared" si="137"/>
        <v>290.57810044631645</v>
      </c>
      <c r="GZ169" s="62">
        <f ca="1">AVERAGE(OFFSET($GY$3,0,0,'Données projet'!$E$18+1,1))-AVERAGE(OFFSET($H$3,0,0,'Données projet'!$E$18+1,1))</f>
        <v>329.93956600482801</v>
      </c>
      <c r="HA169" s="62">
        <f t="shared" si="160"/>
        <v>268.69186630599165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2.7450000000000001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10.065</v>
      </c>
      <c r="H170" s="70">
        <f t="shared" si="110"/>
        <v>216.40666666666667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69.261608430125051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-1.0286385077051818E-13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551.67307965706379</v>
      </c>
      <c r="T170" s="62">
        <f t="shared" si="142"/>
        <v>288.70738860523943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69.261608430125051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-9.5769792096689348E-14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518.18933270904506</v>
      </c>
      <c r="AO170" s="62">
        <f t="shared" si="144"/>
        <v>272.44431899810411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69.261608430125051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-9.7543306765146564E-14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464.73160475167867</v>
      </c>
      <c r="BJ170" s="62">
        <f t="shared" si="146"/>
        <v>241.31968359962227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69.261608430125051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2.2737367544323206E-13</v>
      </c>
      <c r="BZ170" s="14">
        <f>BY170*VLOOKUP('Données projet'!$B$12,Paramètres!$A$1:$I$89,3,0)*VLOOKUP('Données projet'!$B$12,Paramètres!$A$1:$I$89,5,0)</f>
        <v>1.4897523215040565E-13</v>
      </c>
      <c r="CA170" s="14">
        <f t="shared" si="170"/>
        <v>2.136562777003313E-12</v>
      </c>
      <c r="CB170" s="22">
        <f t="shared" si="171"/>
        <v>3.9806453659427267E-12</v>
      </c>
      <c r="CC170" s="62">
        <f t="shared" si="119"/>
        <v>290.62589757712914</v>
      </c>
      <c r="CD170" s="62">
        <f ca="1">AVERAGE(OFFSET($CC$3,0,0,'Données projet'!$E$12+1,1))-AVERAGE(OFFSET($H$3,0,0,'Données projet'!$E$12+1,1))</f>
        <v>292.13851489852607</v>
      </c>
      <c r="CE170" s="62">
        <f t="shared" si="148"/>
        <v>280.10866188737418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69.261608430125051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-1.1368683772161603E-13</v>
      </c>
      <c r="CU170" s="18">
        <f>CT170*VLOOKUP('Données projet'!$B$13,Paramètres!$A$1:$I$89,3,0)*VLOOKUP('Données projet'!$B$13,Paramètres!$A$1:$I$89,5,0)</f>
        <v>-9.2222762759774927E-14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265.25572936607409</v>
      </c>
      <c r="CZ170" s="62">
        <f t="shared" si="150"/>
        <v>307.96244316129071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69.261608430125051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5.6843418860808015E-14</v>
      </c>
      <c r="DP170" s="18">
        <f>DO170*VLOOKUP('Données projet'!$B$14,Paramètres!$A$1:$I$89,3,0)*VLOOKUP('Données projet'!$B$14,Paramètres!$A$1:$I$89,5,0)</f>
        <v>5.4092197387944907E-14</v>
      </c>
      <c r="DQ170" s="14">
        <f t="shared" si="176"/>
        <v>8.7287050538073676E-13</v>
      </c>
      <c r="DR170" s="22">
        <f t="shared" si="177"/>
        <v>1.6144600406554537E-12</v>
      </c>
      <c r="DS170" s="62">
        <f t="shared" si="125"/>
        <v>290.62589757712675</v>
      </c>
      <c r="DT170" s="62">
        <f ca="1">AVERAGE(OFFSET($DS$3,0,0,'Données projet'!$E$14+1,1))-AVERAGE(OFFSET($H$3,0,0,'Données projet'!$E$14+1,1))</f>
        <v>425.41154182732936</v>
      </c>
      <c r="DU170" s="62">
        <f t="shared" si="152"/>
        <v>306.44721925744591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69.261608430125051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-5.6843418860808015E-14</v>
      </c>
      <c r="EK170" s="18">
        <f>EJ170*VLOOKUP('Données projet'!$B$15,Paramètres!$A$1:$I$89,3,0)*VLOOKUP('Données projet'!$B$15,Paramètres!$A$1:$I$89,5,0)</f>
        <v>-4.1677594708744434E-14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357.57626046668958</v>
      </c>
      <c r="EP170" s="62">
        <f t="shared" si="154"/>
        <v>386.90439522046199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69.261608430125051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1.1368683772161603E-13</v>
      </c>
      <c r="FF170" s="18">
        <f>FE170*VLOOKUP('Données projet'!$B$16,Paramètres!$A$1:$I$89,3,0)*VLOOKUP('Données projet'!$B$16,Paramètres!$A$1:$I$89,5,0)</f>
        <v>8.8675733422860506E-14</v>
      </c>
      <c r="FG170" s="14">
        <f t="shared" si="182"/>
        <v>1.3509285393066301E-12</v>
      </c>
      <c r="FH170" s="22">
        <f t="shared" si="183"/>
        <v>2.5073107750038623E-12</v>
      </c>
      <c r="FI170" s="62">
        <f t="shared" si="131"/>
        <v>290.62589757712766</v>
      </c>
      <c r="FJ170" s="62">
        <f ca="1">AVERAGE(OFFSET($FI$3,0,0,'Données projet'!$E$16+1,1))-AVERAGE(OFFSET($H$3,0,0,'Données projet'!$E$16+1,1))</f>
        <v>303.56663121833833</v>
      </c>
      <c r="FK170" s="62">
        <f t="shared" si="156"/>
        <v>293.97736357938038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69.261608430125051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-5.6843418860808015E-14</v>
      </c>
      <c r="GA170" s="18">
        <f>FZ170*VLOOKUP('Données projet'!$B$17,Paramètres!$A$1:$I$89,3,0)*VLOOKUP('Données projet'!$B$17,Paramètres!$A$1:$I$89,5,0)</f>
        <v>-4.5224624045658861E-14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383.71724511025587</v>
      </c>
      <c r="GF170" s="62">
        <f t="shared" si="158"/>
        <v>415.10774719533185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69.261608430125051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1.7053025658242404E-13</v>
      </c>
      <c r="GV170" s="18">
        <f>GU170*VLOOKUP('Données projet'!$B$18,Paramètres!$A$1:$I$89,3,0)*VLOOKUP('Données projet'!$B$18,Paramètres!$A$1:$I$89,5,0)</f>
        <v>1.1439169611549005E-13</v>
      </c>
      <c r="GW170" s="14">
        <f t="shared" si="188"/>
        <v>1.6918016515029816E-12</v>
      </c>
      <c r="GX170" s="22">
        <f t="shared" si="189"/>
        <v>3.1457867471021712E-12</v>
      </c>
      <c r="GY170" s="62">
        <f t="shared" si="137"/>
        <v>290.62589757712828</v>
      </c>
      <c r="GZ170" s="62">
        <f ca="1">AVERAGE(OFFSET($GY$3,0,0,'Données projet'!$E$18+1,1))-AVERAGE(OFFSET($H$3,0,0,'Données projet'!$E$18+1,1))</f>
        <v>329.93956600482801</v>
      </c>
      <c r="HA170" s="62">
        <f t="shared" si="160"/>
        <v>268.69186630599165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2.7450000000000001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10.065</v>
      </c>
      <c r="H171" s="70">
        <f t="shared" si="110"/>
        <v>216.40666666666667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69.274417873066142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-1.0286385077051818E-13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551.67307965706379</v>
      </c>
      <c r="T171" s="62">
        <f t="shared" si="142"/>
        <v>288.70738860523943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69.274417873066142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-9.5769792096689348E-14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518.18933270904506</v>
      </c>
      <c r="AO171" s="62">
        <f t="shared" si="144"/>
        <v>272.44431899810411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69.274417873066142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-9.7543306765146564E-14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464.73160475167867</v>
      </c>
      <c r="BJ171" s="62">
        <f t="shared" si="146"/>
        <v>241.31968359962227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69.274417873066142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2.2737367544323206E-13</v>
      </c>
      <c r="BZ171" s="14">
        <f>BY171*VLOOKUP('Données projet'!$B$12,Paramètres!$A$1:$I$89,3,0)*VLOOKUP('Données projet'!$B$12,Paramètres!$A$1:$I$89,5,0)</f>
        <v>1.4897523215040565E-13</v>
      </c>
      <c r="CA171" s="14">
        <f t="shared" si="170"/>
        <v>2.136562777003313E-12</v>
      </c>
      <c r="CB171" s="22">
        <f t="shared" si="171"/>
        <v>3.9806453659427267E-12</v>
      </c>
      <c r="CC171" s="62">
        <f t="shared" si="119"/>
        <v>290.67286553457984</v>
      </c>
      <c r="CD171" s="62">
        <f ca="1">AVERAGE(OFFSET($CC$3,0,0,'Données projet'!$E$12+1,1))-AVERAGE(OFFSET($H$3,0,0,'Données projet'!$E$12+1,1))</f>
        <v>292.13851489852607</v>
      </c>
      <c r="CE171" s="62">
        <f t="shared" si="148"/>
        <v>280.10866188737418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69.274417873066142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-1.1368683772161603E-13</v>
      </c>
      <c r="CU171" s="18">
        <f>CT171*VLOOKUP('Données projet'!$B$13,Paramètres!$A$1:$I$89,3,0)*VLOOKUP('Données projet'!$B$13,Paramètres!$A$1:$I$89,5,0)</f>
        <v>-9.2222762759774927E-14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265.25572936607409</v>
      </c>
      <c r="CZ171" s="62">
        <f t="shared" si="150"/>
        <v>307.96244316129071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69.274417873066142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5.6843418860808015E-14</v>
      </c>
      <c r="DP171" s="18">
        <f>DO171*VLOOKUP('Données projet'!$B$14,Paramètres!$A$1:$I$89,3,0)*VLOOKUP('Données projet'!$B$14,Paramètres!$A$1:$I$89,5,0)</f>
        <v>5.4092197387944907E-14</v>
      </c>
      <c r="DQ171" s="14">
        <f t="shared" si="176"/>
        <v>8.7287050538073676E-13</v>
      </c>
      <c r="DR171" s="22">
        <f t="shared" si="177"/>
        <v>1.6144600406554537E-12</v>
      </c>
      <c r="DS171" s="62">
        <f t="shared" si="125"/>
        <v>290.67286553457745</v>
      </c>
      <c r="DT171" s="62">
        <f ca="1">AVERAGE(OFFSET($DS$3,0,0,'Données projet'!$E$14+1,1))-AVERAGE(OFFSET($H$3,0,0,'Données projet'!$E$14+1,1))</f>
        <v>425.41154182732936</v>
      </c>
      <c r="DU171" s="62">
        <f t="shared" si="152"/>
        <v>306.44721925744591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69.274417873066142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-5.6843418860808015E-14</v>
      </c>
      <c r="EK171" s="18">
        <f>EJ171*VLOOKUP('Données projet'!$B$15,Paramètres!$A$1:$I$89,3,0)*VLOOKUP('Données projet'!$B$15,Paramètres!$A$1:$I$89,5,0)</f>
        <v>-4.1677594708744434E-14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357.57626046668958</v>
      </c>
      <c r="EP171" s="62">
        <f t="shared" si="154"/>
        <v>386.90439522046199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69.274417873066142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1.1368683772161603E-13</v>
      </c>
      <c r="FF171" s="18">
        <f>FE171*VLOOKUP('Données projet'!$B$16,Paramètres!$A$1:$I$89,3,0)*VLOOKUP('Données projet'!$B$16,Paramètres!$A$1:$I$89,5,0)</f>
        <v>8.8675733422860506E-14</v>
      </c>
      <c r="FG171" s="14">
        <f t="shared" si="182"/>
        <v>1.3509285393066301E-12</v>
      </c>
      <c r="FH171" s="22">
        <f t="shared" si="183"/>
        <v>2.5073107750038623E-12</v>
      </c>
      <c r="FI171" s="62">
        <f t="shared" si="131"/>
        <v>290.67286553457836</v>
      </c>
      <c r="FJ171" s="62">
        <f ca="1">AVERAGE(OFFSET($FI$3,0,0,'Données projet'!$E$16+1,1))-AVERAGE(OFFSET($H$3,0,0,'Données projet'!$E$16+1,1))</f>
        <v>303.56663121833833</v>
      </c>
      <c r="FK171" s="62">
        <f t="shared" si="156"/>
        <v>293.97736357938038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69.274417873066142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-5.6843418860808015E-14</v>
      </c>
      <c r="GA171" s="18">
        <f>FZ171*VLOOKUP('Données projet'!$B$17,Paramètres!$A$1:$I$89,3,0)*VLOOKUP('Données projet'!$B$17,Paramètres!$A$1:$I$89,5,0)</f>
        <v>-4.5224624045658861E-14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383.71724511025587</v>
      </c>
      <c r="GF171" s="62">
        <f t="shared" si="158"/>
        <v>415.10774719533185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69.274417873066142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1.7053025658242404E-13</v>
      </c>
      <c r="GV171" s="18">
        <f>GU171*VLOOKUP('Données projet'!$B$18,Paramètres!$A$1:$I$89,3,0)*VLOOKUP('Données projet'!$B$18,Paramètres!$A$1:$I$89,5,0)</f>
        <v>1.1439169611549005E-13</v>
      </c>
      <c r="GW171" s="14">
        <f t="shared" si="188"/>
        <v>1.6918016515029816E-12</v>
      </c>
      <c r="GX171" s="22">
        <f t="shared" si="189"/>
        <v>3.1457867471021712E-12</v>
      </c>
      <c r="GY171" s="62">
        <f t="shared" si="137"/>
        <v>290.67286553457899</v>
      </c>
      <c r="GZ171" s="62">
        <f ca="1">AVERAGE(OFFSET($GY$3,0,0,'Données projet'!$E$18+1,1))-AVERAGE(OFFSET($H$3,0,0,'Données projet'!$E$18+1,1))</f>
        <v>329.93956600482801</v>
      </c>
      <c r="HA171" s="62">
        <f t="shared" si="160"/>
        <v>268.69186630599165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2.7450000000000001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10.065</v>
      </c>
      <c r="H172" s="70">
        <f t="shared" si="110"/>
        <v>216.40666666666667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69.287005100809836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-1.0286385077051818E-13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551.67307965706379</v>
      </c>
      <c r="T172" s="62">
        <f t="shared" si="142"/>
        <v>288.70738860523943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69.287005100809836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-9.5769792096689348E-14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518.18933270904506</v>
      </c>
      <c r="AO172" s="62">
        <f t="shared" si="144"/>
        <v>272.44431899810411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69.287005100809836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-9.7543306765146564E-14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464.73160475167867</v>
      </c>
      <c r="BJ172" s="62">
        <f t="shared" si="146"/>
        <v>241.31968359962227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69.287005100809836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2.2737367544323206E-13</v>
      </c>
      <c r="BZ172" s="14">
        <f>BY172*VLOOKUP('Données projet'!$B$12,Paramètres!$A$1:$I$89,3,0)*VLOOKUP('Données projet'!$B$12,Paramètres!$A$1:$I$89,5,0)</f>
        <v>1.4897523215040565E-13</v>
      </c>
      <c r="CA172" s="14">
        <f t="shared" si="170"/>
        <v>2.136562777003313E-12</v>
      </c>
      <c r="CB172" s="22">
        <f t="shared" si="171"/>
        <v>3.9806453659427267E-12</v>
      </c>
      <c r="CC172" s="62">
        <f t="shared" si="119"/>
        <v>290.71901870297336</v>
      </c>
      <c r="CD172" s="62">
        <f ca="1">AVERAGE(OFFSET($CC$3,0,0,'Données projet'!$E$12+1,1))-AVERAGE(OFFSET($H$3,0,0,'Données projet'!$E$12+1,1))</f>
        <v>292.13851489852607</v>
      </c>
      <c r="CE172" s="62">
        <f t="shared" si="148"/>
        <v>280.10866188737418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69.287005100809836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-1.1368683772161603E-13</v>
      </c>
      <c r="CU172" s="18">
        <f>CT172*VLOOKUP('Données projet'!$B$13,Paramètres!$A$1:$I$89,3,0)*VLOOKUP('Données projet'!$B$13,Paramètres!$A$1:$I$89,5,0)</f>
        <v>-9.2222762759774927E-14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265.25572936607409</v>
      </c>
      <c r="CZ172" s="62">
        <f t="shared" si="150"/>
        <v>307.96244316129071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69.287005100809836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5.6843418860808015E-14</v>
      </c>
      <c r="DP172" s="18">
        <f>DO172*VLOOKUP('Données projet'!$B$14,Paramètres!$A$1:$I$89,3,0)*VLOOKUP('Données projet'!$B$14,Paramètres!$A$1:$I$89,5,0)</f>
        <v>5.4092197387944907E-14</v>
      </c>
      <c r="DQ172" s="14">
        <f t="shared" si="176"/>
        <v>8.7287050538073676E-13</v>
      </c>
      <c r="DR172" s="22">
        <f t="shared" si="177"/>
        <v>1.6144600406554537E-12</v>
      </c>
      <c r="DS172" s="62">
        <f t="shared" si="125"/>
        <v>290.71901870297097</v>
      </c>
      <c r="DT172" s="62">
        <f ca="1">AVERAGE(OFFSET($DS$3,0,0,'Données projet'!$E$14+1,1))-AVERAGE(OFFSET($H$3,0,0,'Données projet'!$E$14+1,1))</f>
        <v>425.41154182732936</v>
      </c>
      <c r="DU172" s="62">
        <f t="shared" si="152"/>
        <v>306.44721925744591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69.287005100809836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-5.6843418860808015E-14</v>
      </c>
      <c r="EK172" s="18">
        <f>EJ172*VLOOKUP('Données projet'!$B$15,Paramètres!$A$1:$I$89,3,0)*VLOOKUP('Données projet'!$B$15,Paramètres!$A$1:$I$89,5,0)</f>
        <v>-4.1677594708744434E-14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357.57626046668958</v>
      </c>
      <c r="EP172" s="62">
        <f t="shared" si="154"/>
        <v>386.90439522046199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69.287005100809836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1.1368683772161603E-13</v>
      </c>
      <c r="FF172" s="18">
        <f>FE172*VLOOKUP('Données projet'!$B$16,Paramètres!$A$1:$I$89,3,0)*VLOOKUP('Données projet'!$B$16,Paramètres!$A$1:$I$89,5,0)</f>
        <v>8.8675733422860506E-14</v>
      </c>
      <c r="FG172" s="14">
        <f t="shared" si="182"/>
        <v>1.3509285393066301E-12</v>
      </c>
      <c r="FH172" s="22">
        <f t="shared" si="183"/>
        <v>2.5073107750038623E-12</v>
      </c>
      <c r="FI172" s="62">
        <f t="shared" si="131"/>
        <v>290.71901870297188</v>
      </c>
      <c r="FJ172" s="62">
        <f ca="1">AVERAGE(OFFSET($FI$3,0,0,'Données projet'!$E$16+1,1))-AVERAGE(OFFSET($H$3,0,0,'Données projet'!$E$16+1,1))</f>
        <v>303.56663121833833</v>
      </c>
      <c r="FK172" s="62">
        <f t="shared" si="156"/>
        <v>293.97736357938038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69.287005100809836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-5.6843418860808015E-14</v>
      </c>
      <c r="GA172" s="18">
        <f>FZ172*VLOOKUP('Données projet'!$B$17,Paramètres!$A$1:$I$89,3,0)*VLOOKUP('Données projet'!$B$17,Paramètres!$A$1:$I$89,5,0)</f>
        <v>-4.5224624045658861E-14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383.71724511025587</v>
      </c>
      <c r="GF172" s="62">
        <f t="shared" si="158"/>
        <v>415.10774719533185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69.287005100809836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1.7053025658242404E-13</v>
      </c>
      <c r="GV172" s="18">
        <f>GU172*VLOOKUP('Données projet'!$B$18,Paramètres!$A$1:$I$89,3,0)*VLOOKUP('Données projet'!$B$18,Paramètres!$A$1:$I$89,5,0)</f>
        <v>1.1439169611549005E-13</v>
      </c>
      <c r="GW172" s="14">
        <f t="shared" si="188"/>
        <v>1.6918016515029816E-12</v>
      </c>
      <c r="GX172" s="22">
        <f t="shared" si="189"/>
        <v>3.1457867471021712E-12</v>
      </c>
      <c r="GY172" s="62">
        <f t="shared" si="137"/>
        <v>290.71901870297251</v>
      </c>
      <c r="GZ172" s="62">
        <f ca="1">AVERAGE(OFFSET($GY$3,0,0,'Données projet'!$E$18+1,1))-AVERAGE(OFFSET($H$3,0,0,'Données projet'!$E$18+1,1))</f>
        <v>329.93956600482801</v>
      </c>
      <c r="HA172" s="62">
        <f t="shared" si="160"/>
        <v>268.69186630599165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2.7450000000000001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10.065</v>
      </c>
      <c r="H173" s="70">
        <f t="shared" si="110"/>
        <v>216.40666666666667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69.299373968292983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-1.0286385077051818E-13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551.67307965706379</v>
      </c>
      <c r="T173" s="62">
        <f t="shared" si="142"/>
        <v>288.70738860523943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69.299373968292983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-9.5769792096689348E-14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518.18933270904506</v>
      </c>
      <c r="AO173" s="62">
        <f t="shared" si="144"/>
        <v>272.44431899810411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69.299373968292983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-9.7543306765146564E-14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464.73160475167867</v>
      </c>
      <c r="BJ173" s="62">
        <f t="shared" si="146"/>
        <v>241.31968359962227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69.299373968292983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2.2737367544323206E-13</v>
      </c>
      <c r="BZ173" s="14">
        <f>BY173*VLOOKUP('Données projet'!$B$12,Paramètres!$A$1:$I$89,3,0)*VLOOKUP('Données projet'!$B$12,Paramètres!$A$1:$I$89,5,0)</f>
        <v>1.4897523215040565E-13</v>
      </c>
      <c r="CA173" s="14">
        <f t="shared" si="170"/>
        <v>2.136562777003313E-12</v>
      </c>
      <c r="CB173" s="22">
        <f t="shared" si="171"/>
        <v>3.9806453659427267E-12</v>
      </c>
      <c r="CC173" s="62">
        <f t="shared" si="119"/>
        <v>290.76437121707824</v>
      </c>
      <c r="CD173" s="62">
        <f ca="1">AVERAGE(OFFSET($CC$3,0,0,'Données projet'!$E$12+1,1))-AVERAGE(OFFSET($H$3,0,0,'Données projet'!$E$12+1,1))</f>
        <v>292.13851489852607</v>
      </c>
      <c r="CE173" s="62">
        <f t="shared" si="148"/>
        <v>280.10866188737418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69.299373968292983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-1.1368683772161603E-13</v>
      </c>
      <c r="CU173" s="18">
        <f>CT173*VLOOKUP('Données projet'!$B$13,Paramètres!$A$1:$I$89,3,0)*VLOOKUP('Données projet'!$B$13,Paramètres!$A$1:$I$89,5,0)</f>
        <v>-9.2222762759774927E-14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265.25572936607409</v>
      </c>
      <c r="CZ173" s="62">
        <f t="shared" si="150"/>
        <v>307.96244316129071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69.299373968292983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5.6843418860808015E-14</v>
      </c>
      <c r="DP173" s="18">
        <f>DO173*VLOOKUP('Données projet'!$B$14,Paramètres!$A$1:$I$89,3,0)*VLOOKUP('Données projet'!$B$14,Paramètres!$A$1:$I$89,5,0)</f>
        <v>5.4092197387944907E-14</v>
      </c>
      <c r="DQ173" s="14">
        <f t="shared" si="176"/>
        <v>8.7287050538073676E-13</v>
      </c>
      <c r="DR173" s="22">
        <f t="shared" si="177"/>
        <v>1.6144600406554537E-12</v>
      </c>
      <c r="DS173" s="62">
        <f t="shared" si="125"/>
        <v>290.76437121707585</v>
      </c>
      <c r="DT173" s="62">
        <f ca="1">AVERAGE(OFFSET($DS$3,0,0,'Données projet'!$E$14+1,1))-AVERAGE(OFFSET($H$3,0,0,'Données projet'!$E$14+1,1))</f>
        <v>425.41154182732936</v>
      </c>
      <c r="DU173" s="62">
        <f t="shared" si="152"/>
        <v>306.44721925744591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69.299373968292983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-5.6843418860808015E-14</v>
      </c>
      <c r="EK173" s="18">
        <f>EJ173*VLOOKUP('Données projet'!$B$15,Paramètres!$A$1:$I$89,3,0)*VLOOKUP('Données projet'!$B$15,Paramètres!$A$1:$I$89,5,0)</f>
        <v>-4.1677594708744434E-14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357.57626046668958</v>
      </c>
      <c r="EP173" s="62">
        <f t="shared" si="154"/>
        <v>386.90439522046199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69.299373968292983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1.1368683772161603E-13</v>
      </c>
      <c r="FF173" s="18">
        <f>FE173*VLOOKUP('Données projet'!$B$16,Paramètres!$A$1:$I$89,3,0)*VLOOKUP('Données projet'!$B$16,Paramètres!$A$1:$I$89,5,0)</f>
        <v>8.8675733422860506E-14</v>
      </c>
      <c r="FG173" s="14">
        <f t="shared" si="182"/>
        <v>1.3509285393066301E-12</v>
      </c>
      <c r="FH173" s="22">
        <f t="shared" si="183"/>
        <v>2.5073107750038623E-12</v>
      </c>
      <c r="FI173" s="62">
        <f t="shared" si="131"/>
        <v>290.76437121707676</v>
      </c>
      <c r="FJ173" s="62">
        <f ca="1">AVERAGE(OFFSET($FI$3,0,0,'Données projet'!$E$16+1,1))-AVERAGE(OFFSET($H$3,0,0,'Données projet'!$E$16+1,1))</f>
        <v>303.56663121833833</v>
      </c>
      <c r="FK173" s="62">
        <f t="shared" si="156"/>
        <v>293.97736357938038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69.299373968292983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-5.6843418860808015E-14</v>
      </c>
      <c r="GA173" s="18">
        <f>FZ173*VLOOKUP('Données projet'!$B$17,Paramètres!$A$1:$I$89,3,0)*VLOOKUP('Données projet'!$B$17,Paramètres!$A$1:$I$89,5,0)</f>
        <v>-4.5224624045658861E-14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383.71724511025587</v>
      </c>
      <c r="GF173" s="62">
        <f t="shared" si="158"/>
        <v>415.10774719533185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69.299373968292983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1.7053025658242404E-13</v>
      </c>
      <c r="GV173" s="18">
        <f>GU173*VLOOKUP('Données projet'!$B$18,Paramètres!$A$1:$I$89,3,0)*VLOOKUP('Données projet'!$B$18,Paramètres!$A$1:$I$89,5,0)</f>
        <v>1.1439169611549005E-13</v>
      </c>
      <c r="GW173" s="14">
        <f t="shared" si="188"/>
        <v>1.6918016515029816E-12</v>
      </c>
      <c r="GX173" s="22">
        <f t="shared" si="189"/>
        <v>3.1457867471021712E-12</v>
      </c>
      <c r="GY173" s="62">
        <f t="shared" si="137"/>
        <v>290.76437121707738</v>
      </c>
      <c r="GZ173" s="62">
        <f ca="1">AVERAGE(OFFSET($GY$3,0,0,'Données projet'!$E$18+1,1))-AVERAGE(OFFSET($H$3,0,0,'Données projet'!$E$18+1,1))</f>
        <v>329.93956600482801</v>
      </c>
      <c r="HA173" s="62">
        <f t="shared" si="160"/>
        <v>268.69186630599165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2.7450000000000001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10.065</v>
      </c>
      <c r="H174" s="70">
        <f t="shared" si="110"/>
        <v>216.40666666666667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69.311528263577955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-1.0286385077051818E-13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551.67307965706379</v>
      </c>
      <c r="T174" s="62">
        <f t="shared" si="142"/>
        <v>288.70738860523943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69.311528263577955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-9.5769792096689348E-14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518.18933270904506</v>
      </c>
      <c r="AO174" s="62">
        <f t="shared" si="144"/>
        <v>272.44431899810411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69.311528263577955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-9.7543306765146564E-14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464.73160475167867</v>
      </c>
      <c r="BJ174" s="62">
        <f t="shared" si="146"/>
        <v>241.31968359962227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69.311528263577955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2.2737367544323206E-13</v>
      </c>
      <c r="BZ174" s="14">
        <f>BY174*VLOOKUP('Données projet'!$B$12,Paramètres!$A$1:$I$89,3,0)*VLOOKUP('Données projet'!$B$12,Paramètres!$A$1:$I$89,5,0)</f>
        <v>1.4897523215040565E-13</v>
      </c>
      <c r="CA174" s="14">
        <f t="shared" si="170"/>
        <v>2.136562777003313E-12</v>
      </c>
      <c r="CB174" s="22">
        <f t="shared" si="171"/>
        <v>3.9806453659427267E-12</v>
      </c>
      <c r="CC174" s="62">
        <f t="shared" si="119"/>
        <v>290.80893696645649</v>
      </c>
      <c r="CD174" s="62">
        <f ca="1">AVERAGE(OFFSET($CC$3,0,0,'Données projet'!$E$12+1,1))-AVERAGE(OFFSET($H$3,0,0,'Données projet'!$E$12+1,1))</f>
        <v>292.13851489852607</v>
      </c>
      <c r="CE174" s="62">
        <f t="shared" si="148"/>
        <v>280.10866188737418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69.311528263577955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-1.1368683772161603E-13</v>
      </c>
      <c r="CU174" s="18">
        <f>CT174*VLOOKUP('Données projet'!$B$13,Paramètres!$A$1:$I$89,3,0)*VLOOKUP('Données projet'!$B$13,Paramètres!$A$1:$I$89,5,0)</f>
        <v>-9.2222762759774927E-14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265.25572936607409</v>
      </c>
      <c r="CZ174" s="62">
        <f t="shared" si="150"/>
        <v>307.96244316129071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69.311528263577955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5.6843418860808015E-14</v>
      </c>
      <c r="DP174" s="18">
        <f>DO174*VLOOKUP('Données projet'!$B$14,Paramètres!$A$1:$I$89,3,0)*VLOOKUP('Données projet'!$B$14,Paramètres!$A$1:$I$89,5,0)</f>
        <v>5.4092197387944907E-14</v>
      </c>
      <c r="DQ174" s="14">
        <f t="shared" si="176"/>
        <v>8.7287050538073676E-13</v>
      </c>
      <c r="DR174" s="22">
        <f t="shared" si="177"/>
        <v>1.6144600406554537E-12</v>
      </c>
      <c r="DS174" s="62">
        <f t="shared" si="125"/>
        <v>290.8089369664541</v>
      </c>
      <c r="DT174" s="62">
        <f ca="1">AVERAGE(OFFSET($DS$3,0,0,'Données projet'!$E$14+1,1))-AVERAGE(OFFSET($H$3,0,0,'Données projet'!$E$14+1,1))</f>
        <v>425.41154182732936</v>
      </c>
      <c r="DU174" s="62">
        <f t="shared" si="152"/>
        <v>306.44721925744591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69.311528263577955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-5.6843418860808015E-14</v>
      </c>
      <c r="EK174" s="18">
        <f>EJ174*VLOOKUP('Données projet'!$B$15,Paramètres!$A$1:$I$89,3,0)*VLOOKUP('Données projet'!$B$15,Paramètres!$A$1:$I$89,5,0)</f>
        <v>-4.1677594708744434E-14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357.57626046668958</v>
      </c>
      <c r="EP174" s="62">
        <f t="shared" si="154"/>
        <v>386.90439522046199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69.311528263577955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1.1368683772161603E-13</v>
      </c>
      <c r="FF174" s="18">
        <f>FE174*VLOOKUP('Données projet'!$B$16,Paramètres!$A$1:$I$89,3,0)*VLOOKUP('Données projet'!$B$16,Paramètres!$A$1:$I$89,5,0)</f>
        <v>8.8675733422860506E-14</v>
      </c>
      <c r="FG174" s="14">
        <f t="shared" si="182"/>
        <v>1.3509285393066301E-12</v>
      </c>
      <c r="FH174" s="22">
        <f t="shared" si="183"/>
        <v>2.5073107750038623E-12</v>
      </c>
      <c r="FI174" s="62">
        <f t="shared" si="131"/>
        <v>290.80893696645501</v>
      </c>
      <c r="FJ174" s="62">
        <f ca="1">AVERAGE(OFFSET($FI$3,0,0,'Données projet'!$E$16+1,1))-AVERAGE(OFFSET($H$3,0,0,'Données projet'!$E$16+1,1))</f>
        <v>303.56663121833833</v>
      </c>
      <c r="FK174" s="62">
        <f t="shared" si="156"/>
        <v>293.97736357938038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69.311528263577955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-5.6843418860808015E-14</v>
      </c>
      <c r="GA174" s="18">
        <f>FZ174*VLOOKUP('Données projet'!$B$17,Paramètres!$A$1:$I$89,3,0)*VLOOKUP('Données projet'!$B$17,Paramètres!$A$1:$I$89,5,0)</f>
        <v>-4.5224624045658861E-14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383.71724511025587</v>
      </c>
      <c r="GF174" s="62">
        <f t="shared" si="158"/>
        <v>415.10774719533185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69.311528263577955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1.7053025658242404E-13</v>
      </c>
      <c r="GV174" s="18">
        <f>GU174*VLOOKUP('Données projet'!$B$18,Paramètres!$A$1:$I$89,3,0)*VLOOKUP('Données projet'!$B$18,Paramètres!$A$1:$I$89,5,0)</f>
        <v>1.1439169611549005E-13</v>
      </c>
      <c r="GW174" s="14">
        <f t="shared" si="188"/>
        <v>1.6918016515029816E-12</v>
      </c>
      <c r="GX174" s="22">
        <f t="shared" si="189"/>
        <v>3.1457867471021712E-12</v>
      </c>
      <c r="GY174" s="62">
        <f t="shared" si="137"/>
        <v>290.80893696645563</v>
      </c>
      <c r="GZ174" s="62">
        <f ca="1">AVERAGE(OFFSET($GY$3,0,0,'Données projet'!$E$18+1,1))-AVERAGE(OFFSET($H$3,0,0,'Données projet'!$E$18+1,1))</f>
        <v>329.93956600482801</v>
      </c>
      <c r="HA174" s="62">
        <f t="shared" si="160"/>
        <v>268.69186630599165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2.7450000000000001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10.065</v>
      </c>
      <c r="H175" s="70">
        <f t="shared" si="110"/>
        <v>216.40666666666667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69.323471709012665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-1.0286385077051818E-13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551.67307965706379</v>
      </c>
      <c r="T175" s="62">
        <f t="shared" si="142"/>
        <v>288.70738860523943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69.323471709012665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-9.5769792096689348E-14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518.18933270904506</v>
      </c>
      <c r="AO175" s="62">
        <f t="shared" si="144"/>
        <v>272.44431899810411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69.323471709012665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-9.7543306765146564E-14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464.73160475167867</v>
      </c>
      <c r="BJ175" s="62">
        <f t="shared" si="146"/>
        <v>241.31968359962227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69.323471709012665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2.2737367544323206E-13</v>
      </c>
      <c r="BZ175" s="14">
        <f>BY175*VLOOKUP('Données projet'!$B$12,Paramètres!$A$1:$I$89,3,0)*VLOOKUP('Données projet'!$B$12,Paramètres!$A$1:$I$89,5,0)</f>
        <v>1.4897523215040565E-13</v>
      </c>
      <c r="CA175" s="14">
        <f t="shared" si="170"/>
        <v>2.136562777003313E-12</v>
      </c>
      <c r="CB175" s="22">
        <f t="shared" si="171"/>
        <v>3.9806453659427267E-12</v>
      </c>
      <c r="CC175" s="62">
        <f t="shared" si="119"/>
        <v>290.85272959971707</v>
      </c>
      <c r="CD175" s="62">
        <f ca="1">AVERAGE(OFFSET($CC$3,0,0,'Données projet'!$E$12+1,1))-AVERAGE(OFFSET($H$3,0,0,'Données projet'!$E$12+1,1))</f>
        <v>292.13851489852607</v>
      </c>
      <c r="CE175" s="62">
        <f t="shared" si="148"/>
        <v>280.10866188737418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69.323471709012665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-1.1368683772161603E-13</v>
      </c>
      <c r="CU175" s="18">
        <f>CT175*VLOOKUP('Données projet'!$B$13,Paramètres!$A$1:$I$89,3,0)*VLOOKUP('Données projet'!$B$13,Paramètres!$A$1:$I$89,5,0)</f>
        <v>-9.2222762759774927E-14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265.25572936607409</v>
      </c>
      <c r="CZ175" s="62">
        <f t="shared" si="150"/>
        <v>307.96244316129071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69.323471709012665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5.6843418860808015E-14</v>
      </c>
      <c r="DP175" s="18">
        <f>DO175*VLOOKUP('Données projet'!$B$14,Paramètres!$A$1:$I$89,3,0)*VLOOKUP('Données projet'!$B$14,Paramètres!$A$1:$I$89,5,0)</f>
        <v>5.4092197387944907E-14</v>
      </c>
      <c r="DQ175" s="14">
        <f t="shared" si="176"/>
        <v>8.7287050538073676E-13</v>
      </c>
      <c r="DR175" s="22">
        <f t="shared" si="177"/>
        <v>1.6144600406554537E-12</v>
      </c>
      <c r="DS175" s="62">
        <f t="shared" si="125"/>
        <v>290.85272959971468</v>
      </c>
      <c r="DT175" s="62">
        <f ca="1">AVERAGE(OFFSET($DS$3,0,0,'Données projet'!$E$14+1,1))-AVERAGE(OFFSET($H$3,0,0,'Données projet'!$E$14+1,1))</f>
        <v>425.41154182732936</v>
      </c>
      <c r="DU175" s="62">
        <f t="shared" si="152"/>
        <v>306.44721925744591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69.323471709012665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-5.6843418860808015E-14</v>
      </c>
      <c r="EK175" s="18">
        <f>EJ175*VLOOKUP('Données projet'!$B$15,Paramètres!$A$1:$I$89,3,0)*VLOOKUP('Données projet'!$B$15,Paramètres!$A$1:$I$89,5,0)</f>
        <v>-4.1677594708744434E-14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357.57626046668958</v>
      </c>
      <c r="EP175" s="62">
        <f t="shared" si="154"/>
        <v>386.90439522046199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69.323471709012665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1.1368683772161603E-13</v>
      </c>
      <c r="FF175" s="18">
        <f>FE175*VLOOKUP('Données projet'!$B$16,Paramètres!$A$1:$I$89,3,0)*VLOOKUP('Données projet'!$B$16,Paramètres!$A$1:$I$89,5,0)</f>
        <v>8.8675733422860506E-14</v>
      </c>
      <c r="FG175" s="14">
        <f t="shared" si="182"/>
        <v>1.3509285393066301E-12</v>
      </c>
      <c r="FH175" s="22">
        <f t="shared" si="183"/>
        <v>2.5073107750038623E-12</v>
      </c>
      <c r="FI175" s="62">
        <f t="shared" si="131"/>
        <v>290.85272959971559</v>
      </c>
      <c r="FJ175" s="62">
        <f ca="1">AVERAGE(OFFSET($FI$3,0,0,'Données projet'!$E$16+1,1))-AVERAGE(OFFSET($H$3,0,0,'Données projet'!$E$16+1,1))</f>
        <v>303.56663121833833</v>
      </c>
      <c r="FK175" s="62">
        <f t="shared" si="156"/>
        <v>293.97736357938038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69.323471709012665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-5.6843418860808015E-14</v>
      </c>
      <c r="GA175" s="18">
        <f>FZ175*VLOOKUP('Données projet'!$B$17,Paramètres!$A$1:$I$89,3,0)*VLOOKUP('Données projet'!$B$17,Paramètres!$A$1:$I$89,5,0)</f>
        <v>-4.5224624045658861E-14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383.71724511025587</v>
      </c>
      <c r="GF175" s="62">
        <f t="shared" si="158"/>
        <v>415.10774719533185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69.323471709012665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1.7053025658242404E-13</v>
      </c>
      <c r="GV175" s="18">
        <f>GU175*VLOOKUP('Données projet'!$B$18,Paramètres!$A$1:$I$89,3,0)*VLOOKUP('Données projet'!$B$18,Paramètres!$A$1:$I$89,5,0)</f>
        <v>1.1439169611549005E-13</v>
      </c>
      <c r="GW175" s="14">
        <f t="shared" si="188"/>
        <v>1.6918016515029816E-12</v>
      </c>
      <c r="GX175" s="22">
        <f t="shared" si="189"/>
        <v>3.1457867471021712E-12</v>
      </c>
      <c r="GY175" s="62">
        <f t="shared" si="137"/>
        <v>290.85272959971621</v>
      </c>
      <c r="GZ175" s="62">
        <f ca="1">AVERAGE(OFFSET($GY$3,0,0,'Données projet'!$E$18+1,1))-AVERAGE(OFFSET($H$3,0,0,'Données projet'!$E$18+1,1))</f>
        <v>329.93956600482801</v>
      </c>
      <c r="HA175" s="62">
        <f t="shared" si="160"/>
        <v>268.69186630599165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2.7450000000000001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10.065</v>
      </c>
      <c r="H176" s="70">
        <f t="shared" si="110"/>
        <v>216.40666666666667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69.335207962370617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-1.0286385077051818E-13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551.67307965706379</v>
      </c>
      <c r="T176" s="62">
        <f t="shared" si="142"/>
        <v>288.70738860523943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69.335207962370617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-9.5769792096689348E-14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518.18933270904506</v>
      </c>
      <c r="AO176" s="62">
        <f t="shared" si="144"/>
        <v>272.44431899810411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69.335207962370617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-9.7543306765146564E-14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464.73160475167867</v>
      </c>
      <c r="BJ176" s="62">
        <f t="shared" si="146"/>
        <v>241.31968359962227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69.335207962370617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2.2737367544323206E-13</v>
      </c>
      <c r="BZ176" s="14">
        <f>BY176*VLOOKUP('Données projet'!$B$12,Paramètres!$A$1:$I$89,3,0)*VLOOKUP('Données projet'!$B$12,Paramètres!$A$1:$I$89,5,0)</f>
        <v>1.4897523215040565E-13</v>
      </c>
      <c r="CA176" s="14">
        <f t="shared" si="170"/>
        <v>2.136562777003313E-12</v>
      </c>
      <c r="CB176" s="22">
        <f t="shared" si="171"/>
        <v>3.9806453659427267E-12</v>
      </c>
      <c r="CC176" s="62">
        <f t="shared" si="119"/>
        <v>290.89576252869625</v>
      </c>
      <c r="CD176" s="62">
        <f ca="1">AVERAGE(OFFSET($CC$3,0,0,'Données projet'!$E$12+1,1))-AVERAGE(OFFSET($H$3,0,0,'Données projet'!$E$12+1,1))</f>
        <v>292.13851489852607</v>
      </c>
      <c r="CE176" s="62">
        <f t="shared" si="148"/>
        <v>280.10866188737418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69.335207962370617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-1.1368683772161603E-13</v>
      </c>
      <c r="CU176" s="18">
        <f>CT176*VLOOKUP('Données projet'!$B$13,Paramètres!$A$1:$I$89,3,0)*VLOOKUP('Données projet'!$B$13,Paramètres!$A$1:$I$89,5,0)</f>
        <v>-9.2222762759774927E-14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265.25572936607409</v>
      </c>
      <c r="CZ176" s="62">
        <f t="shared" si="150"/>
        <v>307.96244316129071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69.335207962370617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5.6843418860808015E-14</v>
      </c>
      <c r="DP176" s="18">
        <f>DO176*VLOOKUP('Données projet'!$B$14,Paramètres!$A$1:$I$89,3,0)*VLOOKUP('Données projet'!$B$14,Paramètres!$A$1:$I$89,5,0)</f>
        <v>5.4092197387944907E-14</v>
      </c>
      <c r="DQ176" s="14">
        <f t="shared" si="176"/>
        <v>8.7287050538073676E-13</v>
      </c>
      <c r="DR176" s="22">
        <f t="shared" si="177"/>
        <v>1.6144600406554537E-12</v>
      </c>
      <c r="DS176" s="62">
        <f t="shared" si="125"/>
        <v>290.89576252869387</v>
      </c>
      <c r="DT176" s="62">
        <f ca="1">AVERAGE(OFFSET($DS$3,0,0,'Données projet'!$E$14+1,1))-AVERAGE(OFFSET($H$3,0,0,'Données projet'!$E$14+1,1))</f>
        <v>425.41154182732936</v>
      </c>
      <c r="DU176" s="62">
        <f t="shared" si="152"/>
        <v>306.44721925744591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69.335207962370617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-5.6843418860808015E-14</v>
      </c>
      <c r="EK176" s="18">
        <f>EJ176*VLOOKUP('Données projet'!$B$15,Paramètres!$A$1:$I$89,3,0)*VLOOKUP('Données projet'!$B$15,Paramètres!$A$1:$I$89,5,0)</f>
        <v>-4.1677594708744434E-14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357.57626046668958</v>
      </c>
      <c r="EP176" s="62">
        <f t="shared" si="154"/>
        <v>386.90439522046199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69.335207962370617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1.1368683772161603E-13</v>
      </c>
      <c r="FF176" s="18">
        <f>FE176*VLOOKUP('Données projet'!$B$16,Paramètres!$A$1:$I$89,3,0)*VLOOKUP('Données projet'!$B$16,Paramètres!$A$1:$I$89,5,0)</f>
        <v>8.8675733422860506E-14</v>
      </c>
      <c r="FG176" s="14">
        <f t="shared" si="182"/>
        <v>1.3509285393066301E-12</v>
      </c>
      <c r="FH176" s="22">
        <f t="shared" si="183"/>
        <v>2.5073107750038623E-12</v>
      </c>
      <c r="FI176" s="62">
        <f t="shared" si="131"/>
        <v>290.89576252869477</v>
      </c>
      <c r="FJ176" s="62">
        <f ca="1">AVERAGE(OFFSET($FI$3,0,0,'Données projet'!$E$16+1,1))-AVERAGE(OFFSET($H$3,0,0,'Données projet'!$E$16+1,1))</f>
        <v>303.56663121833833</v>
      </c>
      <c r="FK176" s="62">
        <f t="shared" si="156"/>
        <v>293.97736357938038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69.335207962370617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-5.6843418860808015E-14</v>
      </c>
      <c r="GA176" s="18">
        <f>FZ176*VLOOKUP('Données projet'!$B$17,Paramètres!$A$1:$I$89,3,0)*VLOOKUP('Données projet'!$B$17,Paramètres!$A$1:$I$89,5,0)</f>
        <v>-4.5224624045658861E-14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383.71724511025587</v>
      </c>
      <c r="GF176" s="62">
        <f t="shared" si="158"/>
        <v>415.10774719533185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69.335207962370617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1.7053025658242404E-13</v>
      </c>
      <c r="GV176" s="18">
        <f>GU176*VLOOKUP('Données projet'!$B$18,Paramètres!$A$1:$I$89,3,0)*VLOOKUP('Données projet'!$B$18,Paramètres!$A$1:$I$89,5,0)</f>
        <v>1.1439169611549005E-13</v>
      </c>
      <c r="GW176" s="14">
        <f t="shared" si="188"/>
        <v>1.6918016515029816E-12</v>
      </c>
      <c r="GX176" s="22">
        <f t="shared" si="189"/>
        <v>3.1457867471021712E-12</v>
      </c>
      <c r="GY176" s="62">
        <f t="shared" si="137"/>
        <v>290.8957625286954</v>
      </c>
      <c r="GZ176" s="62">
        <f ca="1">AVERAGE(OFFSET($GY$3,0,0,'Données projet'!$E$18+1,1))-AVERAGE(OFFSET($H$3,0,0,'Données projet'!$E$18+1,1))</f>
        <v>329.93956600482801</v>
      </c>
      <c r="HA176" s="62">
        <f t="shared" si="160"/>
        <v>268.69186630599165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2.7450000000000001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10.065</v>
      </c>
      <c r="H177" s="70">
        <f t="shared" si="110"/>
        <v>216.40666666666667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69.34674061797115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-1.0286385077051818E-13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551.67307965706379</v>
      </c>
      <c r="T177" s="62">
        <f t="shared" si="142"/>
        <v>288.70738860523943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69.34674061797115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-9.5769792096689348E-14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518.18933270904506</v>
      </c>
      <c r="AO177" s="62">
        <f t="shared" si="144"/>
        <v>272.44431899810411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69.34674061797115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-9.7543306765146564E-14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464.73160475167867</v>
      </c>
      <c r="BJ177" s="62">
        <f t="shared" si="146"/>
        <v>241.31968359962227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69.34674061797115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2.2737367544323206E-13</v>
      </c>
      <c r="BZ177" s="14">
        <f>BY177*VLOOKUP('Données projet'!$B$12,Paramètres!$A$1:$I$89,3,0)*VLOOKUP('Données projet'!$B$12,Paramètres!$A$1:$I$89,5,0)</f>
        <v>1.4897523215040565E-13</v>
      </c>
      <c r="CA177" s="14">
        <f t="shared" si="170"/>
        <v>2.136562777003313E-12</v>
      </c>
      <c r="CB177" s="22">
        <f t="shared" si="171"/>
        <v>3.9806453659427267E-12</v>
      </c>
      <c r="CC177" s="62">
        <f t="shared" si="119"/>
        <v>290.93804893256487</v>
      </c>
      <c r="CD177" s="62">
        <f ca="1">AVERAGE(OFFSET($CC$3,0,0,'Données projet'!$E$12+1,1))-AVERAGE(OFFSET($H$3,0,0,'Données projet'!$E$12+1,1))</f>
        <v>292.13851489852607</v>
      </c>
      <c r="CE177" s="62">
        <f t="shared" si="148"/>
        <v>280.10866188737418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69.34674061797115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-1.1368683772161603E-13</v>
      </c>
      <c r="CU177" s="18">
        <f>CT177*VLOOKUP('Données projet'!$B$13,Paramètres!$A$1:$I$89,3,0)*VLOOKUP('Données projet'!$B$13,Paramètres!$A$1:$I$89,5,0)</f>
        <v>-9.2222762759774927E-14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265.25572936607409</v>
      </c>
      <c r="CZ177" s="62">
        <f t="shared" si="150"/>
        <v>307.96244316129071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69.34674061797115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5.6843418860808015E-14</v>
      </c>
      <c r="DP177" s="18">
        <f>DO177*VLOOKUP('Données projet'!$B$14,Paramètres!$A$1:$I$89,3,0)*VLOOKUP('Données projet'!$B$14,Paramètres!$A$1:$I$89,5,0)</f>
        <v>5.4092197387944907E-14</v>
      </c>
      <c r="DQ177" s="14">
        <f t="shared" si="176"/>
        <v>8.7287050538073676E-13</v>
      </c>
      <c r="DR177" s="22">
        <f t="shared" si="177"/>
        <v>1.6144600406554537E-12</v>
      </c>
      <c r="DS177" s="62">
        <f t="shared" si="125"/>
        <v>290.93804893256248</v>
      </c>
      <c r="DT177" s="62">
        <f ca="1">AVERAGE(OFFSET($DS$3,0,0,'Données projet'!$E$14+1,1))-AVERAGE(OFFSET($H$3,0,0,'Données projet'!$E$14+1,1))</f>
        <v>425.41154182732936</v>
      </c>
      <c r="DU177" s="62">
        <f t="shared" si="152"/>
        <v>306.44721925744591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69.34674061797115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-5.6843418860808015E-14</v>
      </c>
      <c r="EK177" s="18">
        <f>EJ177*VLOOKUP('Données projet'!$B$15,Paramètres!$A$1:$I$89,3,0)*VLOOKUP('Données projet'!$B$15,Paramètres!$A$1:$I$89,5,0)</f>
        <v>-4.1677594708744434E-14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357.57626046668958</v>
      </c>
      <c r="EP177" s="62">
        <f t="shared" si="154"/>
        <v>386.90439522046199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69.34674061797115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1.1368683772161603E-13</v>
      </c>
      <c r="FF177" s="18">
        <f>FE177*VLOOKUP('Données projet'!$B$16,Paramètres!$A$1:$I$89,3,0)*VLOOKUP('Données projet'!$B$16,Paramètres!$A$1:$I$89,5,0)</f>
        <v>8.8675733422860506E-14</v>
      </c>
      <c r="FG177" s="14">
        <f t="shared" si="182"/>
        <v>1.3509285393066301E-12</v>
      </c>
      <c r="FH177" s="22">
        <f t="shared" si="183"/>
        <v>2.5073107750038623E-12</v>
      </c>
      <c r="FI177" s="62">
        <f t="shared" si="131"/>
        <v>290.93804893256339</v>
      </c>
      <c r="FJ177" s="62">
        <f ca="1">AVERAGE(OFFSET($FI$3,0,0,'Données projet'!$E$16+1,1))-AVERAGE(OFFSET($H$3,0,0,'Données projet'!$E$16+1,1))</f>
        <v>303.56663121833833</v>
      </c>
      <c r="FK177" s="62">
        <f t="shared" si="156"/>
        <v>293.97736357938038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69.34674061797115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-5.6843418860808015E-14</v>
      </c>
      <c r="GA177" s="18">
        <f>FZ177*VLOOKUP('Données projet'!$B$17,Paramètres!$A$1:$I$89,3,0)*VLOOKUP('Données projet'!$B$17,Paramètres!$A$1:$I$89,5,0)</f>
        <v>-4.5224624045658861E-14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383.71724511025587</v>
      </c>
      <c r="GF177" s="62">
        <f t="shared" si="158"/>
        <v>415.10774719533185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69.34674061797115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1.7053025658242404E-13</v>
      </c>
      <c r="GV177" s="18">
        <f>GU177*VLOOKUP('Données projet'!$B$18,Paramètres!$A$1:$I$89,3,0)*VLOOKUP('Données projet'!$B$18,Paramètres!$A$1:$I$89,5,0)</f>
        <v>1.1439169611549005E-13</v>
      </c>
      <c r="GW177" s="14">
        <f t="shared" si="188"/>
        <v>1.6918016515029816E-12</v>
      </c>
      <c r="GX177" s="22">
        <f t="shared" si="189"/>
        <v>3.1457867471021712E-12</v>
      </c>
      <c r="GY177" s="62">
        <f t="shared" si="137"/>
        <v>290.93804893256402</v>
      </c>
      <c r="GZ177" s="62">
        <f ca="1">AVERAGE(OFFSET($GY$3,0,0,'Données projet'!$E$18+1,1))-AVERAGE(OFFSET($H$3,0,0,'Données projet'!$E$18+1,1))</f>
        <v>329.93956600482801</v>
      </c>
      <c r="HA177" s="62">
        <f t="shared" si="160"/>
        <v>268.69186630599165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2.7450000000000001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10.065</v>
      </c>
      <c r="H178" s="70">
        <f t="shared" si="110"/>
        <v>216.40666666666667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69.358073207780166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-1.0286385077051818E-13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551.67307965706379</v>
      </c>
      <c r="T178" s="62">
        <f t="shared" si="142"/>
        <v>288.70738860523943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69.358073207780166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-9.5769792096689348E-14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518.18933270904506</v>
      </c>
      <c r="AO178" s="62">
        <f t="shared" si="144"/>
        <v>272.44431899810411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69.358073207780166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-9.7543306765146564E-14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464.73160475167867</v>
      </c>
      <c r="BJ178" s="62">
        <f t="shared" si="146"/>
        <v>241.31968359962227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69.358073207780166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2.2737367544323206E-13</v>
      </c>
      <c r="BZ178" s="14">
        <f>BY178*VLOOKUP('Données projet'!$B$12,Paramètres!$A$1:$I$89,3,0)*VLOOKUP('Données projet'!$B$12,Paramètres!$A$1:$I$89,5,0)</f>
        <v>1.4897523215040565E-13</v>
      </c>
      <c r="CA178" s="14">
        <f t="shared" si="170"/>
        <v>2.136562777003313E-12</v>
      </c>
      <c r="CB178" s="22">
        <f t="shared" si="171"/>
        <v>3.9806453659427267E-12</v>
      </c>
      <c r="CC178" s="62">
        <f t="shared" si="119"/>
        <v>290.97960176186456</v>
      </c>
      <c r="CD178" s="62">
        <f ca="1">AVERAGE(OFFSET($CC$3,0,0,'Données projet'!$E$12+1,1))-AVERAGE(OFFSET($H$3,0,0,'Données projet'!$E$12+1,1))</f>
        <v>292.13851489852607</v>
      </c>
      <c r="CE178" s="62">
        <f t="shared" si="148"/>
        <v>280.10866188737418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69.358073207780166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-1.1368683772161603E-13</v>
      </c>
      <c r="CU178" s="18">
        <f>CT178*VLOOKUP('Données projet'!$B$13,Paramètres!$A$1:$I$89,3,0)*VLOOKUP('Données projet'!$B$13,Paramètres!$A$1:$I$89,5,0)</f>
        <v>-9.2222762759774927E-14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265.25572936607409</v>
      </c>
      <c r="CZ178" s="62">
        <f t="shared" si="150"/>
        <v>307.96244316129071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69.358073207780166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5.6843418860808015E-14</v>
      </c>
      <c r="DP178" s="18">
        <f>DO178*VLOOKUP('Données projet'!$B$14,Paramètres!$A$1:$I$89,3,0)*VLOOKUP('Données projet'!$B$14,Paramètres!$A$1:$I$89,5,0)</f>
        <v>5.4092197387944907E-14</v>
      </c>
      <c r="DQ178" s="14">
        <f t="shared" si="176"/>
        <v>8.7287050538073676E-13</v>
      </c>
      <c r="DR178" s="22">
        <f t="shared" si="177"/>
        <v>1.6144600406554537E-12</v>
      </c>
      <c r="DS178" s="62">
        <f t="shared" si="125"/>
        <v>290.97960176186217</v>
      </c>
      <c r="DT178" s="62">
        <f ca="1">AVERAGE(OFFSET($DS$3,0,0,'Données projet'!$E$14+1,1))-AVERAGE(OFFSET($H$3,0,0,'Données projet'!$E$14+1,1))</f>
        <v>425.41154182732936</v>
      </c>
      <c r="DU178" s="62">
        <f t="shared" si="152"/>
        <v>306.44721925744591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69.358073207780166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-5.6843418860808015E-14</v>
      </c>
      <c r="EK178" s="18">
        <f>EJ178*VLOOKUP('Données projet'!$B$15,Paramètres!$A$1:$I$89,3,0)*VLOOKUP('Données projet'!$B$15,Paramètres!$A$1:$I$89,5,0)</f>
        <v>-4.1677594708744434E-14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357.57626046668958</v>
      </c>
      <c r="EP178" s="62">
        <f t="shared" si="154"/>
        <v>386.90439522046199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69.358073207780166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1.1368683772161603E-13</v>
      </c>
      <c r="FF178" s="18">
        <f>FE178*VLOOKUP('Données projet'!$B$16,Paramètres!$A$1:$I$89,3,0)*VLOOKUP('Données projet'!$B$16,Paramètres!$A$1:$I$89,5,0)</f>
        <v>8.8675733422860506E-14</v>
      </c>
      <c r="FG178" s="14">
        <f t="shared" si="182"/>
        <v>1.3509285393066301E-12</v>
      </c>
      <c r="FH178" s="22">
        <f t="shared" si="183"/>
        <v>2.5073107750038623E-12</v>
      </c>
      <c r="FI178" s="62">
        <f t="shared" si="131"/>
        <v>290.97960176186308</v>
      </c>
      <c r="FJ178" s="62">
        <f ca="1">AVERAGE(OFFSET($FI$3,0,0,'Données projet'!$E$16+1,1))-AVERAGE(OFFSET($H$3,0,0,'Données projet'!$E$16+1,1))</f>
        <v>303.56663121833833</v>
      </c>
      <c r="FK178" s="62">
        <f t="shared" si="156"/>
        <v>293.97736357938038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69.358073207780166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-5.6843418860808015E-14</v>
      </c>
      <c r="GA178" s="18">
        <f>FZ178*VLOOKUP('Données projet'!$B$17,Paramètres!$A$1:$I$89,3,0)*VLOOKUP('Données projet'!$B$17,Paramètres!$A$1:$I$89,5,0)</f>
        <v>-4.5224624045658861E-14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383.71724511025587</v>
      </c>
      <c r="GF178" s="62">
        <f t="shared" si="158"/>
        <v>415.10774719533185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69.358073207780166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1.7053025658242404E-13</v>
      </c>
      <c r="GV178" s="18">
        <f>GU178*VLOOKUP('Données projet'!$B$18,Paramètres!$A$1:$I$89,3,0)*VLOOKUP('Données projet'!$B$18,Paramètres!$A$1:$I$89,5,0)</f>
        <v>1.1439169611549005E-13</v>
      </c>
      <c r="GW178" s="14">
        <f t="shared" si="188"/>
        <v>1.6918016515029816E-12</v>
      </c>
      <c r="GX178" s="22">
        <f t="shared" si="189"/>
        <v>3.1457867471021712E-12</v>
      </c>
      <c r="GY178" s="62">
        <f t="shared" si="137"/>
        <v>290.97960176186371</v>
      </c>
      <c r="GZ178" s="62">
        <f ca="1">AVERAGE(OFFSET($GY$3,0,0,'Données projet'!$E$18+1,1))-AVERAGE(OFFSET($H$3,0,0,'Données projet'!$E$18+1,1))</f>
        <v>329.93956600482801</v>
      </c>
      <c r="HA178" s="62">
        <f t="shared" si="160"/>
        <v>268.69186630599165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2.7450000000000001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10.065</v>
      </c>
      <c r="H179" s="70">
        <f t="shared" si="110"/>
        <v>216.40666666666667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69.369209202491874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-1.0286385077051818E-13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551.67307965706379</v>
      </c>
      <c r="T179" s="62">
        <f t="shared" si="142"/>
        <v>288.70738860523943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69.369209202491874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-9.5769792096689348E-14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518.18933270904506</v>
      </c>
      <c r="AO179" s="62">
        <f t="shared" si="144"/>
        <v>272.44431899810411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69.369209202491874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-9.7543306765146564E-14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464.73160475167867</v>
      </c>
      <c r="BJ179" s="62">
        <f t="shared" si="146"/>
        <v>241.31968359962227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69.369209202491874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2.2737367544323206E-13</v>
      </c>
      <c r="BZ179" s="14">
        <f>BY179*VLOOKUP('Données projet'!$B$12,Paramètres!$A$1:$I$89,3,0)*VLOOKUP('Données projet'!$B$12,Paramètres!$A$1:$I$89,5,0)</f>
        <v>1.4897523215040565E-13</v>
      </c>
      <c r="CA179" s="14">
        <f t="shared" si="170"/>
        <v>2.136562777003313E-12</v>
      </c>
      <c r="CB179" s="22">
        <f t="shared" si="171"/>
        <v>3.9806453659427267E-12</v>
      </c>
      <c r="CC179" s="62">
        <f t="shared" si="119"/>
        <v>291.02043374247415</v>
      </c>
      <c r="CD179" s="62">
        <f ca="1">AVERAGE(OFFSET($CC$3,0,0,'Données projet'!$E$12+1,1))-AVERAGE(OFFSET($H$3,0,0,'Données projet'!$E$12+1,1))</f>
        <v>292.13851489852607</v>
      </c>
      <c r="CE179" s="62">
        <f t="shared" si="148"/>
        <v>280.10866188737418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69.369209202491874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-1.1368683772161603E-13</v>
      </c>
      <c r="CU179" s="18">
        <f>CT179*VLOOKUP('Données projet'!$B$13,Paramètres!$A$1:$I$89,3,0)*VLOOKUP('Données projet'!$B$13,Paramètres!$A$1:$I$89,5,0)</f>
        <v>-9.2222762759774927E-14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265.25572936607409</v>
      </c>
      <c r="CZ179" s="62">
        <f t="shared" si="150"/>
        <v>307.96244316129071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69.369209202491874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5.6843418860808015E-14</v>
      </c>
      <c r="DP179" s="18">
        <f>DO179*VLOOKUP('Données projet'!$B$14,Paramètres!$A$1:$I$89,3,0)*VLOOKUP('Données projet'!$B$14,Paramètres!$A$1:$I$89,5,0)</f>
        <v>5.4092197387944907E-14</v>
      </c>
      <c r="DQ179" s="14">
        <f t="shared" si="176"/>
        <v>8.7287050538073676E-13</v>
      </c>
      <c r="DR179" s="22">
        <f t="shared" si="177"/>
        <v>1.6144600406554537E-12</v>
      </c>
      <c r="DS179" s="62">
        <f t="shared" si="125"/>
        <v>291.02043374247177</v>
      </c>
      <c r="DT179" s="62">
        <f ca="1">AVERAGE(OFFSET($DS$3,0,0,'Données projet'!$E$14+1,1))-AVERAGE(OFFSET($H$3,0,0,'Données projet'!$E$14+1,1))</f>
        <v>425.41154182732936</v>
      </c>
      <c r="DU179" s="62">
        <f t="shared" si="152"/>
        <v>306.44721925744591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69.369209202491874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-5.6843418860808015E-14</v>
      </c>
      <c r="EK179" s="18">
        <f>EJ179*VLOOKUP('Données projet'!$B$15,Paramètres!$A$1:$I$89,3,0)*VLOOKUP('Données projet'!$B$15,Paramètres!$A$1:$I$89,5,0)</f>
        <v>-4.1677594708744434E-14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357.57626046668958</v>
      </c>
      <c r="EP179" s="62">
        <f t="shared" si="154"/>
        <v>386.90439522046199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69.369209202491874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1.1368683772161603E-13</v>
      </c>
      <c r="FF179" s="18">
        <f>FE179*VLOOKUP('Données projet'!$B$16,Paramètres!$A$1:$I$89,3,0)*VLOOKUP('Données projet'!$B$16,Paramètres!$A$1:$I$89,5,0)</f>
        <v>8.8675733422860506E-14</v>
      </c>
      <c r="FG179" s="14">
        <f t="shared" si="182"/>
        <v>1.3509285393066301E-12</v>
      </c>
      <c r="FH179" s="22">
        <f t="shared" si="183"/>
        <v>2.5073107750038623E-12</v>
      </c>
      <c r="FI179" s="62">
        <f t="shared" si="131"/>
        <v>291.02043374247268</v>
      </c>
      <c r="FJ179" s="62">
        <f ca="1">AVERAGE(OFFSET($FI$3,0,0,'Données projet'!$E$16+1,1))-AVERAGE(OFFSET($H$3,0,0,'Données projet'!$E$16+1,1))</f>
        <v>303.56663121833833</v>
      </c>
      <c r="FK179" s="62">
        <f t="shared" si="156"/>
        <v>293.97736357938038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69.369209202491874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-5.6843418860808015E-14</v>
      </c>
      <c r="GA179" s="18">
        <f>FZ179*VLOOKUP('Données projet'!$B$17,Paramètres!$A$1:$I$89,3,0)*VLOOKUP('Données projet'!$B$17,Paramètres!$A$1:$I$89,5,0)</f>
        <v>-4.5224624045658861E-14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383.71724511025587</v>
      </c>
      <c r="GF179" s="62">
        <f t="shared" si="158"/>
        <v>415.10774719533185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69.369209202491874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1.7053025658242404E-13</v>
      </c>
      <c r="GV179" s="18">
        <f>GU179*VLOOKUP('Données projet'!$B$18,Paramètres!$A$1:$I$89,3,0)*VLOOKUP('Données projet'!$B$18,Paramètres!$A$1:$I$89,5,0)</f>
        <v>1.1439169611549005E-13</v>
      </c>
      <c r="GW179" s="14">
        <f t="shared" si="188"/>
        <v>1.6918016515029816E-12</v>
      </c>
      <c r="GX179" s="22">
        <f t="shared" si="189"/>
        <v>3.1457867471021712E-12</v>
      </c>
      <c r="GY179" s="62">
        <f t="shared" si="137"/>
        <v>291.0204337424733</v>
      </c>
      <c r="GZ179" s="62">
        <f ca="1">AVERAGE(OFFSET($GY$3,0,0,'Données projet'!$E$18+1,1))-AVERAGE(OFFSET($H$3,0,0,'Données projet'!$E$18+1,1))</f>
        <v>329.93956600482801</v>
      </c>
      <c r="HA179" s="62">
        <f t="shared" si="160"/>
        <v>268.69186630599165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2.7450000000000001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10.065</v>
      </c>
      <c r="H180" s="70">
        <f t="shared" si="110"/>
        <v>216.40666666666667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69.38015201259168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-1.0286385077051818E-13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551.67307965706379</v>
      </c>
      <c r="T180" s="62">
        <f t="shared" si="142"/>
        <v>288.70738860523943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69.38015201259168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-9.5769792096689348E-14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518.18933270904506</v>
      </c>
      <c r="AO180" s="62">
        <f t="shared" si="144"/>
        <v>272.44431899810411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69.38015201259168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-9.7543306765146564E-14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464.73160475167867</v>
      </c>
      <c r="BJ180" s="62">
        <f t="shared" si="146"/>
        <v>241.31968359962227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69.38015201259168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2.2737367544323206E-13</v>
      </c>
      <c r="BZ180" s="14">
        <f>BY180*VLOOKUP('Données projet'!$B$12,Paramètres!$A$1:$I$89,3,0)*VLOOKUP('Données projet'!$B$12,Paramètres!$A$1:$I$89,5,0)</f>
        <v>1.4897523215040565E-13</v>
      </c>
      <c r="CA180" s="14">
        <f t="shared" si="170"/>
        <v>2.136562777003313E-12</v>
      </c>
      <c r="CB180" s="22">
        <f t="shared" si="171"/>
        <v>3.9806453659427267E-12</v>
      </c>
      <c r="CC180" s="62">
        <f t="shared" si="119"/>
        <v>291.0605573795068</v>
      </c>
      <c r="CD180" s="62">
        <f ca="1">AVERAGE(OFFSET($CC$3,0,0,'Données projet'!$E$12+1,1))-AVERAGE(OFFSET($H$3,0,0,'Données projet'!$E$12+1,1))</f>
        <v>292.13851489852607</v>
      </c>
      <c r="CE180" s="62">
        <f t="shared" si="148"/>
        <v>280.10866188737418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69.38015201259168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-1.1368683772161603E-13</v>
      </c>
      <c r="CU180" s="18">
        <f>CT180*VLOOKUP('Données projet'!$B$13,Paramètres!$A$1:$I$89,3,0)*VLOOKUP('Données projet'!$B$13,Paramètres!$A$1:$I$89,5,0)</f>
        <v>-9.2222762759774927E-14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265.25572936607409</v>
      </c>
      <c r="CZ180" s="62">
        <f t="shared" si="150"/>
        <v>307.96244316129071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69.38015201259168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5.6843418860808015E-14</v>
      </c>
      <c r="DP180" s="18">
        <f>DO180*VLOOKUP('Données projet'!$B$14,Paramètres!$A$1:$I$89,3,0)*VLOOKUP('Données projet'!$B$14,Paramètres!$A$1:$I$89,5,0)</f>
        <v>5.4092197387944907E-14</v>
      </c>
      <c r="DQ180" s="14">
        <f t="shared" si="176"/>
        <v>8.7287050538073676E-13</v>
      </c>
      <c r="DR180" s="22">
        <f t="shared" si="177"/>
        <v>1.6144600406554537E-12</v>
      </c>
      <c r="DS180" s="62">
        <f t="shared" si="125"/>
        <v>291.06055737950442</v>
      </c>
      <c r="DT180" s="62">
        <f ca="1">AVERAGE(OFFSET($DS$3,0,0,'Données projet'!$E$14+1,1))-AVERAGE(OFFSET($H$3,0,0,'Données projet'!$E$14+1,1))</f>
        <v>425.41154182732936</v>
      </c>
      <c r="DU180" s="62">
        <f t="shared" si="152"/>
        <v>306.44721925744591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69.38015201259168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-5.6843418860808015E-14</v>
      </c>
      <c r="EK180" s="18">
        <f>EJ180*VLOOKUP('Données projet'!$B$15,Paramètres!$A$1:$I$89,3,0)*VLOOKUP('Données projet'!$B$15,Paramètres!$A$1:$I$89,5,0)</f>
        <v>-4.1677594708744434E-14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357.57626046668958</v>
      </c>
      <c r="EP180" s="62">
        <f t="shared" si="154"/>
        <v>386.90439522046199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69.38015201259168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1.1368683772161603E-13</v>
      </c>
      <c r="FF180" s="18">
        <f>FE180*VLOOKUP('Données projet'!$B$16,Paramètres!$A$1:$I$89,3,0)*VLOOKUP('Données projet'!$B$16,Paramètres!$A$1:$I$89,5,0)</f>
        <v>8.8675733422860506E-14</v>
      </c>
      <c r="FG180" s="14">
        <f t="shared" si="182"/>
        <v>1.3509285393066301E-12</v>
      </c>
      <c r="FH180" s="22">
        <f t="shared" si="183"/>
        <v>2.5073107750038623E-12</v>
      </c>
      <c r="FI180" s="62">
        <f t="shared" si="131"/>
        <v>291.06055737950533</v>
      </c>
      <c r="FJ180" s="62">
        <f ca="1">AVERAGE(OFFSET($FI$3,0,0,'Données projet'!$E$16+1,1))-AVERAGE(OFFSET($H$3,0,0,'Données projet'!$E$16+1,1))</f>
        <v>303.56663121833833</v>
      </c>
      <c r="FK180" s="62">
        <f t="shared" si="156"/>
        <v>293.97736357938038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69.38015201259168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-5.6843418860808015E-14</v>
      </c>
      <c r="GA180" s="18">
        <f>FZ180*VLOOKUP('Données projet'!$B$17,Paramètres!$A$1:$I$89,3,0)*VLOOKUP('Données projet'!$B$17,Paramètres!$A$1:$I$89,5,0)</f>
        <v>-4.5224624045658861E-14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383.71724511025587</v>
      </c>
      <c r="GF180" s="62">
        <f t="shared" si="158"/>
        <v>415.10774719533185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69.38015201259168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1.7053025658242404E-13</v>
      </c>
      <c r="GV180" s="18">
        <f>GU180*VLOOKUP('Données projet'!$B$18,Paramètres!$A$1:$I$89,3,0)*VLOOKUP('Données projet'!$B$18,Paramètres!$A$1:$I$89,5,0)</f>
        <v>1.1439169611549005E-13</v>
      </c>
      <c r="GW180" s="14">
        <f t="shared" si="188"/>
        <v>1.6918016515029816E-12</v>
      </c>
      <c r="GX180" s="22">
        <f t="shared" si="189"/>
        <v>3.1457867471021712E-12</v>
      </c>
      <c r="GY180" s="62">
        <f t="shared" si="137"/>
        <v>291.06055737950595</v>
      </c>
      <c r="GZ180" s="62">
        <f ca="1">AVERAGE(OFFSET($GY$3,0,0,'Données projet'!$E$18+1,1))-AVERAGE(OFFSET($H$3,0,0,'Données projet'!$E$18+1,1))</f>
        <v>329.93956600482801</v>
      </c>
      <c r="HA180" s="62">
        <f t="shared" si="160"/>
        <v>268.69186630599165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2.7450000000000001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10.065</v>
      </c>
      <c r="H181" s="70">
        <f t="shared" si="110"/>
        <v>216.40666666666667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69.390904989400724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-1.0286385077051818E-13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551.67307965706379</v>
      </c>
      <c r="T181" s="62">
        <f t="shared" si="142"/>
        <v>288.70738860523943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69.390904989400724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-9.5769792096689348E-14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518.18933270904506</v>
      </c>
      <c r="AO181" s="62">
        <f t="shared" si="144"/>
        <v>272.44431899810411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69.390904989400724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-9.7543306765146564E-14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464.73160475167867</v>
      </c>
      <c r="BJ181" s="62">
        <f t="shared" si="146"/>
        <v>241.31968359962227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69.390904989400724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2.2737367544323206E-13</v>
      </c>
      <c r="BZ181" s="14">
        <f>BY181*VLOOKUP('Données projet'!$B$12,Paramètres!$A$1:$I$89,3,0)*VLOOKUP('Données projet'!$B$12,Paramètres!$A$1:$I$89,5,0)</f>
        <v>1.4897523215040565E-13</v>
      </c>
      <c r="CA181" s="14">
        <f t="shared" si="170"/>
        <v>2.136562777003313E-12</v>
      </c>
      <c r="CB181" s="22">
        <f t="shared" si="171"/>
        <v>3.9806453659427267E-12</v>
      </c>
      <c r="CC181" s="62">
        <f t="shared" si="119"/>
        <v>291.09998496113997</v>
      </c>
      <c r="CD181" s="62">
        <f ca="1">AVERAGE(OFFSET($CC$3,0,0,'Données projet'!$E$12+1,1))-AVERAGE(OFFSET($H$3,0,0,'Données projet'!$E$12+1,1))</f>
        <v>292.13851489852607</v>
      </c>
      <c r="CE181" s="62">
        <f t="shared" si="148"/>
        <v>280.10866188737418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69.390904989400724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-1.1368683772161603E-13</v>
      </c>
      <c r="CU181" s="18">
        <f>CT181*VLOOKUP('Données projet'!$B$13,Paramètres!$A$1:$I$89,3,0)*VLOOKUP('Données projet'!$B$13,Paramètres!$A$1:$I$89,5,0)</f>
        <v>-9.2222762759774927E-14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265.25572936607409</v>
      </c>
      <c r="CZ181" s="62">
        <f t="shared" si="150"/>
        <v>307.96244316129071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69.390904989400724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5.6843418860808015E-14</v>
      </c>
      <c r="DP181" s="18">
        <f>DO181*VLOOKUP('Données projet'!$B$14,Paramètres!$A$1:$I$89,3,0)*VLOOKUP('Données projet'!$B$14,Paramètres!$A$1:$I$89,5,0)</f>
        <v>5.4092197387944907E-14</v>
      </c>
      <c r="DQ181" s="14">
        <f t="shared" si="176"/>
        <v>8.7287050538073676E-13</v>
      </c>
      <c r="DR181" s="22">
        <f t="shared" si="177"/>
        <v>1.6144600406554537E-12</v>
      </c>
      <c r="DS181" s="62">
        <f t="shared" si="125"/>
        <v>291.09998496113758</v>
      </c>
      <c r="DT181" s="62">
        <f ca="1">AVERAGE(OFFSET($DS$3,0,0,'Données projet'!$E$14+1,1))-AVERAGE(OFFSET($H$3,0,0,'Données projet'!$E$14+1,1))</f>
        <v>425.41154182732936</v>
      </c>
      <c r="DU181" s="62">
        <f t="shared" si="152"/>
        <v>306.44721925744591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69.390904989400724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-5.6843418860808015E-14</v>
      </c>
      <c r="EK181" s="18">
        <f>EJ181*VLOOKUP('Données projet'!$B$15,Paramètres!$A$1:$I$89,3,0)*VLOOKUP('Données projet'!$B$15,Paramètres!$A$1:$I$89,5,0)</f>
        <v>-4.1677594708744434E-14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357.57626046668958</v>
      </c>
      <c r="EP181" s="62">
        <f t="shared" si="154"/>
        <v>386.90439522046199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69.390904989400724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1.1368683772161603E-13</v>
      </c>
      <c r="FF181" s="18">
        <f>FE181*VLOOKUP('Données projet'!$B$16,Paramètres!$A$1:$I$89,3,0)*VLOOKUP('Données projet'!$B$16,Paramètres!$A$1:$I$89,5,0)</f>
        <v>8.8675733422860506E-14</v>
      </c>
      <c r="FG181" s="14">
        <f t="shared" si="182"/>
        <v>1.3509285393066301E-12</v>
      </c>
      <c r="FH181" s="22">
        <f t="shared" si="183"/>
        <v>2.5073107750038623E-12</v>
      </c>
      <c r="FI181" s="62">
        <f t="shared" si="131"/>
        <v>291.09998496113849</v>
      </c>
      <c r="FJ181" s="62">
        <f ca="1">AVERAGE(OFFSET($FI$3,0,0,'Données projet'!$E$16+1,1))-AVERAGE(OFFSET($H$3,0,0,'Données projet'!$E$16+1,1))</f>
        <v>303.56663121833833</v>
      </c>
      <c r="FK181" s="62">
        <f t="shared" si="156"/>
        <v>293.97736357938038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69.390904989400724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-5.6843418860808015E-14</v>
      </c>
      <c r="GA181" s="18">
        <f>FZ181*VLOOKUP('Données projet'!$B$17,Paramètres!$A$1:$I$89,3,0)*VLOOKUP('Données projet'!$B$17,Paramètres!$A$1:$I$89,5,0)</f>
        <v>-4.5224624045658861E-14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383.71724511025587</v>
      </c>
      <c r="GF181" s="62">
        <f t="shared" si="158"/>
        <v>415.10774719533185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69.390904989400724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1.7053025658242404E-13</v>
      </c>
      <c r="GV181" s="18">
        <f>GU181*VLOOKUP('Données projet'!$B$18,Paramètres!$A$1:$I$89,3,0)*VLOOKUP('Données projet'!$B$18,Paramètres!$A$1:$I$89,5,0)</f>
        <v>1.1439169611549005E-13</v>
      </c>
      <c r="GW181" s="14">
        <f t="shared" si="188"/>
        <v>1.6918016515029816E-12</v>
      </c>
      <c r="GX181" s="22">
        <f t="shared" si="189"/>
        <v>3.1457867471021712E-12</v>
      </c>
      <c r="GY181" s="62">
        <f t="shared" si="137"/>
        <v>291.09998496113911</v>
      </c>
      <c r="GZ181" s="62">
        <f ca="1">AVERAGE(OFFSET($GY$3,0,0,'Données projet'!$E$18+1,1))-AVERAGE(OFFSET($H$3,0,0,'Données projet'!$E$18+1,1))</f>
        <v>329.93956600482801</v>
      </c>
      <c r="HA181" s="62">
        <f t="shared" si="160"/>
        <v>268.69186630599165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2.7450000000000001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10.065</v>
      </c>
      <c r="H182" s="70">
        <f t="shared" si="110"/>
        <v>216.40666666666667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69.401471426102177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-1.0286385077051818E-13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551.67307965706379</v>
      </c>
      <c r="T182" s="62">
        <f t="shared" si="142"/>
        <v>288.70738860523943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69.401471426102177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-9.5769792096689348E-14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518.18933270904506</v>
      </c>
      <c r="AO182" s="62">
        <f t="shared" si="144"/>
        <v>272.44431899810411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69.401471426102177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-9.7543306765146564E-14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464.73160475167867</v>
      </c>
      <c r="BJ182" s="62">
        <f t="shared" si="146"/>
        <v>241.31968359962227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69.401471426102177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2.2737367544323206E-13</v>
      </c>
      <c r="BZ182" s="14">
        <f>BY182*VLOOKUP('Données projet'!$B$12,Paramètres!$A$1:$I$89,3,0)*VLOOKUP('Données projet'!$B$12,Paramètres!$A$1:$I$89,5,0)</f>
        <v>1.4897523215040565E-13</v>
      </c>
      <c r="CA182" s="14">
        <f t="shared" si="170"/>
        <v>2.136562777003313E-12</v>
      </c>
      <c r="CB182" s="22">
        <f t="shared" si="171"/>
        <v>3.9806453659427267E-12</v>
      </c>
      <c r="CC182" s="62">
        <f t="shared" si="119"/>
        <v>291.13872856237862</v>
      </c>
      <c r="CD182" s="62">
        <f ca="1">AVERAGE(OFFSET($CC$3,0,0,'Données projet'!$E$12+1,1))-AVERAGE(OFFSET($H$3,0,0,'Données projet'!$E$12+1,1))</f>
        <v>292.13851489852607</v>
      </c>
      <c r="CE182" s="62">
        <f t="shared" si="148"/>
        <v>280.10866188737418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69.401471426102177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-1.1368683772161603E-13</v>
      </c>
      <c r="CU182" s="18">
        <f>CT182*VLOOKUP('Données projet'!$B$13,Paramètres!$A$1:$I$89,3,0)*VLOOKUP('Données projet'!$B$13,Paramètres!$A$1:$I$89,5,0)</f>
        <v>-9.2222762759774927E-14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265.25572936607409</v>
      </c>
      <c r="CZ182" s="62">
        <f t="shared" si="150"/>
        <v>307.96244316129071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69.401471426102177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5.6843418860808015E-14</v>
      </c>
      <c r="DP182" s="18">
        <f>DO182*VLOOKUP('Données projet'!$B$14,Paramètres!$A$1:$I$89,3,0)*VLOOKUP('Données projet'!$B$14,Paramètres!$A$1:$I$89,5,0)</f>
        <v>5.4092197387944907E-14</v>
      </c>
      <c r="DQ182" s="14">
        <f t="shared" si="176"/>
        <v>8.7287050538073676E-13</v>
      </c>
      <c r="DR182" s="22">
        <f t="shared" si="177"/>
        <v>1.6144600406554537E-12</v>
      </c>
      <c r="DS182" s="62">
        <f t="shared" si="125"/>
        <v>291.13872856237623</v>
      </c>
      <c r="DT182" s="62">
        <f ca="1">AVERAGE(OFFSET($DS$3,0,0,'Données projet'!$E$14+1,1))-AVERAGE(OFFSET($H$3,0,0,'Données projet'!$E$14+1,1))</f>
        <v>425.41154182732936</v>
      </c>
      <c r="DU182" s="62">
        <f t="shared" si="152"/>
        <v>306.44721925744591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69.401471426102177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-5.6843418860808015E-14</v>
      </c>
      <c r="EK182" s="18">
        <f>EJ182*VLOOKUP('Données projet'!$B$15,Paramètres!$A$1:$I$89,3,0)*VLOOKUP('Données projet'!$B$15,Paramètres!$A$1:$I$89,5,0)</f>
        <v>-4.1677594708744434E-14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357.57626046668958</v>
      </c>
      <c r="EP182" s="62">
        <f t="shared" si="154"/>
        <v>386.90439522046199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69.401471426102177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1.1368683772161603E-13</v>
      </c>
      <c r="FF182" s="18">
        <f>FE182*VLOOKUP('Données projet'!$B$16,Paramètres!$A$1:$I$89,3,0)*VLOOKUP('Données projet'!$B$16,Paramètres!$A$1:$I$89,5,0)</f>
        <v>8.8675733422860506E-14</v>
      </c>
      <c r="FG182" s="14">
        <f t="shared" si="182"/>
        <v>1.3509285393066301E-12</v>
      </c>
      <c r="FH182" s="22">
        <f t="shared" si="183"/>
        <v>2.5073107750038623E-12</v>
      </c>
      <c r="FI182" s="62">
        <f t="shared" si="131"/>
        <v>291.13872856237714</v>
      </c>
      <c r="FJ182" s="62">
        <f ca="1">AVERAGE(OFFSET($FI$3,0,0,'Données projet'!$E$16+1,1))-AVERAGE(OFFSET($H$3,0,0,'Données projet'!$E$16+1,1))</f>
        <v>303.56663121833833</v>
      </c>
      <c r="FK182" s="62">
        <f t="shared" si="156"/>
        <v>293.97736357938038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69.401471426102177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-5.6843418860808015E-14</v>
      </c>
      <c r="GA182" s="18">
        <f>FZ182*VLOOKUP('Données projet'!$B$17,Paramètres!$A$1:$I$89,3,0)*VLOOKUP('Données projet'!$B$17,Paramètres!$A$1:$I$89,5,0)</f>
        <v>-4.5224624045658861E-14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383.71724511025587</v>
      </c>
      <c r="GF182" s="62">
        <f t="shared" si="158"/>
        <v>415.10774719533185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69.401471426102177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1.7053025658242404E-13</v>
      </c>
      <c r="GV182" s="18">
        <f>GU182*VLOOKUP('Données projet'!$B$18,Paramètres!$A$1:$I$89,3,0)*VLOOKUP('Données projet'!$B$18,Paramètres!$A$1:$I$89,5,0)</f>
        <v>1.1439169611549005E-13</v>
      </c>
      <c r="GW182" s="14">
        <f t="shared" si="188"/>
        <v>1.6918016515029816E-12</v>
      </c>
      <c r="GX182" s="22">
        <f t="shared" si="189"/>
        <v>3.1457867471021712E-12</v>
      </c>
      <c r="GY182" s="62">
        <f t="shared" si="137"/>
        <v>291.13872856237776</v>
      </c>
      <c r="GZ182" s="62">
        <f ca="1">AVERAGE(OFFSET($GY$3,0,0,'Données projet'!$E$18+1,1))-AVERAGE(OFFSET($H$3,0,0,'Données projet'!$E$18+1,1))</f>
        <v>329.93956600482801</v>
      </c>
      <c r="HA182" s="62">
        <f t="shared" si="160"/>
        <v>268.69186630599165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2.7450000000000001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10.065</v>
      </c>
      <c r="H183" s="70">
        <f t="shared" si="110"/>
        <v>216.40666666666667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69.411854558749866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-1.0286385077051818E-13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551.67307965706379</v>
      </c>
      <c r="T183" s="62">
        <f t="shared" si="142"/>
        <v>288.70738860523943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69.411854558749866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-9.5769792096689348E-14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518.18933270904506</v>
      </c>
      <c r="AO183" s="62">
        <f t="shared" si="144"/>
        <v>272.44431899810411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69.411854558749866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-9.7543306765146564E-14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464.73160475167867</v>
      </c>
      <c r="BJ183" s="62">
        <f t="shared" si="146"/>
        <v>241.31968359962227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69.411854558749866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2.2737367544323206E-13</v>
      </c>
      <c r="BZ183" s="14">
        <f>BY183*VLOOKUP('Données projet'!$B$12,Paramètres!$A$1:$I$89,3,0)*VLOOKUP('Données projet'!$B$12,Paramètres!$A$1:$I$89,5,0)</f>
        <v>1.4897523215040565E-13</v>
      </c>
      <c r="CA183" s="14">
        <f t="shared" si="170"/>
        <v>2.136562777003313E-12</v>
      </c>
      <c r="CB183" s="22">
        <f t="shared" si="171"/>
        <v>3.9806453659427267E-12</v>
      </c>
      <c r="CC183" s="62">
        <f t="shared" si="119"/>
        <v>291.17680004875348</v>
      </c>
      <c r="CD183" s="62">
        <f ca="1">AVERAGE(OFFSET($CC$3,0,0,'Données projet'!$E$12+1,1))-AVERAGE(OFFSET($H$3,0,0,'Données projet'!$E$12+1,1))</f>
        <v>292.13851489852607</v>
      </c>
      <c r="CE183" s="62">
        <f t="shared" si="148"/>
        <v>280.10866188737418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69.411854558749866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-1.1368683772161603E-13</v>
      </c>
      <c r="CU183" s="18">
        <f>CT183*VLOOKUP('Données projet'!$B$13,Paramètres!$A$1:$I$89,3,0)*VLOOKUP('Données projet'!$B$13,Paramètres!$A$1:$I$89,5,0)</f>
        <v>-9.2222762759774927E-14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265.25572936607409</v>
      </c>
      <c r="CZ183" s="62">
        <f t="shared" si="150"/>
        <v>307.96244316129071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69.411854558749866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5.6843418860808015E-14</v>
      </c>
      <c r="DP183" s="18">
        <f>DO183*VLOOKUP('Données projet'!$B$14,Paramètres!$A$1:$I$89,3,0)*VLOOKUP('Données projet'!$B$14,Paramètres!$A$1:$I$89,5,0)</f>
        <v>5.4092197387944907E-14</v>
      </c>
      <c r="DQ183" s="14">
        <f t="shared" si="176"/>
        <v>8.7287050538073676E-13</v>
      </c>
      <c r="DR183" s="22">
        <f t="shared" si="177"/>
        <v>1.6144600406554537E-12</v>
      </c>
      <c r="DS183" s="62">
        <f t="shared" si="125"/>
        <v>291.17680004875109</v>
      </c>
      <c r="DT183" s="62">
        <f ca="1">AVERAGE(OFFSET($DS$3,0,0,'Données projet'!$E$14+1,1))-AVERAGE(OFFSET($H$3,0,0,'Données projet'!$E$14+1,1))</f>
        <v>425.41154182732936</v>
      </c>
      <c r="DU183" s="62">
        <f t="shared" si="152"/>
        <v>306.44721925744591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69.411854558749866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-5.6843418860808015E-14</v>
      </c>
      <c r="EK183" s="18">
        <f>EJ183*VLOOKUP('Données projet'!$B$15,Paramètres!$A$1:$I$89,3,0)*VLOOKUP('Données projet'!$B$15,Paramètres!$A$1:$I$89,5,0)</f>
        <v>-4.1677594708744434E-14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357.57626046668958</v>
      </c>
      <c r="EP183" s="62">
        <f t="shared" si="154"/>
        <v>386.90439522046199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69.411854558749866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1.1368683772161603E-13</v>
      </c>
      <c r="FF183" s="18">
        <f>FE183*VLOOKUP('Données projet'!$B$16,Paramètres!$A$1:$I$89,3,0)*VLOOKUP('Données projet'!$B$16,Paramètres!$A$1:$I$89,5,0)</f>
        <v>8.8675733422860506E-14</v>
      </c>
      <c r="FG183" s="14">
        <f t="shared" si="182"/>
        <v>1.3509285393066301E-12</v>
      </c>
      <c r="FH183" s="22">
        <f t="shared" si="183"/>
        <v>2.5073107750038623E-12</v>
      </c>
      <c r="FI183" s="62">
        <f t="shared" si="131"/>
        <v>291.176800048752</v>
      </c>
      <c r="FJ183" s="62">
        <f ca="1">AVERAGE(OFFSET($FI$3,0,0,'Données projet'!$E$16+1,1))-AVERAGE(OFFSET($H$3,0,0,'Données projet'!$E$16+1,1))</f>
        <v>303.56663121833833</v>
      </c>
      <c r="FK183" s="62">
        <f t="shared" si="156"/>
        <v>293.97736357938038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69.411854558749866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-5.6843418860808015E-14</v>
      </c>
      <c r="GA183" s="18">
        <f>FZ183*VLOOKUP('Données projet'!$B$17,Paramètres!$A$1:$I$89,3,0)*VLOOKUP('Données projet'!$B$17,Paramètres!$A$1:$I$89,5,0)</f>
        <v>-4.5224624045658861E-14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383.71724511025587</v>
      </c>
      <c r="GF183" s="62">
        <f t="shared" si="158"/>
        <v>415.10774719533185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69.411854558749866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1.7053025658242404E-13</v>
      </c>
      <c r="GV183" s="18">
        <f>GU183*VLOOKUP('Données projet'!$B$18,Paramètres!$A$1:$I$89,3,0)*VLOOKUP('Données projet'!$B$18,Paramètres!$A$1:$I$89,5,0)</f>
        <v>1.1439169611549005E-13</v>
      </c>
      <c r="GW183" s="14">
        <f t="shared" si="188"/>
        <v>1.6918016515029816E-12</v>
      </c>
      <c r="GX183" s="22">
        <f t="shared" si="189"/>
        <v>3.1457867471021712E-12</v>
      </c>
      <c r="GY183" s="62">
        <f t="shared" si="137"/>
        <v>291.17680004875263</v>
      </c>
      <c r="GZ183" s="62">
        <f ca="1">AVERAGE(OFFSET($GY$3,0,0,'Données projet'!$E$18+1,1))-AVERAGE(OFFSET($H$3,0,0,'Données projet'!$E$18+1,1))</f>
        <v>329.93956600482801</v>
      </c>
      <c r="HA183" s="62">
        <f t="shared" si="160"/>
        <v>268.69186630599165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2.7450000000000001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10.065</v>
      </c>
      <c r="H184" s="70">
        <f t="shared" si="110"/>
        <v>216.40666666666667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69.422057567259344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-1.0286385077051818E-13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551.67307965706379</v>
      </c>
      <c r="T184" s="62">
        <f t="shared" si="142"/>
        <v>288.70738860523943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69.422057567259344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-9.5769792096689348E-14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518.18933270904506</v>
      </c>
      <c r="AO184" s="62">
        <f t="shared" si="144"/>
        <v>272.44431899810411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69.422057567259344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-9.7543306765146564E-14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464.73160475167867</v>
      </c>
      <c r="BJ184" s="62">
        <f t="shared" si="146"/>
        <v>241.31968359962227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69.422057567259344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2.2737367544323206E-13</v>
      </c>
      <c r="BZ184" s="14">
        <f>BY184*VLOOKUP('Données projet'!$B$12,Paramètres!$A$1:$I$89,3,0)*VLOOKUP('Données projet'!$B$12,Paramètres!$A$1:$I$89,5,0)</f>
        <v>1.4897523215040565E-13</v>
      </c>
      <c r="CA184" s="14">
        <f t="shared" si="170"/>
        <v>2.136562777003313E-12</v>
      </c>
      <c r="CB184" s="22">
        <f t="shared" si="171"/>
        <v>3.9806453659427267E-12</v>
      </c>
      <c r="CC184" s="62">
        <f t="shared" si="119"/>
        <v>291.21421107995491</v>
      </c>
      <c r="CD184" s="62">
        <f ca="1">AVERAGE(OFFSET($CC$3,0,0,'Données projet'!$E$12+1,1))-AVERAGE(OFFSET($H$3,0,0,'Données projet'!$E$12+1,1))</f>
        <v>292.13851489852607</v>
      </c>
      <c r="CE184" s="62">
        <f t="shared" si="148"/>
        <v>280.10866188737418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69.422057567259344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-1.1368683772161603E-13</v>
      </c>
      <c r="CU184" s="18">
        <f>CT184*VLOOKUP('Données projet'!$B$13,Paramètres!$A$1:$I$89,3,0)*VLOOKUP('Données projet'!$B$13,Paramètres!$A$1:$I$89,5,0)</f>
        <v>-9.2222762759774927E-14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265.25572936607409</v>
      </c>
      <c r="CZ184" s="62">
        <f t="shared" si="150"/>
        <v>307.96244316129071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69.422057567259344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5.6843418860808015E-14</v>
      </c>
      <c r="DP184" s="18">
        <f>DO184*VLOOKUP('Données projet'!$B$14,Paramètres!$A$1:$I$89,3,0)*VLOOKUP('Données projet'!$B$14,Paramètres!$A$1:$I$89,5,0)</f>
        <v>5.4092197387944907E-14</v>
      </c>
      <c r="DQ184" s="14">
        <f t="shared" si="176"/>
        <v>8.7287050538073676E-13</v>
      </c>
      <c r="DR184" s="22">
        <f t="shared" si="177"/>
        <v>1.6144600406554537E-12</v>
      </c>
      <c r="DS184" s="62">
        <f t="shared" si="125"/>
        <v>291.21421107995252</v>
      </c>
      <c r="DT184" s="62">
        <f ca="1">AVERAGE(OFFSET($DS$3,0,0,'Données projet'!$E$14+1,1))-AVERAGE(OFFSET($H$3,0,0,'Données projet'!$E$14+1,1))</f>
        <v>425.41154182732936</v>
      </c>
      <c r="DU184" s="62">
        <f t="shared" si="152"/>
        <v>306.44721925744591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69.422057567259344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-5.6843418860808015E-14</v>
      </c>
      <c r="EK184" s="18">
        <f>EJ184*VLOOKUP('Données projet'!$B$15,Paramètres!$A$1:$I$89,3,0)*VLOOKUP('Données projet'!$B$15,Paramètres!$A$1:$I$89,5,0)</f>
        <v>-4.1677594708744434E-14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357.57626046668958</v>
      </c>
      <c r="EP184" s="62">
        <f t="shared" si="154"/>
        <v>386.90439522046199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69.422057567259344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1.1368683772161603E-13</v>
      </c>
      <c r="FF184" s="18">
        <f>FE184*VLOOKUP('Données projet'!$B$16,Paramètres!$A$1:$I$89,3,0)*VLOOKUP('Données projet'!$B$16,Paramètres!$A$1:$I$89,5,0)</f>
        <v>8.8675733422860506E-14</v>
      </c>
      <c r="FG184" s="14">
        <f t="shared" si="182"/>
        <v>1.3509285393066301E-12</v>
      </c>
      <c r="FH184" s="22">
        <f t="shared" si="183"/>
        <v>2.5073107750038623E-12</v>
      </c>
      <c r="FI184" s="62">
        <f t="shared" si="131"/>
        <v>291.21421107995343</v>
      </c>
      <c r="FJ184" s="62">
        <f ca="1">AVERAGE(OFFSET($FI$3,0,0,'Données projet'!$E$16+1,1))-AVERAGE(OFFSET($H$3,0,0,'Données projet'!$E$16+1,1))</f>
        <v>303.56663121833833</v>
      </c>
      <c r="FK184" s="62">
        <f t="shared" si="156"/>
        <v>293.97736357938038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69.422057567259344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-5.6843418860808015E-14</v>
      </c>
      <c r="GA184" s="18">
        <f>FZ184*VLOOKUP('Données projet'!$B$17,Paramètres!$A$1:$I$89,3,0)*VLOOKUP('Données projet'!$B$17,Paramètres!$A$1:$I$89,5,0)</f>
        <v>-4.5224624045658861E-14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383.71724511025587</v>
      </c>
      <c r="GF184" s="62">
        <f t="shared" si="158"/>
        <v>415.10774719533185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69.422057567259344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1.7053025658242404E-13</v>
      </c>
      <c r="GV184" s="18">
        <f>GU184*VLOOKUP('Données projet'!$B$18,Paramètres!$A$1:$I$89,3,0)*VLOOKUP('Données projet'!$B$18,Paramètres!$A$1:$I$89,5,0)</f>
        <v>1.1439169611549005E-13</v>
      </c>
      <c r="GW184" s="14">
        <f t="shared" si="188"/>
        <v>1.6918016515029816E-12</v>
      </c>
      <c r="GX184" s="22">
        <f t="shared" si="189"/>
        <v>3.1457867471021712E-12</v>
      </c>
      <c r="GY184" s="62">
        <f t="shared" si="137"/>
        <v>291.21421107995405</v>
      </c>
      <c r="GZ184" s="62">
        <f ca="1">AVERAGE(OFFSET($GY$3,0,0,'Données projet'!$E$18+1,1))-AVERAGE(OFFSET($H$3,0,0,'Données projet'!$E$18+1,1))</f>
        <v>329.93956600482801</v>
      </c>
      <c r="HA184" s="62">
        <f t="shared" si="160"/>
        <v>268.69186630599165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2.7450000000000001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10.065</v>
      </c>
      <c r="H185" s="70">
        <f t="shared" si="110"/>
        <v>216.40666666666667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69.4320835763817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-1.0286385077051818E-13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551.67307965706379</v>
      </c>
      <c r="T185" s="62">
        <f t="shared" si="142"/>
        <v>288.70738860523943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69.4320835763817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-9.5769792096689348E-14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518.18933270904506</v>
      </c>
      <c r="AO185" s="62">
        <f t="shared" si="144"/>
        <v>272.44431899810411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69.4320835763817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-9.7543306765146564E-14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464.73160475167867</v>
      </c>
      <c r="BJ185" s="62">
        <f t="shared" si="146"/>
        <v>241.31968359962227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69.4320835763817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2.2737367544323206E-13</v>
      </c>
      <c r="BZ185" s="14">
        <f>BY185*VLOOKUP('Données projet'!$B$12,Paramètres!$A$1:$I$89,3,0)*VLOOKUP('Données projet'!$B$12,Paramètres!$A$1:$I$89,5,0)</f>
        <v>1.4897523215040565E-13</v>
      </c>
      <c r="CA185" s="14">
        <f t="shared" si="170"/>
        <v>2.136562777003313E-12</v>
      </c>
      <c r="CB185" s="22">
        <f t="shared" si="171"/>
        <v>3.9806453659427267E-12</v>
      </c>
      <c r="CC185" s="62">
        <f t="shared" si="119"/>
        <v>291.25097311340352</v>
      </c>
      <c r="CD185" s="62">
        <f ca="1">AVERAGE(OFFSET($CC$3,0,0,'Données projet'!$E$12+1,1))-AVERAGE(OFFSET($H$3,0,0,'Données projet'!$E$12+1,1))</f>
        <v>292.13851489852607</v>
      </c>
      <c r="CE185" s="62">
        <f t="shared" si="148"/>
        <v>280.10866188737418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69.4320835763817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-1.1368683772161603E-13</v>
      </c>
      <c r="CU185" s="18">
        <f>CT185*VLOOKUP('Données projet'!$B$13,Paramètres!$A$1:$I$89,3,0)*VLOOKUP('Données projet'!$B$13,Paramètres!$A$1:$I$89,5,0)</f>
        <v>-9.2222762759774927E-14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265.25572936607409</v>
      </c>
      <c r="CZ185" s="62">
        <f t="shared" si="150"/>
        <v>307.96244316129071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69.4320835763817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5.6843418860808015E-14</v>
      </c>
      <c r="DP185" s="18">
        <f>DO185*VLOOKUP('Données projet'!$B$14,Paramètres!$A$1:$I$89,3,0)*VLOOKUP('Données projet'!$B$14,Paramètres!$A$1:$I$89,5,0)</f>
        <v>5.4092197387944907E-14</v>
      </c>
      <c r="DQ185" s="14">
        <f t="shared" si="176"/>
        <v>8.7287050538073676E-13</v>
      </c>
      <c r="DR185" s="22">
        <f t="shared" si="177"/>
        <v>1.6144600406554537E-12</v>
      </c>
      <c r="DS185" s="62">
        <f t="shared" si="125"/>
        <v>291.25097311340113</v>
      </c>
      <c r="DT185" s="62">
        <f ca="1">AVERAGE(OFFSET($DS$3,0,0,'Données projet'!$E$14+1,1))-AVERAGE(OFFSET($H$3,0,0,'Données projet'!$E$14+1,1))</f>
        <v>425.41154182732936</v>
      </c>
      <c r="DU185" s="62">
        <f t="shared" si="152"/>
        <v>306.44721925744591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69.4320835763817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-5.6843418860808015E-14</v>
      </c>
      <c r="EK185" s="18">
        <f>EJ185*VLOOKUP('Données projet'!$B$15,Paramètres!$A$1:$I$89,3,0)*VLOOKUP('Données projet'!$B$15,Paramètres!$A$1:$I$89,5,0)</f>
        <v>-4.1677594708744434E-14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357.57626046668958</v>
      </c>
      <c r="EP185" s="62">
        <f t="shared" si="154"/>
        <v>386.90439522046199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69.4320835763817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1.1368683772161603E-13</v>
      </c>
      <c r="FF185" s="18">
        <f>FE185*VLOOKUP('Données projet'!$B$16,Paramètres!$A$1:$I$89,3,0)*VLOOKUP('Données projet'!$B$16,Paramètres!$A$1:$I$89,5,0)</f>
        <v>8.8675733422860506E-14</v>
      </c>
      <c r="FG185" s="14">
        <f t="shared" si="182"/>
        <v>1.3509285393066301E-12</v>
      </c>
      <c r="FH185" s="22">
        <f t="shared" si="183"/>
        <v>2.5073107750038623E-12</v>
      </c>
      <c r="FI185" s="62">
        <f t="shared" si="131"/>
        <v>291.25097311340204</v>
      </c>
      <c r="FJ185" s="62">
        <f ca="1">AVERAGE(OFFSET($FI$3,0,0,'Données projet'!$E$16+1,1))-AVERAGE(OFFSET($H$3,0,0,'Données projet'!$E$16+1,1))</f>
        <v>303.56663121833833</v>
      </c>
      <c r="FK185" s="62">
        <f t="shared" si="156"/>
        <v>293.97736357938038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69.4320835763817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-5.6843418860808015E-14</v>
      </c>
      <c r="GA185" s="18">
        <f>FZ185*VLOOKUP('Données projet'!$B$17,Paramètres!$A$1:$I$89,3,0)*VLOOKUP('Données projet'!$B$17,Paramètres!$A$1:$I$89,5,0)</f>
        <v>-4.5224624045658861E-14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383.71724511025587</v>
      </c>
      <c r="GF185" s="62">
        <f t="shared" si="158"/>
        <v>415.10774719533185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69.4320835763817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1.7053025658242404E-13</v>
      </c>
      <c r="GV185" s="18">
        <f>GU185*VLOOKUP('Données projet'!$B$18,Paramètres!$A$1:$I$89,3,0)*VLOOKUP('Données projet'!$B$18,Paramètres!$A$1:$I$89,5,0)</f>
        <v>1.1439169611549005E-13</v>
      </c>
      <c r="GW185" s="14">
        <f t="shared" si="188"/>
        <v>1.6918016515029816E-12</v>
      </c>
      <c r="GX185" s="22">
        <f t="shared" si="189"/>
        <v>3.1457867471021712E-12</v>
      </c>
      <c r="GY185" s="62">
        <f t="shared" si="137"/>
        <v>291.25097311340267</v>
      </c>
      <c r="GZ185" s="62">
        <f ca="1">AVERAGE(OFFSET($GY$3,0,0,'Données projet'!$E$18+1,1))-AVERAGE(OFFSET($H$3,0,0,'Données projet'!$E$18+1,1))</f>
        <v>329.93956600482801</v>
      </c>
      <c r="HA185" s="62">
        <f t="shared" si="160"/>
        <v>268.69186630599165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2.7450000000000001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10.065</v>
      </c>
      <c r="H186" s="70">
        <f t="shared" si="110"/>
        <v>216.40666666666667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69.441935656660547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-1.0286385077051818E-13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551.67307965706379</v>
      </c>
      <c r="T186" s="62">
        <f t="shared" si="142"/>
        <v>288.70738860523943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69.441935656660547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-9.5769792096689348E-14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518.18933270904506</v>
      </c>
      <c r="AO186" s="62">
        <f t="shared" si="144"/>
        <v>272.44431899810411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69.441935656660547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-9.7543306765146564E-14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464.73160475167867</v>
      </c>
      <c r="BJ186" s="62">
        <f t="shared" si="146"/>
        <v>241.31968359962227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69.441935656660547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2.2737367544323206E-13</v>
      </c>
      <c r="BZ186" s="14">
        <f>BY186*VLOOKUP('Données projet'!$B$12,Paramètres!$A$1:$I$89,3,0)*VLOOKUP('Données projet'!$B$12,Paramètres!$A$1:$I$89,5,0)</f>
        <v>1.4897523215040565E-13</v>
      </c>
      <c r="CA186" s="14">
        <f t="shared" si="170"/>
        <v>2.136562777003313E-12</v>
      </c>
      <c r="CB186" s="22">
        <f t="shared" si="171"/>
        <v>3.9806453659427267E-12</v>
      </c>
      <c r="CC186" s="62">
        <f t="shared" si="119"/>
        <v>291.28709740775929</v>
      </c>
      <c r="CD186" s="62">
        <f ca="1">AVERAGE(OFFSET($CC$3,0,0,'Données projet'!$E$12+1,1))-AVERAGE(OFFSET($H$3,0,0,'Données projet'!$E$12+1,1))</f>
        <v>292.13851489852607</v>
      </c>
      <c r="CE186" s="62">
        <f t="shared" si="148"/>
        <v>280.10866188737418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69.441935656660547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-1.1368683772161603E-13</v>
      </c>
      <c r="CU186" s="18">
        <f>CT186*VLOOKUP('Données projet'!$B$13,Paramètres!$A$1:$I$89,3,0)*VLOOKUP('Données projet'!$B$13,Paramètres!$A$1:$I$89,5,0)</f>
        <v>-9.2222762759774927E-14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265.25572936607409</v>
      </c>
      <c r="CZ186" s="62">
        <f t="shared" si="150"/>
        <v>307.96244316129071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69.441935656660547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5.6843418860808015E-14</v>
      </c>
      <c r="DP186" s="18">
        <f>DO186*VLOOKUP('Données projet'!$B$14,Paramètres!$A$1:$I$89,3,0)*VLOOKUP('Données projet'!$B$14,Paramètres!$A$1:$I$89,5,0)</f>
        <v>5.4092197387944907E-14</v>
      </c>
      <c r="DQ186" s="14">
        <f t="shared" si="176"/>
        <v>8.7287050538073676E-13</v>
      </c>
      <c r="DR186" s="22">
        <f t="shared" si="177"/>
        <v>1.6144600406554537E-12</v>
      </c>
      <c r="DS186" s="62">
        <f t="shared" si="125"/>
        <v>291.2870974077569</v>
      </c>
      <c r="DT186" s="62">
        <f ca="1">AVERAGE(OFFSET($DS$3,0,0,'Données projet'!$E$14+1,1))-AVERAGE(OFFSET($H$3,0,0,'Données projet'!$E$14+1,1))</f>
        <v>425.41154182732936</v>
      </c>
      <c r="DU186" s="62">
        <f t="shared" si="152"/>
        <v>306.44721925744591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69.441935656660547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-5.6843418860808015E-14</v>
      </c>
      <c r="EK186" s="18">
        <f>EJ186*VLOOKUP('Données projet'!$B$15,Paramètres!$A$1:$I$89,3,0)*VLOOKUP('Données projet'!$B$15,Paramètres!$A$1:$I$89,5,0)</f>
        <v>-4.1677594708744434E-14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357.57626046668958</v>
      </c>
      <c r="EP186" s="62">
        <f t="shared" si="154"/>
        <v>386.90439522046199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69.441935656660547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1.1368683772161603E-13</v>
      </c>
      <c r="FF186" s="18">
        <f>FE186*VLOOKUP('Données projet'!$B$16,Paramètres!$A$1:$I$89,3,0)*VLOOKUP('Données projet'!$B$16,Paramètres!$A$1:$I$89,5,0)</f>
        <v>8.8675733422860506E-14</v>
      </c>
      <c r="FG186" s="14">
        <f t="shared" si="182"/>
        <v>1.3509285393066301E-12</v>
      </c>
      <c r="FH186" s="22">
        <f t="shared" si="183"/>
        <v>2.5073107750038623E-12</v>
      </c>
      <c r="FI186" s="62">
        <f t="shared" si="131"/>
        <v>291.28709740775781</v>
      </c>
      <c r="FJ186" s="62">
        <f ca="1">AVERAGE(OFFSET($FI$3,0,0,'Données projet'!$E$16+1,1))-AVERAGE(OFFSET($H$3,0,0,'Données projet'!$E$16+1,1))</f>
        <v>303.56663121833833</v>
      </c>
      <c r="FK186" s="62">
        <f t="shared" si="156"/>
        <v>293.97736357938038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69.441935656660547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-5.6843418860808015E-14</v>
      </c>
      <c r="GA186" s="18">
        <f>FZ186*VLOOKUP('Données projet'!$B$17,Paramètres!$A$1:$I$89,3,0)*VLOOKUP('Données projet'!$B$17,Paramètres!$A$1:$I$89,5,0)</f>
        <v>-4.5224624045658861E-14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383.71724511025587</v>
      </c>
      <c r="GF186" s="62">
        <f t="shared" si="158"/>
        <v>415.10774719533185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69.441935656660547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1.7053025658242404E-13</v>
      </c>
      <c r="GV186" s="18">
        <f>GU186*VLOOKUP('Données projet'!$B$18,Paramètres!$A$1:$I$89,3,0)*VLOOKUP('Données projet'!$B$18,Paramètres!$A$1:$I$89,5,0)</f>
        <v>1.1439169611549005E-13</v>
      </c>
      <c r="GW186" s="14">
        <f t="shared" si="188"/>
        <v>1.6918016515029816E-12</v>
      </c>
      <c r="GX186" s="22">
        <f t="shared" si="189"/>
        <v>3.1457867471021712E-12</v>
      </c>
      <c r="GY186" s="62">
        <f t="shared" si="137"/>
        <v>291.28709740775844</v>
      </c>
      <c r="GZ186" s="62">
        <f ca="1">AVERAGE(OFFSET($GY$3,0,0,'Données projet'!$E$18+1,1))-AVERAGE(OFFSET($H$3,0,0,'Données projet'!$E$18+1,1))</f>
        <v>329.93956600482801</v>
      </c>
      <c r="HA186" s="62">
        <f t="shared" si="160"/>
        <v>268.69186630599165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2.7450000000000001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10.065</v>
      </c>
      <c r="H187" s="70">
        <f t="shared" si="110"/>
        <v>216.40666666666667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69.451616825372525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-1.0286385077051818E-13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551.67307965706379</v>
      </c>
      <c r="T187" s="62">
        <f t="shared" si="142"/>
        <v>288.70738860523943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69.451616825372525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-9.5769792096689348E-14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518.18933270904506</v>
      </c>
      <c r="AO187" s="62">
        <f t="shared" si="144"/>
        <v>272.44431899810411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69.451616825372525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-9.7543306765146564E-14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464.73160475167867</v>
      </c>
      <c r="BJ187" s="62">
        <f t="shared" si="146"/>
        <v>241.31968359962227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69.451616825372525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2.2737367544323206E-13</v>
      </c>
      <c r="BZ187" s="14">
        <f>BY187*VLOOKUP('Données projet'!$B$12,Paramètres!$A$1:$I$89,3,0)*VLOOKUP('Données projet'!$B$12,Paramètres!$A$1:$I$89,5,0)</f>
        <v>1.4897523215040565E-13</v>
      </c>
      <c r="CA187" s="14">
        <f t="shared" si="170"/>
        <v>2.136562777003313E-12</v>
      </c>
      <c r="CB187" s="22">
        <f t="shared" si="171"/>
        <v>3.9806453659427267E-12</v>
      </c>
      <c r="CC187" s="62">
        <f t="shared" si="119"/>
        <v>291.32259502636992</v>
      </c>
      <c r="CD187" s="62">
        <f ca="1">AVERAGE(OFFSET($CC$3,0,0,'Données projet'!$E$12+1,1))-AVERAGE(OFFSET($H$3,0,0,'Données projet'!$E$12+1,1))</f>
        <v>292.13851489852607</v>
      </c>
      <c r="CE187" s="62">
        <f t="shared" si="148"/>
        <v>280.10866188737418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69.451616825372525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-1.1368683772161603E-13</v>
      </c>
      <c r="CU187" s="18">
        <f>CT187*VLOOKUP('Données projet'!$B$13,Paramètres!$A$1:$I$89,3,0)*VLOOKUP('Données projet'!$B$13,Paramètres!$A$1:$I$89,5,0)</f>
        <v>-9.2222762759774927E-14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265.25572936607409</v>
      </c>
      <c r="CZ187" s="62">
        <f t="shared" si="150"/>
        <v>307.96244316129071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69.451616825372525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5.6843418860808015E-14</v>
      </c>
      <c r="DP187" s="18">
        <f>DO187*VLOOKUP('Données projet'!$B$14,Paramètres!$A$1:$I$89,3,0)*VLOOKUP('Données projet'!$B$14,Paramètres!$A$1:$I$89,5,0)</f>
        <v>5.4092197387944907E-14</v>
      </c>
      <c r="DQ187" s="14">
        <f t="shared" si="176"/>
        <v>8.7287050538073676E-13</v>
      </c>
      <c r="DR187" s="22">
        <f t="shared" si="177"/>
        <v>1.6144600406554537E-12</v>
      </c>
      <c r="DS187" s="62">
        <f t="shared" si="125"/>
        <v>291.32259502636754</v>
      </c>
      <c r="DT187" s="62">
        <f ca="1">AVERAGE(OFFSET($DS$3,0,0,'Données projet'!$E$14+1,1))-AVERAGE(OFFSET($H$3,0,0,'Données projet'!$E$14+1,1))</f>
        <v>425.41154182732936</v>
      </c>
      <c r="DU187" s="62">
        <f t="shared" si="152"/>
        <v>306.44721925744591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69.451616825372525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-5.6843418860808015E-14</v>
      </c>
      <c r="EK187" s="18">
        <f>EJ187*VLOOKUP('Données projet'!$B$15,Paramètres!$A$1:$I$89,3,0)*VLOOKUP('Données projet'!$B$15,Paramètres!$A$1:$I$89,5,0)</f>
        <v>-4.1677594708744434E-14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357.57626046668958</v>
      </c>
      <c r="EP187" s="62">
        <f t="shared" si="154"/>
        <v>386.90439522046199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69.451616825372525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1.1368683772161603E-13</v>
      </c>
      <c r="FF187" s="18">
        <f>FE187*VLOOKUP('Données projet'!$B$16,Paramètres!$A$1:$I$89,3,0)*VLOOKUP('Données projet'!$B$16,Paramètres!$A$1:$I$89,5,0)</f>
        <v>8.8675733422860506E-14</v>
      </c>
      <c r="FG187" s="14">
        <f t="shared" si="182"/>
        <v>1.3509285393066301E-12</v>
      </c>
      <c r="FH187" s="22">
        <f t="shared" si="183"/>
        <v>2.5073107750038623E-12</v>
      </c>
      <c r="FI187" s="62">
        <f t="shared" si="131"/>
        <v>291.32259502636845</v>
      </c>
      <c r="FJ187" s="62">
        <f ca="1">AVERAGE(OFFSET($FI$3,0,0,'Données projet'!$E$16+1,1))-AVERAGE(OFFSET($H$3,0,0,'Données projet'!$E$16+1,1))</f>
        <v>303.56663121833833</v>
      </c>
      <c r="FK187" s="62">
        <f t="shared" si="156"/>
        <v>293.97736357938038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69.451616825372525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-5.6843418860808015E-14</v>
      </c>
      <c r="GA187" s="18">
        <f>FZ187*VLOOKUP('Données projet'!$B$17,Paramètres!$A$1:$I$89,3,0)*VLOOKUP('Données projet'!$B$17,Paramètres!$A$1:$I$89,5,0)</f>
        <v>-4.5224624045658861E-14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383.71724511025587</v>
      </c>
      <c r="GF187" s="62">
        <f t="shared" si="158"/>
        <v>415.10774719533185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69.451616825372525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1.7053025658242404E-13</v>
      </c>
      <c r="GV187" s="18">
        <f>GU187*VLOOKUP('Données projet'!$B$18,Paramètres!$A$1:$I$89,3,0)*VLOOKUP('Données projet'!$B$18,Paramètres!$A$1:$I$89,5,0)</f>
        <v>1.1439169611549005E-13</v>
      </c>
      <c r="GW187" s="14">
        <f t="shared" si="188"/>
        <v>1.6918016515029816E-12</v>
      </c>
      <c r="GX187" s="22">
        <f t="shared" si="189"/>
        <v>3.1457867471021712E-12</v>
      </c>
      <c r="GY187" s="62">
        <f t="shared" si="137"/>
        <v>291.32259502636907</v>
      </c>
      <c r="GZ187" s="62">
        <f ca="1">AVERAGE(OFFSET($GY$3,0,0,'Données projet'!$E$18+1,1))-AVERAGE(OFFSET($H$3,0,0,'Données projet'!$E$18+1,1))</f>
        <v>329.93956600482801</v>
      </c>
      <c r="HA187" s="62">
        <f t="shared" si="160"/>
        <v>268.69186630599165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2.7450000000000001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10.065</v>
      </c>
      <c r="H188" s="70">
        <f t="shared" si="110"/>
        <v>216.40666666666667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69.461130047451206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-1.0286385077051818E-13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551.67307965706379</v>
      </c>
      <c r="T188" s="62">
        <f t="shared" si="142"/>
        <v>288.70738860523943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69.461130047451206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-9.5769792096689348E-14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518.18933270904506</v>
      </c>
      <c r="AO188" s="62">
        <f t="shared" si="144"/>
        <v>272.44431899810411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69.461130047451206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-9.7543306765146564E-14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464.73160475167867</v>
      </c>
      <c r="BJ188" s="62">
        <f t="shared" si="146"/>
        <v>241.31968359962227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69.461130047451206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2.2737367544323206E-13</v>
      </c>
      <c r="BZ188" s="14">
        <f>BY188*VLOOKUP('Données projet'!$B$12,Paramètres!$A$1:$I$89,3,0)*VLOOKUP('Données projet'!$B$12,Paramètres!$A$1:$I$89,5,0)</f>
        <v>1.4897523215040565E-13</v>
      </c>
      <c r="CA188" s="14">
        <f t="shared" si="170"/>
        <v>2.136562777003313E-12</v>
      </c>
      <c r="CB188" s="22">
        <f t="shared" si="171"/>
        <v>3.9806453659427267E-12</v>
      </c>
      <c r="CC188" s="62">
        <f t="shared" si="119"/>
        <v>291.35747684065842</v>
      </c>
      <c r="CD188" s="62">
        <f ca="1">AVERAGE(OFFSET($CC$3,0,0,'Données projet'!$E$12+1,1))-AVERAGE(OFFSET($H$3,0,0,'Données projet'!$E$12+1,1))</f>
        <v>292.13851489852607</v>
      </c>
      <c r="CE188" s="62">
        <f t="shared" si="148"/>
        <v>280.10866188737418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69.461130047451206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-1.1368683772161603E-13</v>
      </c>
      <c r="CU188" s="18">
        <f>CT188*VLOOKUP('Données projet'!$B$13,Paramètres!$A$1:$I$89,3,0)*VLOOKUP('Données projet'!$B$13,Paramètres!$A$1:$I$89,5,0)</f>
        <v>-9.2222762759774927E-14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265.25572936607409</v>
      </c>
      <c r="CZ188" s="62">
        <f t="shared" si="150"/>
        <v>307.96244316129071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69.461130047451206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5.6843418860808015E-14</v>
      </c>
      <c r="DP188" s="18">
        <f>DO188*VLOOKUP('Données projet'!$B$14,Paramètres!$A$1:$I$89,3,0)*VLOOKUP('Données projet'!$B$14,Paramètres!$A$1:$I$89,5,0)</f>
        <v>5.4092197387944907E-14</v>
      </c>
      <c r="DQ188" s="14">
        <f t="shared" si="176"/>
        <v>8.7287050538073676E-13</v>
      </c>
      <c r="DR188" s="22">
        <f t="shared" si="177"/>
        <v>1.6144600406554537E-12</v>
      </c>
      <c r="DS188" s="62">
        <f t="shared" si="125"/>
        <v>291.35747684065603</v>
      </c>
      <c r="DT188" s="62">
        <f ca="1">AVERAGE(OFFSET($DS$3,0,0,'Données projet'!$E$14+1,1))-AVERAGE(OFFSET($H$3,0,0,'Données projet'!$E$14+1,1))</f>
        <v>425.41154182732936</v>
      </c>
      <c r="DU188" s="62">
        <f t="shared" si="152"/>
        <v>306.44721925744591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69.461130047451206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-5.6843418860808015E-14</v>
      </c>
      <c r="EK188" s="18">
        <f>EJ188*VLOOKUP('Données projet'!$B$15,Paramètres!$A$1:$I$89,3,0)*VLOOKUP('Données projet'!$B$15,Paramètres!$A$1:$I$89,5,0)</f>
        <v>-4.1677594708744434E-14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357.57626046668958</v>
      </c>
      <c r="EP188" s="62">
        <f t="shared" si="154"/>
        <v>386.90439522046199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69.461130047451206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1.1368683772161603E-13</v>
      </c>
      <c r="FF188" s="18">
        <f>FE188*VLOOKUP('Données projet'!$B$16,Paramètres!$A$1:$I$89,3,0)*VLOOKUP('Données projet'!$B$16,Paramètres!$A$1:$I$89,5,0)</f>
        <v>8.8675733422860506E-14</v>
      </c>
      <c r="FG188" s="14">
        <f t="shared" si="182"/>
        <v>1.3509285393066301E-12</v>
      </c>
      <c r="FH188" s="22">
        <f t="shared" si="183"/>
        <v>2.5073107750038623E-12</v>
      </c>
      <c r="FI188" s="62">
        <f t="shared" si="131"/>
        <v>291.35747684065694</v>
      </c>
      <c r="FJ188" s="62">
        <f ca="1">AVERAGE(OFFSET($FI$3,0,0,'Données projet'!$E$16+1,1))-AVERAGE(OFFSET($H$3,0,0,'Données projet'!$E$16+1,1))</f>
        <v>303.56663121833833</v>
      </c>
      <c r="FK188" s="62">
        <f t="shared" si="156"/>
        <v>293.97736357938038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69.461130047451206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-5.6843418860808015E-14</v>
      </c>
      <c r="GA188" s="18">
        <f>FZ188*VLOOKUP('Données projet'!$B$17,Paramètres!$A$1:$I$89,3,0)*VLOOKUP('Données projet'!$B$17,Paramètres!$A$1:$I$89,5,0)</f>
        <v>-4.5224624045658861E-14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383.71724511025587</v>
      </c>
      <c r="GF188" s="62">
        <f t="shared" si="158"/>
        <v>415.10774719533185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69.461130047451206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1.7053025658242404E-13</v>
      </c>
      <c r="GV188" s="18">
        <f>GU188*VLOOKUP('Données projet'!$B$18,Paramètres!$A$1:$I$89,3,0)*VLOOKUP('Données projet'!$B$18,Paramètres!$A$1:$I$89,5,0)</f>
        <v>1.1439169611549005E-13</v>
      </c>
      <c r="GW188" s="14">
        <f t="shared" si="188"/>
        <v>1.6918016515029816E-12</v>
      </c>
      <c r="GX188" s="22">
        <f t="shared" si="189"/>
        <v>3.1457867471021712E-12</v>
      </c>
      <c r="GY188" s="62">
        <f t="shared" si="137"/>
        <v>291.35747684065757</v>
      </c>
      <c r="GZ188" s="62">
        <f ca="1">AVERAGE(OFFSET($GY$3,0,0,'Données projet'!$E$18+1,1))-AVERAGE(OFFSET($H$3,0,0,'Données projet'!$E$18+1,1))</f>
        <v>329.93956600482801</v>
      </c>
      <c r="HA188" s="62">
        <f t="shared" si="160"/>
        <v>268.69186630599165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2.7450000000000001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10.065</v>
      </c>
      <c r="H189" s="70">
        <f t="shared" si="110"/>
        <v>216.40666666666667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69.470478236395195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-1.0286385077051818E-13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551.67307965706379</v>
      </c>
      <c r="T189" s="62">
        <f t="shared" si="142"/>
        <v>288.70738860523943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69.470478236395195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-9.5769792096689348E-14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518.18933270904506</v>
      </c>
      <c r="AO189" s="62">
        <f t="shared" si="144"/>
        <v>272.44431899810411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69.470478236395195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-9.7543306765146564E-14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464.73160475167867</v>
      </c>
      <c r="BJ189" s="62">
        <f t="shared" si="146"/>
        <v>241.31968359962227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69.470478236395195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2.2737367544323206E-13</v>
      </c>
      <c r="BZ189" s="14">
        <f>BY189*VLOOKUP('Données projet'!$B$12,Paramètres!$A$1:$I$89,3,0)*VLOOKUP('Données projet'!$B$12,Paramètres!$A$1:$I$89,5,0)</f>
        <v>1.4897523215040565E-13</v>
      </c>
      <c r="CA189" s="14">
        <f t="shared" si="170"/>
        <v>2.136562777003313E-12</v>
      </c>
      <c r="CB189" s="22">
        <f t="shared" si="171"/>
        <v>3.9806453659427267E-12</v>
      </c>
      <c r="CC189" s="62">
        <f t="shared" si="119"/>
        <v>291.39175353345303</v>
      </c>
      <c r="CD189" s="62">
        <f ca="1">AVERAGE(OFFSET($CC$3,0,0,'Données projet'!$E$12+1,1))-AVERAGE(OFFSET($H$3,0,0,'Données projet'!$E$12+1,1))</f>
        <v>292.13851489852607</v>
      </c>
      <c r="CE189" s="62">
        <f t="shared" si="148"/>
        <v>280.10866188737418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69.470478236395195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-1.1368683772161603E-13</v>
      </c>
      <c r="CU189" s="18">
        <f>CT189*VLOOKUP('Données projet'!$B$13,Paramètres!$A$1:$I$89,3,0)*VLOOKUP('Données projet'!$B$13,Paramètres!$A$1:$I$89,5,0)</f>
        <v>-9.2222762759774927E-14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265.25572936607409</v>
      </c>
      <c r="CZ189" s="62">
        <f t="shared" si="150"/>
        <v>307.96244316129071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69.470478236395195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5.6843418860808015E-14</v>
      </c>
      <c r="DP189" s="18">
        <f>DO189*VLOOKUP('Données projet'!$B$14,Paramètres!$A$1:$I$89,3,0)*VLOOKUP('Données projet'!$B$14,Paramètres!$A$1:$I$89,5,0)</f>
        <v>5.4092197387944907E-14</v>
      </c>
      <c r="DQ189" s="14">
        <f t="shared" si="176"/>
        <v>8.7287050538073676E-13</v>
      </c>
      <c r="DR189" s="22">
        <f t="shared" si="177"/>
        <v>1.6144600406554537E-12</v>
      </c>
      <c r="DS189" s="62">
        <f t="shared" si="125"/>
        <v>291.39175353345064</v>
      </c>
      <c r="DT189" s="62">
        <f ca="1">AVERAGE(OFFSET($DS$3,0,0,'Données projet'!$E$14+1,1))-AVERAGE(OFFSET($H$3,0,0,'Données projet'!$E$14+1,1))</f>
        <v>425.41154182732936</v>
      </c>
      <c r="DU189" s="62">
        <f t="shared" si="152"/>
        <v>306.44721925744591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69.470478236395195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-5.6843418860808015E-14</v>
      </c>
      <c r="EK189" s="18">
        <f>EJ189*VLOOKUP('Données projet'!$B$15,Paramètres!$A$1:$I$89,3,0)*VLOOKUP('Données projet'!$B$15,Paramètres!$A$1:$I$89,5,0)</f>
        <v>-4.1677594708744434E-14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357.57626046668958</v>
      </c>
      <c r="EP189" s="62">
        <f t="shared" si="154"/>
        <v>386.90439522046199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69.470478236395195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1.1368683772161603E-13</v>
      </c>
      <c r="FF189" s="18">
        <f>FE189*VLOOKUP('Données projet'!$B$16,Paramètres!$A$1:$I$89,3,0)*VLOOKUP('Données projet'!$B$16,Paramètres!$A$1:$I$89,5,0)</f>
        <v>8.8675733422860506E-14</v>
      </c>
      <c r="FG189" s="14">
        <f t="shared" si="182"/>
        <v>1.3509285393066301E-12</v>
      </c>
      <c r="FH189" s="22">
        <f t="shared" si="183"/>
        <v>2.5073107750038623E-12</v>
      </c>
      <c r="FI189" s="62">
        <f t="shared" si="131"/>
        <v>291.39175353345155</v>
      </c>
      <c r="FJ189" s="62">
        <f ca="1">AVERAGE(OFFSET($FI$3,0,0,'Données projet'!$E$16+1,1))-AVERAGE(OFFSET($H$3,0,0,'Données projet'!$E$16+1,1))</f>
        <v>303.56663121833833</v>
      </c>
      <c r="FK189" s="62">
        <f t="shared" si="156"/>
        <v>293.97736357938038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69.470478236395195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-5.6843418860808015E-14</v>
      </c>
      <c r="GA189" s="18">
        <f>FZ189*VLOOKUP('Données projet'!$B$17,Paramètres!$A$1:$I$89,3,0)*VLOOKUP('Données projet'!$B$17,Paramètres!$A$1:$I$89,5,0)</f>
        <v>-4.5224624045658861E-14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383.71724511025587</v>
      </c>
      <c r="GF189" s="62">
        <f t="shared" si="158"/>
        <v>415.10774719533185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69.470478236395195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1.7053025658242404E-13</v>
      </c>
      <c r="GV189" s="18">
        <f>GU189*VLOOKUP('Données projet'!$B$18,Paramètres!$A$1:$I$89,3,0)*VLOOKUP('Données projet'!$B$18,Paramètres!$A$1:$I$89,5,0)</f>
        <v>1.1439169611549005E-13</v>
      </c>
      <c r="GW189" s="14">
        <f t="shared" si="188"/>
        <v>1.6918016515029816E-12</v>
      </c>
      <c r="GX189" s="22">
        <f t="shared" si="189"/>
        <v>3.1457867471021712E-12</v>
      </c>
      <c r="GY189" s="62">
        <f t="shared" si="137"/>
        <v>291.39175353345217</v>
      </c>
      <c r="GZ189" s="62">
        <f ca="1">AVERAGE(OFFSET($GY$3,0,0,'Données projet'!$E$18+1,1))-AVERAGE(OFFSET($H$3,0,0,'Données projet'!$E$18+1,1))</f>
        <v>329.93956600482801</v>
      </c>
      <c r="HA189" s="62">
        <f t="shared" si="160"/>
        <v>268.69186630599165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2.7450000000000001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10.065</v>
      </c>
      <c r="H190" s="70">
        <f t="shared" si="110"/>
        <v>216.40666666666667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69.479664255160429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-1.0286385077051818E-13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551.67307965706379</v>
      </c>
      <c r="T190" s="62">
        <f t="shared" si="142"/>
        <v>288.70738860523943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69.479664255160429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-9.5769792096689348E-14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518.18933270904506</v>
      </c>
      <c r="AO190" s="62">
        <f t="shared" si="144"/>
        <v>272.44431899810411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69.479664255160429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-9.7543306765146564E-14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464.73160475167867</v>
      </c>
      <c r="BJ190" s="62">
        <f t="shared" si="146"/>
        <v>241.31968359962227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69.479664255160429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2.2737367544323206E-13</v>
      </c>
      <c r="BZ190" s="14">
        <f>BY190*VLOOKUP('Données projet'!$B$12,Paramètres!$A$1:$I$89,3,0)*VLOOKUP('Données projet'!$B$12,Paramètres!$A$1:$I$89,5,0)</f>
        <v>1.4897523215040565E-13</v>
      </c>
      <c r="CA190" s="14">
        <f t="shared" si="170"/>
        <v>2.136562777003313E-12</v>
      </c>
      <c r="CB190" s="22">
        <f t="shared" si="171"/>
        <v>3.9806453659427267E-12</v>
      </c>
      <c r="CC190" s="62">
        <f t="shared" si="119"/>
        <v>291.42543560225891</v>
      </c>
      <c r="CD190" s="62">
        <f ca="1">AVERAGE(OFFSET($CC$3,0,0,'Données projet'!$E$12+1,1))-AVERAGE(OFFSET($H$3,0,0,'Données projet'!$E$12+1,1))</f>
        <v>292.13851489852607</v>
      </c>
      <c r="CE190" s="62">
        <f t="shared" si="148"/>
        <v>280.10866188737418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69.479664255160429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-1.1368683772161603E-13</v>
      </c>
      <c r="CU190" s="18">
        <f>CT190*VLOOKUP('Données projet'!$B$13,Paramètres!$A$1:$I$89,3,0)*VLOOKUP('Données projet'!$B$13,Paramètres!$A$1:$I$89,5,0)</f>
        <v>-9.2222762759774927E-14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265.25572936607409</v>
      </c>
      <c r="CZ190" s="62">
        <f t="shared" si="150"/>
        <v>307.96244316129071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69.479664255160429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5.6843418860808015E-14</v>
      </c>
      <c r="DP190" s="18">
        <f>DO190*VLOOKUP('Données projet'!$B$14,Paramètres!$A$1:$I$89,3,0)*VLOOKUP('Données projet'!$B$14,Paramètres!$A$1:$I$89,5,0)</f>
        <v>5.4092197387944907E-14</v>
      </c>
      <c r="DQ190" s="14">
        <f t="shared" si="176"/>
        <v>8.7287050538073676E-13</v>
      </c>
      <c r="DR190" s="22">
        <f t="shared" si="177"/>
        <v>1.6144600406554537E-12</v>
      </c>
      <c r="DS190" s="62">
        <f t="shared" si="125"/>
        <v>291.42543560225653</v>
      </c>
      <c r="DT190" s="62">
        <f ca="1">AVERAGE(OFFSET($DS$3,0,0,'Données projet'!$E$14+1,1))-AVERAGE(OFFSET($H$3,0,0,'Données projet'!$E$14+1,1))</f>
        <v>425.41154182732936</v>
      </c>
      <c r="DU190" s="62">
        <f t="shared" si="152"/>
        <v>306.44721925744591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69.479664255160429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-5.6843418860808015E-14</v>
      </c>
      <c r="EK190" s="18">
        <f>EJ190*VLOOKUP('Données projet'!$B$15,Paramètres!$A$1:$I$89,3,0)*VLOOKUP('Données projet'!$B$15,Paramètres!$A$1:$I$89,5,0)</f>
        <v>-4.1677594708744434E-14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357.57626046668958</v>
      </c>
      <c r="EP190" s="62">
        <f t="shared" si="154"/>
        <v>386.90439522046199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69.479664255160429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1.1368683772161603E-13</v>
      </c>
      <c r="FF190" s="18">
        <f>FE190*VLOOKUP('Données projet'!$B$16,Paramètres!$A$1:$I$89,3,0)*VLOOKUP('Données projet'!$B$16,Paramètres!$A$1:$I$89,5,0)</f>
        <v>8.8675733422860506E-14</v>
      </c>
      <c r="FG190" s="14">
        <f t="shared" si="182"/>
        <v>1.3509285393066301E-12</v>
      </c>
      <c r="FH190" s="22">
        <f t="shared" si="183"/>
        <v>2.5073107750038623E-12</v>
      </c>
      <c r="FI190" s="62">
        <f t="shared" si="131"/>
        <v>291.42543560225744</v>
      </c>
      <c r="FJ190" s="62">
        <f ca="1">AVERAGE(OFFSET($FI$3,0,0,'Données projet'!$E$16+1,1))-AVERAGE(OFFSET($H$3,0,0,'Données projet'!$E$16+1,1))</f>
        <v>303.56663121833833</v>
      </c>
      <c r="FK190" s="62">
        <f t="shared" si="156"/>
        <v>293.97736357938038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69.479664255160429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-5.6843418860808015E-14</v>
      </c>
      <c r="GA190" s="18">
        <f>FZ190*VLOOKUP('Données projet'!$B$17,Paramètres!$A$1:$I$89,3,0)*VLOOKUP('Données projet'!$B$17,Paramètres!$A$1:$I$89,5,0)</f>
        <v>-4.5224624045658861E-14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383.71724511025587</v>
      </c>
      <c r="GF190" s="62">
        <f t="shared" si="158"/>
        <v>415.10774719533185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69.479664255160429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1.7053025658242404E-13</v>
      </c>
      <c r="GV190" s="18">
        <f>GU190*VLOOKUP('Données projet'!$B$18,Paramètres!$A$1:$I$89,3,0)*VLOOKUP('Données projet'!$B$18,Paramètres!$A$1:$I$89,5,0)</f>
        <v>1.1439169611549005E-13</v>
      </c>
      <c r="GW190" s="14">
        <f t="shared" si="188"/>
        <v>1.6918016515029816E-12</v>
      </c>
      <c r="GX190" s="22">
        <f t="shared" si="189"/>
        <v>3.1457867471021712E-12</v>
      </c>
      <c r="GY190" s="62">
        <f t="shared" si="137"/>
        <v>291.42543560225806</v>
      </c>
      <c r="GZ190" s="62">
        <f ca="1">AVERAGE(OFFSET($GY$3,0,0,'Données projet'!$E$18+1,1))-AVERAGE(OFFSET($H$3,0,0,'Données projet'!$E$18+1,1))</f>
        <v>329.93956600482801</v>
      </c>
      <c r="HA190" s="62">
        <f t="shared" si="160"/>
        <v>268.69186630599165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2.7450000000000001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10.065</v>
      </c>
      <c r="H191" s="70">
        <f t="shared" si="110"/>
        <v>216.40666666666667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69.488690917036934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-1.0286385077051818E-13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551.67307965706379</v>
      </c>
      <c r="T191" s="62">
        <f t="shared" si="142"/>
        <v>288.70738860523943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69.488690917036934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-9.5769792096689348E-14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518.18933270904506</v>
      </c>
      <c r="AO191" s="62">
        <f t="shared" si="144"/>
        <v>272.44431899810411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69.488690917036934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-9.7543306765146564E-14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464.73160475167867</v>
      </c>
      <c r="BJ191" s="62">
        <f t="shared" si="146"/>
        <v>241.31968359962227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69.488690917036934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2.2737367544323206E-13</v>
      </c>
      <c r="BZ191" s="14">
        <f>BY191*VLOOKUP('Données projet'!$B$12,Paramètres!$A$1:$I$89,3,0)*VLOOKUP('Données projet'!$B$12,Paramètres!$A$1:$I$89,5,0)</f>
        <v>1.4897523215040565E-13</v>
      </c>
      <c r="CA191" s="14">
        <f t="shared" si="170"/>
        <v>2.136562777003313E-12</v>
      </c>
      <c r="CB191" s="22">
        <f t="shared" si="171"/>
        <v>3.9806453659427267E-12</v>
      </c>
      <c r="CC191" s="62">
        <f t="shared" si="119"/>
        <v>291.45853336247274</v>
      </c>
      <c r="CD191" s="62">
        <f ca="1">AVERAGE(OFFSET($CC$3,0,0,'Données projet'!$E$12+1,1))-AVERAGE(OFFSET($H$3,0,0,'Données projet'!$E$12+1,1))</f>
        <v>292.13851489852607</v>
      </c>
      <c r="CE191" s="62">
        <f t="shared" si="148"/>
        <v>280.10866188737418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69.488690917036934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-1.1368683772161603E-13</v>
      </c>
      <c r="CU191" s="18">
        <f>CT191*VLOOKUP('Données projet'!$B$13,Paramètres!$A$1:$I$89,3,0)*VLOOKUP('Données projet'!$B$13,Paramètres!$A$1:$I$89,5,0)</f>
        <v>-9.2222762759774927E-14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265.25572936607409</v>
      </c>
      <c r="CZ191" s="62">
        <f t="shared" si="150"/>
        <v>307.96244316129071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69.488690917036934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5.6843418860808015E-14</v>
      </c>
      <c r="DP191" s="18">
        <f>DO191*VLOOKUP('Données projet'!$B$14,Paramètres!$A$1:$I$89,3,0)*VLOOKUP('Données projet'!$B$14,Paramètres!$A$1:$I$89,5,0)</f>
        <v>5.4092197387944907E-14</v>
      </c>
      <c r="DQ191" s="14">
        <f t="shared" si="176"/>
        <v>8.7287050538073676E-13</v>
      </c>
      <c r="DR191" s="22">
        <f t="shared" si="177"/>
        <v>1.6144600406554537E-12</v>
      </c>
      <c r="DS191" s="62">
        <f t="shared" si="125"/>
        <v>291.45853336247035</v>
      </c>
      <c r="DT191" s="62">
        <f ca="1">AVERAGE(OFFSET($DS$3,0,0,'Données projet'!$E$14+1,1))-AVERAGE(OFFSET($H$3,0,0,'Données projet'!$E$14+1,1))</f>
        <v>425.41154182732936</v>
      </c>
      <c r="DU191" s="62">
        <f t="shared" si="152"/>
        <v>306.44721925744591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69.488690917036934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-5.6843418860808015E-14</v>
      </c>
      <c r="EK191" s="18">
        <f>EJ191*VLOOKUP('Données projet'!$B$15,Paramètres!$A$1:$I$89,3,0)*VLOOKUP('Données projet'!$B$15,Paramètres!$A$1:$I$89,5,0)</f>
        <v>-4.1677594708744434E-14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357.57626046668958</v>
      </c>
      <c r="EP191" s="62">
        <f t="shared" si="154"/>
        <v>386.90439522046199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69.488690917036934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1.1368683772161603E-13</v>
      </c>
      <c r="FF191" s="18">
        <f>FE191*VLOOKUP('Données projet'!$B$16,Paramètres!$A$1:$I$89,3,0)*VLOOKUP('Données projet'!$B$16,Paramètres!$A$1:$I$89,5,0)</f>
        <v>8.8675733422860506E-14</v>
      </c>
      <c r="FG191" s="14">
        <f t="shared" si="182"/>
        <v>1.3509285393066301E-12</v>
      </c>
      <c r="FH191" s="22">
        <f t="shared" si="183"/>
        <v>2.5073107750038623E-12</v>
      </c>
      <c r="FI191" s="62">
        <f t="shared" si="131"/>
        <v>291.45853336247126</v>
      </c>
      <c r="FJ191" s="62">
        <f ca="1">AVERAGE(OFFSET($FI$3,0,0,'Données projet'!$E$16+1,1))-AVERAGE(OFFSET($H$3,0,0,'Données projet'!$E$16+1,1))</f>
        <v>303.56663121833833</v>
      </c>
      <c r="FK191" s="62">
        <f t="shared" si="156"/>
        <v>293.97736357938038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69.488690917036934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-5.6843418860808015E-14</v>
      </c>
      <c r="GA191" s="18">
        <f>FZ191*VLOOKUP('Données projet'!$B$17,Paramètres!$A$1:$I$89,3,0)*VLOOKUP('Données projet'!$B$17,Paramètres!$A$1:$I$89,5,0)</f>
        <v>-4.5224624045658861E-14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383.71724511025587</v>
      </c>
      <c r="GF191" s="62">
        <f t="shared" si="158"/>
        <v>415.10774719533185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69.488690917036934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1.7053025658242404E-13</v>
      </c>
      <c r="GV191" s="18">
        <f>GU191*VLOOKUP('Données projet'!$B$18,Paramètres!$A$1:$I$89,3,0)*VLOOKUP('Données projet'!$B$18,Paramètres!$A$1:$I$89,5,0)</f>
        <v>1.1439169611549005E-13</v>
      </c>
      <c r="GW191" s="14">
        <f t="shared" si="188"/>
        <v>1.6918016515029816E-12</v>
      </c>
      <c r="GX191" s="22">
        <f t="shared" si="189"/>
        <v>3.1457867471021712E-12</v>
      </c>
      <c r="GY191" s="62">
        <f t="shared" si="137"/>
        <v>291.45853336247188</v>
      </c>
      <c r="GZ191" s="62">
        <f ca="1">AVERAGE(OFFSET($GY$3,0,0,'Données projet'!$E$18+1,1))-AVERAGE(OFFSET($H$3,0,0,'Données projet'!$E$18+1,1))</f>
        <v>329.93956600482801</v>
      </c>
      <c r="HA191" s="62">
        <f t="shared" si="160"/>
        <v>268.69186630599165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2.7450000000000001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10.065</v>
      </c>
      <c r="H192" s="70">
        <f t="shared" si="110"/>
        <v>216.40666666666667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69.497560986510493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-1.0286385077051818E-13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551.67307965706379</v>
      </c>
      <c r="T192" s="62">
        <f t="shared" si="142"/>
        <v>288.70738860523943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69.497560986510493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-9.5769792096689348E-14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518.18933270904506</v>
      </c>
      <c r="AO192" s="62">
        <f t="shared" si="144"/>
        <v>272.44431899810411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69.497560986510493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-9.7543306765146564E-14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464.73160475167867</v>
      </c>
      <c r="BJ192" s="62">
        <f t="shared" si="146"/>
        <v>241.31968359962227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69.497560986510493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2.2737367544323206E-13</v>
      </c>
      <c r="BZ192" s="14">
        <f>BY192*VLOOKUP('Données projet'!$B$12,Paramètres!$A$1:$I$89,3,0)*VLOOKUP('Données projet'!$B$12,Paramètres!$A$1:$I$89,5,0)</f>
        <v>1.4897523215040565E-13</v>
      </c>
      <c r="CA192" s="14">
        <f t="shared" si="170"/>
        <v>2.136562777003313E-12</v>
      </c>
      <c r="CB192" s="22">
        <f t="shared" si="171"/>
        <v>3.9806453659427267E-12</v>
      </c>
      <c r="CC192" s="62">
        <f t="shared" si="119"/>
        <v>291.49105695054249</v>
      </c>
      <c r="CD192" s="62">
        <f ca="1">AVERAGE(OFFSET($CC$3,0,0,'Données projet'!$E$12+1,1))-AVERAGE(OFFSET($H$3,0,0,'Données projet'!$E$12+1,1))</f>
        <v>292.13851489852607</v>
      </c>
      <c r="CE192" s="62">
        <f t="shared" si="148"/>
        <v>280.10866188737418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69.497560986510493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-1.1368683772161603E-13</v>
      </c>
      <c r="CU192" s="18">
        <f>CT192*VLOOKUP('Données projet'!$B$13,Paramètres!$A$1:$I$89,3,0)*VLOOKUP('Données projet'!$B$13,Paramètres!$A$1:$I$89,5,0)</f>
        <v>-9.2222762759774927E-14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265.25572936607409</v>
      </c>
      <c r="CZ192" s="62">
        <f t="shared" si="150"/>
        <v>307.96244316129071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69.497560986510493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5.6843418860808015E-14</v>
      </c>
      <c r="DP192" s="18">
        <f>DO192*VLOOKUP('Données projet'!$B$14,Paramètres!$A$1:$I$89,3,0)*VLOOKUP('Données projet'!$B$14,Paramètres!$A$1:$I$89,5,0)</f>
        <v>5.4092197387944907E-14</v>
      </c>
      <c r="DQ192" s="14">
        <f t="shared" si="176"/>
        <v>8.7287050538073676E-13</v>
      </c>
      <c r="DR192" s="22">
        <f t="shared" si="177"/>
        <v>1.6144600406554537E-12</v>
      </c>
      <c r="DS192" s="62">
        <f t="shared" si="125"/>
        <v>291.4910569505401</v>
      </c>
      <c r="DT192" s="62">
        <f ca="1">AVERAGE(OFFSET($DS$3,0,0,'Données projet'!$E$14+1,1))-AVERAGE(OFFSET($H$3,0,0,'Données projet'!$E$14+1,1))</f>
        <v>425.41154182732936</v>
      </c>
      <c r="DU192" s="62">
        <f t="shared" si="152"/>
        <v>306.44721925744591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69.497560986510493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-5.6843418860808015E-14</v>
      </c>
      <c r="EK192" s="18">
        <f>EJ192*VLOOKUP('Données projet'!$B$15,Paramètres!$A$1:$I$89,3,0)*VLOOKUP('Données projet'!$B$15,Paramètres!$A$1:$I$89,5,0)</f>
        <v>-4.1677594708744434E-14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357.57626046668958</v>
      </c>
      <c r="EP192" s="62">
        <f t="shared" si="154"/>
        <v>386.90439522046199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69.497560986510493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1.1368683772161603E-13</v>
      </c>
      <c r="FF192" s="18">
        <f>FE192*VLOOKUP('Données projet'!$B$16,Paramètres!$A$1:$I$89,3,0)*VLOOKUP('Données projet'!$B$16,Paramètres!$A$1:$I$89,5,0)</f>
        <v>8.8675733422860506E-14</v>
      </c>
      <c r="FG192" s="14">
        <f t="shared" si="182"/>
        <v>1.3509285393066301E-12</v>
      </c>
      <c r="FH192" s="22">
        <f t="shared" si="183"/>
        <v>2.5073107750038623E-12</v>
      </c>
      <c r="FI192" s="62">
        <f t="shared" si="131"/>
        <v>291.49105695054101</v>
      </c>
      <c r="FJ192" s="62">
        <f ca="1">AVERAGE(OFFSET($FI$3,0,0,'Données projet'!$E$16+1,1))-AVERAGE(OFFSET($H$3,0,0,'Données projet'!$E$16+1,1))</f>
        <v>303.56663121833833</v>
      </c>
      <c r="FK192" s="62">
        <f t="shared" si="156"/>
        <v>293.97736357938038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69.497560986510493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-5.6843418860808015E-14</v>
      </c>
      <c r="GA192" s="18">
        <f>FZ192*VLOOKUP('Données projet'!$B$17,Paramètres!$A$1:$I$89,3,0)*VLOOKUP('Données projet'!$B$17,Paramètres!$A$1:$I$89,5,0)</f>
        <v>-4.5224624045658861E-14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383.71724511025587</v>
      </c>
      <c r="GF192" s="62">
        <f t="shared" si="158"/>
        <v>415.10774719533185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69.497560986510493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1.7053025658242404E-13</v>
      </c>
      <c r="GV192" s="18">
        <f>GU192*VLOOKUP('Données projet'!$B$18,Paramètres!$A$1:$I$89,3,0)*VLOOKUP('Données projet'!$B$18,Paramètres!$A$1:$I$89,5,0)</f>
        <v>1.1439169611549005E-13</v>
      </c>
      <c r="GW192" s="14">
        <f t="shared" si="188"/>
        <v>1.6918016515029816E-12</v>
      </c>
      <c r="GX192" s="22">
        <f t="shared" si="189"/>
        <v>3.1457867471021712E-12</v>
      </c>
      <c r="GY192" s="62">
        <f t="shared" si="137"/>
        <v>291.49105695054163</v>
      </c>
      <c r="GZ192" s="62">
        <f ca="1">AVERAGE(OFFSET($GY$3,0,0,'Données projet'!$E$18+1,1))-AVERAGE(OFFSET($H$3,0,0,'Données projet'!$E$18+1,1))</f>
        <v>329.93956600482801</v>
      </c>
      <c r="HA192" s="62">
        <f t="shared" si="160"/>
        <v>268.69186630599165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2.7450000000000001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10.065</v>
      </c>
      <c r="H193" s="70">
        <f t="shared" si="110"/>
        <v>216.40666666666667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69.50627718010918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-1.0286385077051818E-13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551.67307965706379</v>
      </c>
      <c r="T193" s="62">
        <f t="shared" si="142"/>
        <v>288.70738860523943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69.50627718010918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-9.5769792096689348E-14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518.18933270904506</v>
      </c>
      <c r="AO193" s="62">
        <f t="shared" si="144"/>
        <v>272.44431899810411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69.50627718010918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-9.7543306765146564E-14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464.73160475167867</v>
      </c>
      <c r="BJ193" s="62">
        <f t="shared" si="146"/>
        <v>241.31968359962227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69.50627718010918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2.2737367544323206E-13</v>
      </c>
      <c r="BZ193" s="14">
        <f>BY193*VLOOKUP('Données projet'!$B$12,Paramètres!$A$1:$I$89,3,0)*VLOOKUP('Données projet'!$B$12,Paramètres!$A$1:$I$89,5,0)</f>
        <v>1.4897523215040565E-13</v>
      </c>
      <c r="CA193" s="14">
        <f t="shared" si="170"/>
        <v>2.136562777003313E-12</v>
      </c>
      <c r="CB193" s="22">
        <f t="shared" si="171"/>
        <v>3.9806453659427267E-12</v>
      </c>
      <c r="CC193" s="62">
        <f t="shared" si="119"/>
        <v>291.52301632707093</v>
      </c>
      <c r="CD193" s="62">
        <f ca="1">AVERAGE(OFFSET($CC$3,0,0,'Données projet'!$E$12+1,1))-AVERAGE(OFFSET($H$3,0,0,'Données projet'!$E$12+1,1))</f>
        <v>292.13851489852607</v>
      </c>
      <c r="CE193" s="62">
        <f t="shared" si="148"/>
        <v>280.10866188737418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69.50627718010918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-1.1368683772161603E-13</v>
      </c>
      <c r="CU193" s="18">
        <f>CT193*VLOOKUP('Données projet'!$B$13,Paramètres!$A$1:$I$89,3,0)*VLOOKUP('Données projet'!$B$13,Paramètres!$A$1:$I$89,5,0)</f>
        <v>-9.2222762759774927E-14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265.25572936607409</v>
      </c>
      <c r="CZ193" s="62">
        <f t="shared" si="150"/>
        <v>307.96244316129071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69.50627718010918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5.6843418860808015E-14</v>
      </c>
      <c r="DP193" s="18">
        <f>DO193*VLOOKUP('Données projet'!$B$14,Paramètres!$A$1:$I$89,3,0)*VLOOKUP('Données projet'!$B$14,Paramètres!$A$1:$I$89,5,0)</f>
        <v>5.4092197387944907E-14</v>
      </c>
      <c r="DQ193" s="14">
        <f t="shared" si="176"/>
        <v>8.7287050538073676E-13</v>
      </c>
      <c r="DR193" s="22">
        <f t="shared" si="177"/>
        <v>1.6144600406554537E-12</v>
      </c>
      <c r="DS193" s="62">
        <f t="shared" si="125"/>
        <v>291.52301632706855</v>
      </c>
      <c r="DT193" s="62">
        <f ca="1">AVERAGE(OFFSET($DS$3,0,0,'Données projet'!$E$14+1,1))-AVERAGE(OFFSET($H$3,0,0,'Données projet'!$E$14+1,1))</f>
        <v>425.41154182732936</v>
      </c>
      <c r="DU193" s="62">
        <f t="shared" si="152"/>
        <v>306.44721925744591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69.50627718010918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-5.6843418860808015E-14</v>
      </c>
      <c r="EK193" s="18">
        <f>EJ193*VLOOKUP('Données projet'!$B$15,Paramètres!$A$1:$I$89,3,0)*VLOOKUP('Données projet'!$B$15,Paramètres!$A$1:$I$89,5,0)</f>
        <v>-4.1677594708744434E-14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357.57626046668958</v>
      </c>
      <c r="EP193" s="62">
        <f t="shared" si="154"/>
        <v>386.90439522046199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69.50627718010918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1.1368683772161603E-13</v>
      </c>
      <c r="FF193" s="18">
        <f>FE193*VLOOKUP('Données projet'!$B$16,Paramètres!$A$1:$I$89,3,0)*VLOOKUP('Données projet'!$B$16,Paramètres!$A$1:$I$89,5,0)</f>
        <v>8.8675733422860506E-14</v>
      </c>
      <c r="FG193" s="14">
        <f t="shared" si="182"/>
        <v>1.3509285393066301E-12</v>
      </c>
      <c r="FH193" s="22">
        <f t="shared" si="183"/>
        <v>2.5073107750038623E-12</v>
      </c>
      <c r="FI193" s="62">
        <f t="shared" si="131"/>
        <v>291.52301632706946</v>
      </c>
      <c r="FJ193" s="62">
        <f ca="1">AVERAGE(OFFSET($FI$3,0,0,'Données projet'!$E$16+1,1))-AVERAGE(OFFSET($H$3,0,0,'Données projet'!$E$16+1,1))</f>
        <v>303.56663121833833</v>
      </c>
      <c r="FK193" s="62">
        <f t="shared" si="156"/>
        <v>293.97736357938038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69.50627718010918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-5.6843418860808015E-14</v>
      </c>
      <c r="GA193" s="18">
        <f>FZ193*VLOOKUP('Données projet'!$B$17,Paramètres!$A$1:$I$89,3,0)*VLOOKUP('Données projet'!$B$17,Paramètres!$A$1:$I$89,5,0)</f>
        <v>-4.5224624045658861E-14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383.71724511025587</v>
      </c>
      <c r="GF193" s="62">
        <f t="shared" si="158"/>
        <v>415.10774719533185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69.50627718010918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1.7053025658242404E-13</v>
      </c>
      <c r="GV193" s="18">
        <f>GU193*VLOOKUP('Données projet'!$B$18,Paramètres!$A$1:$I$89,3,0)*VLOOKUP('Données projet'!$B$18,Paramètres!$A$1:$I$89,5,0)</f>
        <v>1.1439169611549005E-13</v>
      </c>
      <c r="GW193" s="14">
        <f t="shared" si="188"/>
        <v>1.6918016515029816E-12</v>
      </c>
      <c r="GX193" s="22">
        <f t="shared" si="189"/>
        <v>3.1457867471021712E-12</v>
      </c>
      <c r="GY193" s="62">
        <f t="shared" si="137"/>
        <v>291.52301632707008</v>
      </c>
      <c r="GZ193" s="62">
        <f ca="1">AVERAGE(OFFSET($GY$3,0,0,'Données projet'!$E$18+1,1))-AVERAGE(OFFSET($H$3,0,0,'Données projet'!$E$18+1,1))</f>
        <v>329.93956600482801</v>
      </c>
      <c r="HA193" s="62">
        <f t="shared" si="160"/>
        <v>268.69186630599165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2.7450000000000001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10.065</v>
      </c>
      <c r="H194" s="70">
        <f t="shared" si="110"/>
        <v>216.40666666666667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69.514842167235429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-1.0286385077051818E-13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551.67307965706379</v>
      </c>
      <c r="T194" s="62">
        <f t="shared" si="142"/>
        <v>288.70738860523943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69.514842167235429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-9.5769792096689348E-14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518.18933270904506</v>
      </c>
      <c r="AO194" s="62">
        <f t="shared" si="144"/>
        <v>272.44431899810411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69.514842167235429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-9.7543306765146564E-14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464.73160475167867</v>
      </c>
      <c r="BJ194" s="62">
        <f t="shared" si="146"/>
        <v>241.31968359962227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69.514842167235429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2.2737367544323206E-13</v>
      </c>
      <c r="BZ194" s="14">
        <f>BY194*VLOOKUP('Données projet'!$B$12,Paramètres!$A$1:$I$89,3,0)*VLOOKUP('Données projet'!$B$12,Paramètres!$A$1:$I$89,5,0)</f>
        <v>1.4897523215040565E-13</v>
      </c>
      <c r="CA194" s="14">
        <f t="shared" si="170"/>
        <v>2.136562777003313E-12</v>
      </c>
      <c r="CB194" s="22">
        <f t="shared" si="171"/>
        <v>3.9806453659427267E-12</v>
      </c>
      <c r="CC194" s="62">
        <f t="shared" si="119"/>
        <v>291.5544212798672</v>
      </c>
      <c r="CD194" s="62">
        <f ca="1">AVERAGE(OFFSET($CC$3,0,0,'Données projet'!$E$12+1,1))-AVERAGE(OFFSET($H$3,0,0,'Données projet'!$E$12+1,1))</f>
        <v>292.13851489852607</v>
      </c>
      <c r="CE194" s="62">
        <f t="shared" si="148"/>
        <v>280.10866188737418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69.514842167235429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-1.1368683772161603E-13</v>
      </c>
      <c r="CU194" s="18">
        <f>CT194*VLOOKUP('Données projet'!$B$13,Paramètres!$A$1:$I$89,3,0)*VLOOKUP('Données projet'!$B$13,Paramètres!$A$1:$I$89,5,0)</f>
        <v>-9.2222762759774927E-14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265.25572936607409</v>
      </c>
      <c r="CZ194" s="62">
        <f t="shared" si="150"/>
        <v>307.96244316129071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69.514842167235429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5.6843418860808015E-14</v>
      </c>
      <c r="DP194" s="18">
        <f>DO194*VLOOKUP('Données projet'!$B$14,Paramètres!$A$1:$I$89,3,0)*VLOOKUP('Données projet'!$B$14,Paramètres!$A$1:$I$89,5,0)</f>
        <v>5.4092197387944907E-14</v>
      </c>
      <c r="DQ194" s="14">
        <f t="shared" si="176"/>
        <v>8.7287050538073676E-13</v>
      </c>
      <c r="DR194" s="22">
        <f t="shared" si="177"/>
        <v>1.6144600406554537E-12</v>
      </c>
      <c r="DS194" s="62">
        <f t="shared" si="125"/>
        <v>291.55442127986481</v>
      </c>
      <c r="DT194" s="62">
        <f ca="1">AVERAGE(OFFSET($DS$3,0,0,'Données projet'!$E$14+1,1))-AVERAGE(OFFSET($H$3,0,0,'Données projet'!$E$14+1,1))</f>
        <v>425.41154182732936</v>
      </c>
      <c r="DU194" s="62">
        <f t="shared" si="152"/>
        <v>306.44721925744591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69.514842167235429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-5.6843418860808015E-14</v>
      </c>
      <c r="EK194" s="18">
        <f>EJ194*VLOOKUP('Données projet'!$B$15,Paramètres!$A$1:$I$89,3,0)*VLOOKUP('Données projet'!$B$15,Paramètres!$A$1:$I$89,5,0)</f>
        <v>-4.1677594708744434E-14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357.57626046668958</v>
      </c>
      <c r="EP194" s="62">
        <f t="shared" si="154"/>
        <v>386.90439522046199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69.514842167235429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1.1368683772161603E-13</v>
      </c>
      <c r="FF194" s="18">
        <f>FE194*VLOOKUP('Données projet'!$B$16,Paramètres!$A$1:$I$89,3,0)*VLOOKUP('Données projet'!$B$16,Paramètres!$A$1:$I$89,5,0)</f>
        <v>8.8675733422860506E-14</v>
      </c>
      <c r="FG194" s="14">
        <f t="shared" si="182"/>
        <v>1.3509285393066301E-12</v>
      </c>
      <c r="FH194" s="22">
        <f t="shared" si="183"/>
        <v>2.5073107750038623E-12</v>
      </c>
      <c r="FI194" s="62">
        <f t="shared" si="131"/>
        <v>291.55442127986572</v>
      </c>
      <c r="FJ194" s="62">
        <f ca="1">AVERAGE(OFFSET($FI$3,0,0,'Données projet'!$E$16+1,1))-AVERAGE(OFFSET($H$3,0,0,'Données projet'!$E$16+1,1))</f>
        <v>303.56663121833833</v>
      </c>
      <c r="FK194" s="62">
        <f t="shared" si="156"/>
        <v>293.97736357938038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69.514842167235429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-5.6843418860808015E-14</v>
      </c>
      <c r="GA194" s="18">
        <f>FZ194*VLOOKUP('Données projet'!$B$17,Paramètres!$A$1:$I$89,3,0)*VLOOKUP('Données projet'!$B$17,Paramètres!$A$1:$I$89,5,0)</f>
        <v>-4.5224624045658861E-14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383.71724511025587</v>
      </c>
      <c r="GF194" s="62">
        <f t="shared" si="158"/>
        <v>415.10774719533185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69.514842167235429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1.7053025658242404E-13</v>
      </c>
      <c r="GV194" s="18">
        <f>GU194*VLOOKUP('Données projet'!$B$18,Paramètres!$A$1:$I$89,3,0)*VLOOKUP('Données projet'!$B$18,Paramètres!$A$1:$I$89,5,0)</f>
        <v>1.1439169611549005E-13</v>
      </c>
      <c r="GW194" s="14">
        <f t="shared" si="188"/>
        <v>1.6918016515029816E-12</v>
      </c>
      <c r="GX194" s="22">
        <f t="shared" si="189"/>
        <v>3.1457867471021712E-12</v>
      </c>
      <c r="GY194" s="62">
        <f t="shared" si="137"/>
        <v>291.55442127986635</v>
      </c>
      <c r="GZ194" s="62">
        <f ca="1">AVERAGE(OFFSET($GY$3,0,0,'Données projet'!$E$18+1,1))-AVERAGE(OFFSET($H$3,0,0,'Données projet'!$E$18+1,1))</f>
        <v>329.93956600482801</v>
      </c>
      <c r="HA194" s="62">
        <f t="shared" si="160"/>
        <v>268.69186630599165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2.7450000000000001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10.065</v>
      </c>
      <c r="H195" s="70">
        <f t="shared" si="110"/>
        <v>216.40666666666667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69.523258570983472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-1.0286385077051818E-13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551.67307965706379</v>
      </c>
      <c r="T195" s="62">
        <f t="shared" si="142"/>
        <v>288.70738860523943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69.523258570983472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-9.5769792096689348E-14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518.18933270904506</v>
      </c>
      <c r="AO195" s="62">
        <f t="shared" si="144"/>
        <v>272.44431899810411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69.523258570983472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-9.7543306765146564E-14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464.73160475167867</v>
      </c>
      <c r="BJ195" s="62">
        <f t="shared" si="146"/>
        <v>241.31968359962227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69.523258570983472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2.2737367544323206E-13</v>
      </c>
      <c r="BZ195" s="14">
        <f>BY195*VLOOKUP('Données projet'!$B$12,Paramètres!$A$1:$I$89,3,0)*VLOOKUP('Données projet'!$B$12,Paramètres!$A$1:$I$89,5,0)</f>
        <v>1.4897523215040565E-13</v>
      </c>
      <c r="CA195" s="14">
        <f t="shared" si="170"/>
        <v>2.136562777003313E-12</v>
      </c>
      <c r="CB195" s="22">
        <f t="shared" si="171"/>
        <v>3.9806453659427267E-12</v>
      </c>
      <c r="CC195" s="62">
        <f t="shared" si="119"/>
        <v>291.58528142694337</v>
      </c>
      <c r="CD195" s="62">
        <f ca="1">AVERAGE(OFFSET($CC$3,0,0,'Données projet'!$E$12+1,1))-AVERAGE(OFFSET($H$3,0,0,'Données projet'!$E$12+1,1))</f>
        <v>292.13851489852607</v>
      </c>
      <c r="CE195" s="62">
        <f t="shared" si="148"/>
        <v>280.10866188737418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69.523258570983472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-1.1368683772161603E-13</v>
      </c>
      <c r="CU195" s="18">
        <f>CT195*VLOOKUP('Données projet'!$B$13,Paramètres!$A$1:$I$89,3,0)*VLOOKUP('Données projet'!$B$13,Paramètres!$A$1:$I$89,5,0)</f>
        <v>-9.2222762759774927E-14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265.25572936607409</v>
      </c>
      <c r="CZ195" s="62">
        <f t="shared" si="150"/>
        <v>307.96244316129071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69.523258570983472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5.6843418860808015E-14</v>
      </c>
      <c r="DP195" s="18">
        <f>DO195*VLOOKUP('Données projet'!$B$14,Paramètres!$A$1:$I$89,3,0)*VLOOKUP('Données projet'!$B$14,Paramètres!$A$1:$I$89,5,0)</f>
        <v>5.4092197387944907E-14</v>
      </c>
      <c r="DQ195" s="14">
        <f t="shared" si="176"/>
        <v>8.7287050538073676E-13</v>
      </c>
      <c r="DR195" s="22">
        <f t="shared" si="177"/>
        <v>1.6144600406554537E-12</v>
      </c>
      <c r="DS195" s="62">
        <f t="shared" si="125"/>
        <v>291.58528142694098</v>
      </c>
      <c r="DT195" s="62">
        <f ca="1">AVERAGE(OFFSET($DS$3,0,0,'Données projet'!$E$14+1,1))-AVERAGE(OFFSET($H$3,0,0,'Données projet'!$E$14+1,1))</f>
        <v>425.41154182732936</v>
      </c>
      <c r="DU195" s="62">
        <f t="shared" si="152"/>
        <v>306.44721925744591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69.523258570983472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-5.6843418860808015E-14</v>
      </c>
      <c r="EK195" s="18">
        <f>EJ195*VLOOKUP('Données projet'!$B$15,Paramètres!$A$1:$I$89,3,0)*VLOOKUP('Données projet'!$B$15,Paramètres!$A$1:$I$89,5,0)</f>
        <v>-4.1677594708744434E-14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357.57626046668958</v>
      </c>
      <c r="EP195" s="62">
        <f t="shared" si="154"/>
        <v>386.90439522046199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69.523258570983472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1.1368683772161603E-13</v>
      </c>
      <c r="FF195" s="18">
        <f>FE195*VLOOKUP('Données projet'!$B$16,Paramètres!$A$1:$I$89,3,0)*VLOOKUP('Données projet'!$B$16,Paramètres!$A$1:$I$89,5,0)</f>
        <v>8.8675733422860506E-14</v>
      </c>
      <c r="FG195" s="14">
        <f t="shared" si="182"/>
        <v>1.3509285393066301E-12</v>
      </c>
      <c r="FH195" s="22">
        <f t="shared" si="183"/>
        <v>2.5073107750038623E-12</v>
      </c>
      <c r="FI195" s="62">
        <f t="shared" si="131"/>
        <v>291.58528142694189</v>
      </c>
      <c r="FJ195" s="62">
        <f ca="1">AVERAGE(OFFSET($FI$3,0,0,'Données projet'!$E$16+1,1))-AVERAGE(OFFSET($H$3,0,0,'Données projet'!$E$16+1,1))</f>
        <v>303.56663121833833</v>
      </c>
      <c r="FK195" s="62">
        <f t="shared" si="156"/>
        <v>293.97736357938038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69.523258570983472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-5.6843418860808015E-14</v>
      </c>
      <c r="GA195" s="18">
        <f>FZ195*VLOOKUP('Données projet'!$B$17,Paramètres!$A$1:$I$89,3,0)*VLOOKUP('Données projet'!$B$17,Paramètres!$A$1:$I$89,5,0)</f>
        <v>-4.5224624045658861E-14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383.71724511025587</v>
      </c>
      <c r="GF195" s="62">
        <f t="shared" si="158"/>
        <v>415.10774719533185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69.523258570983472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1.7053025658242404E-13</v>
      </c>
      <c r="GV195" s="18">
        <f>GU195*VLOOKUP('Données projet'!$B$18,Paramètres!$A$1:$I$89,3,0)*VLOOKUP('Données projet'!$B$18,Paramètres!$A$1:$I$89,5,0)</f>
        <v>1.1439169611549005E-13</v>
      </c>
      <c r="GW195" s="14">
        <f t="shared" si="188"/>
        <v>1.6918016515029816E-12</v>
      </c>
      <c r="GX195" s="22">
        <f t="shared" si="189"/>
        <v>3.1457867471021712E-12</v>
      </c>
      <c r="GY195" s="62">
        <f t="shared" si="137"/>
        <v>291.58528142694252</v>
      </c>
      <c r="GZ195" s="62">
        <f ca="1">AVERAGE(OFFSET($GY$3,0,0,'Données projet'!$E$18+1,1))-AVERAGE(OFFSET($H$3,0,0,'Données projet'!$E$18+1,1))</f>
        <v>329.93956600482801</v>
      </c>
      <c r="HA195" s="62">
        <f t="shared" si="160"/>
        <v>268.69186630599165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2.7450000000000001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10.065</v>
      </c>
      <c r="H196" s="70">
        <f t="shared" ref="H196:H203" si="192">(B196+E196+F196)*44/12+(C196+D196)*0.475*44/12</f>
        <v>216.40666666666667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69.531528968942737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-1.0286385077051818E-13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551.67307965706379</v>
      </c>
      <c r="T196" s="62">
        <f t="shared" si="142"/>
        <v>288.70738860523943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69.531528968942737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-9.5769792096689348E-14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518.18933270904506</v>
      </c>
      <c r="AO196" s="62">
        <f t="shared" si="144"/>
        <v>272.44431899810411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69.531528968942737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-9.7543306765146564E-14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464.73160475167867</v>
      </c>
      <c r="BJ196" s="62">
        <f t="shared" si="146"/>
        <v>241.31968359962227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69.531528968942737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2.2737367544323206E-13</v>
      </c>
      <c r="BZ196" s="14">
        <f>BY196*VLOOKUP('Données projet'!$B$12,Paramètres!$A$1:$I$89,3,0)*VLOOKUP('Données projet'!$B$12,Paramètres!$A$1:$I$89,5,0)</f>
        <v>1.4897523215040565E-13</v>
      </c>
      <c r="CA196" s="14">
        <f t="shared" si="170"/>
        <v>2.136562777003313E-12</v>
      </c>
      <c r="CB196" s="22">
        <f t="shared" si="171"/>
        <v>3.9806453659427267E-12</v>
      </c>
      <c r="CC196" s="62">
        <f t="shared" ref="CC196:CC203" si="195">CB196+(BT196+BU196)*44/12</f>
        <v>291.61560621946069</v>
      </c>
      <c r="CD196" s="62">
        <f ca="1">AVERAGE(OFFSET($CC$3,0,0,'Données projet'!$E$12+1,1))-AVERAGE(OFFSET($H$3,0,0,'Données projet'!$E$12+1,1))</f>
        <v>292.13851489852607</v>
      </c>
      <c r="CE196" s="62">
        <f t="shared" si="148"/>
        <v>280.10866188737418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69.531528968942737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-1.1368683772161603E-13</v>
      </c>
      <c r="CU196" s="18">
        <f>CT196*VLOOKUP('Données projet'!$B$13,Paramètres!$A$1:$I$89,3,0)*VLOOKUP('Données projet'!$B$13,Paramètres!$A$1:$I$89,5,0)</f>
        <v>-9.2222762759774927E-14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265.25572936607409</v>
      </c>
      <c r="CZ196" s="62">
        <f t="shared" si="150"/>
        <v>307.96244316129071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69.531528968942737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5.6843418860808015E-14</v>
      </c>
      <c r="DP196" s="18">
        <f>DO196*VLOOKUP('Données projet'!$B$14,Paramètres!$A$1:$I$89,3,0)*VLOOKUP('Données projet'!$B$14,Paramètres!$A$1:$I$89,5,0)</f>
        <v>5.4092197387944907E-14</v>
      </c>
      <c r="DQ196" s="14">
        <f t="shared" si="176"/>
        <v>8.7287050538073676E-13</v>
      </c>
      <c r="DR196" s="22">
        <f t="shared" si="177"/>
        <v>1.6144600406554537E-12</v>
      </c>
      <c r="DS196" s="62">
        <f t="shared" ref="DS196:DS203" si="197">DR196+(DJ196+DK196)*44/12</f>
        <v>291.6156062194583</v>
      </c>
      <c r="DT196" s="62">
        <f ca="1">AVERAGE(OFFSET($DS$3,0,0,'Données projet'!$E$14+1,1))-AVERAGE(OFFSET($H$3,0,0,'Données projet'!$E$14+1,1))</f>
        <v>425.41154182732936</v>
      </c>
      <c r="DU196" s="62">
        <f t="shared" si="152"/>
        <v>306.44721925744591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69.531528968942737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-5.6843418860808015E-14</v>
      </c>
      <c r="EK196" s="18">
        <f>EJ196*VLOOKUP('Données projet'!$B$15,Paramètres!$A$1:$I$89,3,0)*VLOOKUP('Données projet'!$B$15,Paramètres!$A$1:$I$89,5,0)</f>
        <v>-4.1677594708744434E-14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357.57626046668958</v>
      </c>
      <c r="EP196" s="62">
        <f t="shared" si="154"/>
        <v>386.90439522046199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69.531528968942737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1.1368683772161603E-13</v>
      </c>
      <c r="FF196" s="18">
        <f>FE196*VLOOKUP('Données projet'!$B$16,Paramètres!$A$1:$I$89,3,0)*VLOOKUP('Données projet'!$B$16,Paramètres!$A$1:$I$89,5,0)</f>
        <v>8.8675733422860506E-14</v>
      </c>
      <c r="FG196" s="14">
        <f t="shared" si="182"/>
        <v>1.3509285393066301E-12</v>
      </c>
      <c r="FH196" s="22">
        <f t="shared" si="183"/>
        <v>2.5073107750038623E-12</v>
      </c>
      <c r="FI196" s="62">
        <f t="shared" ref="FI196:FI203" si="199">FH196+(EZ196+FA196)*44/12</f>
        <v>291.61560621945921</v>
      </c>
      <c r="FJ196" s="62">
        <f ca="1">AVERAGE(OFFSET($FI$3,0,0,'Données projet'!$E$16+1,1))-AVERAGE(OFFSET($H$3,0,0,'Données projet'!$E$16+1,1))</f>
        <v>303.56663121833833</v>
      </c>
      <c r="FK196" s="62">
        <f t="shared" si="156"/>
        <v>293.97736357938038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69.531528968942737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-5.6843418860808015E-14</v>
      </c>
      <c r="GA196" s="18">
        <f>FZ196*VLOOKUP('Données projet'!$B$17,Paramètres!$A$1:$I$89,3,0)*VLOOKUP('Données projet'!$B$17,Paramètres!$A$1:$I$89,5,0)</f>
        <v>-4.5224624045658861E-14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383.71724511025587</v>
      </c>
      <c r="GF196" s="62">
        <f t="shared" si="158"/>
        <v>415.10774719533185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69.531528968942737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1.7053025658242404E-13</v>
      </c>
      <c r="GV196" s="18">
        <f>GU196*VLOOKUP('Données projet'!$B$18,Paramètres!$A$1:$I$89,3,0)*VLOOKUP('Données projet'!$B$18,Paramètres!$A$1:$I$89,5,0)</f>
        <v>1.1439169611549005E-13</v>
      </c>
      <c r="GW196" s="14">
        <f t="shared" si="188"/>
        <v>1.6918016515029816E-12</v>
      </c>
      <c r="GX196" s="22">
        <f t="shared" si="189"/>
        <v>3.1457867471021712E-12</v>
      </c>
      <c r="GY196" s="62">
        <f t="shared" ref="GY196:GY203" si="201">GX196+(GP196+GQ196)*44/12</f>
        <v>291.61560621945983</v>
      </c>
      <c r="GZ196" s="62">
        <f ca="1">AVERAGE(OFFSET($GY$3,0,0,'Données projet'!$E$18+1,1))-AVERAGE(OFFSET($H$3,0,0,'Données projet'!$E$18+1,1))</f>
        <v>329.93956600482801</v>
      </c>
      <c r="HA196" s="62">
        <f t="shared" si="160"/>
        <v>268.69186630599165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2.7450000000000001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10.065</v>
      </c>
      <c r="H197" s="70">
        <f t="shared" si="192"/>
        <v>216.40666666666667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69.539655893987259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-1.0286385077051818E-13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551.67307965706379</v>
      </c>
      <c r="T197" s="62">
        <f t="shared" ref="T197:T203" si="204">$T$3</f>
        <v>288.70738860523943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69.539655893987259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-9.5769792096689348E-14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518.18933270904506</v>
      </c>
      <c r="AO197" s="62">
        <f t="shared" ref="AO197:AO203" si="205">$AO$3</f>
        <v>272.44431899810411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69.539655893987259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-9.7543306765146564E-14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464.73160475167867</v>
      </c>
      <c r="BJ197" s="62">
        <f t="shared" ref="BJ197:BJ203" si="206">$BJ$3</f>
        <v>241.31968359962227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69.539655893987259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2.2737367544323206E-13</v>
      </c>
      <c r="BZ197" s="14">
        <f>BY197*VLOOKUP('Données projet'!$B$12,Paramètres!$A$1:$I$89,3,0)*VLOOKUP('Données projet'!$B$12,Paramètres!$A$1:$I$89,5,0)</f>
        <v>1.4897523215040565E-13</v>
      </c>
      <c r="CA197" s="14">
        <f t="shared" si="170"/>
        <v>2.136562777003313E-12</v>
      </c>
      <c r="CB197" s="22">
        <f t="shared" si="171"/>
        <v>3.9806453659427267E-12</v>
      </c>
      <c r="CC197" s="62">
        <f t="shared" si="195"/>
        <v>291.64540494462392</v>
      </c>
      <c r="CD197" s="62">
        <f ca="1">AVERAGE(OFFSET($CC$3,0,0,'Données projet'!$E$12+1,1))-AVERAGE(OFFSET($H$3,0,0,'Données projet'!$E$12+1,1))</f>
        <v>292.13851489852607</v>
      </c>
      <c r="CE197" s="62">
        <f t="shared" ref="CE197:CE203" si="207">$CE$3</f>
        <v>280.10866188737418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69.539655893987259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-1.1368683772161603E-13</v>
      </c>
      <c r="CU197" s="18">
        <f>CT197*VLOOKUP('Données projet'!$B$13,Paramètres!$A$1:$I$89,3,0)*VLOOKUP('Données projet'!$B$13,Paramètres!$A$1:$I$89,5,0)</f>
        <v>-9.2222762759774927E-14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265.25572936607409</v>
      </c>
      <c r="CZ197" s="62">
        <f t="shared" ref="CZ197:CZ203" si="208">$CZ$3</f>
        <v>307.96244316129071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69.539655893987259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5.6843418860808015E-14</v>
      </c>
      <c r="DP197" s="18">
        <f>DO197*VLOOKUP('Données projet'!$B$14,Paramètres!$A$1:$I$89,3,0)*VLOOKUP('Données projet'!$B$14,Paramètres!$A$1:$I$89,5,0)</f>
        <v>5.4092197387944907E-14</v>
      </c>
      <c r="DQ197" s="14">
        <f t="shared" si="176"/>
        <v>8.7287050538073676E-13</v>
      </c>
      <c r="DR197" s="22">
        <f t="shared" si="177"/>
        <v>1.6144600406554537E-12</v>
      </c>
      <c r="DS197" s="62">
        <f t="shared" si="197"/>
        <v>291.64540494462153</v>
      </c>
      <c r="DT197" s="62">
        <f ca="1">AVERAGE(OFFSET($DS$3,0,0,'Données projet'!$E$14+1,1))-AVERAGE(OFFSET($H$3,0,0,'Données projet'!$E$14+1,1))</f>
        <v>425.41154182732936</v>
      </c>
      <c r="DU197" s="62">
        <f t="shared" ref="DU197:DU203" si="209">$DU$3</f>
        <v>306.44721925744591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69.539655893987259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-5.6843418860808015E-14</v>
      </c>
      <c r="EK197" s="18">
        <f>EJ197*VLOOKUP('Données projet'!$B$15,Paramètres!$A$1:$I$89,3,0)*VLOOKUP('Données projet'!$B$15,Paramètres!$A$1:$I$89,5,0)</f>
        <v>-4.1677594708744434E-14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357.57626046668958</v>
      </c>
      <c r="EP197" s="62">
        <f t="shared" ref="EP197:EP203" si="210">$EP$3</f>
        <v>386.90439522046199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69.539655893987259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1.1368683772161603E-13</v>
      </c>
      <c r="FF197" s="18">
        <f>FE197*VLOOKUP('Données projet'!$B$16,Paramètres!$A$1:$I$89,3,0)*VLOOKUP('Données projet'!$B$16,Paramètres!$A$1:$I$89,5,0)</f>
        <v>8.8675733422860506E-14</v>
      </c>
      <c r="FG197" s="14">
        <f t="shared" si="182"/>
        <v>1.3509285393066301E-12</v>
      </c>
      <c r="FH197" s="22">
        <f t="shared" si="183"/>
        <v>2.5073107750038623E-12</v>
      </c>
      <c r="FI197" s="62">
        <f t="shared" si="199"/>
        <v>291.64540494462244</v>
      </c>
      <c r="FJ197" s="62">
        <f ca="1">AVERAGE(OFFSET($FI$3,0,0,'Données projet'!$E$16+1,1))-AVERAGE(OFFSET($H$3,0,0,'Données projet'!$E$16+1,1))</f>
        <v>303.56663121833833</v>
      </c>
      <c r="FK197" s="62">
        <f t="shared" ref="FK197:FK203" si="211">$FK$3</f>
        <v>293.97736357938038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69.539655893987259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-5.6843418860808015E-14</v>
      </c>
      <c r="GA197" s="18">
        <f>FZ197*VLOOKUP('Données projet'!$B$17,Paramètres!$A$1:$I$89,3,0)*VLOOKUP('Données projet'!$B$17,Paramètres!$A$1:$I$89,5,0)</f>
        <v>-4.5224624045658861E-14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383.71724511025587</v>
      </c>
      <c r="GF197" s="62">
        <f t="shared" ref="GF197:GF203" si="212">$GF$3</f>
        <v>415.10774719533185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69.539655893987259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1.7053025658242404E-13</v>
      </c>
      <c r="GV197" s="18">
        <f>GU197*VLOOKUP('Données projet'!$B$18,Paramètres!$A$1:$I$89,3,0)*VLOOKUP('Données projet'!$B$18,Paramètres!$A$1:$I$89,5,0)</f>
        <v>1.1439169611549005E-13</v>
      </c>
      <c r="GW197" s="14">
        <f t="shared" si="188"/>
        <v>1.6918016515029816E-12</v>
      </c>
      <c r="GX197" s="22">
        <f t="shared" si="189"/>
        <v>3.1457867471021712E-12</v>
      </c>
      <c r="GY197" s="62">
        <f t="shared" si="201"/>
        <v>291.64540494462307</v>
      </c>
      <c r="GZ197" s="62">
        <f ca="1">AVERAGE(OFFSET($GY$3,0,0,'Données projet'!$E$18+1,1))-AVERAGE(OFFSET($H$3,0,0,'Données projet'!$E$18+1,1))</f>
        <v>329.93956600482801</v>
      </c>
      <c r="HA197" s="62">
        <f t="shared" ref="HA197:HA203" si="213">$HA$3</f>
        <v>268.69186630599165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2.7450000000000001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10.065</v>
      </c>
      <c r="H198" s="70">
        <f t="shared" si="192"/>
        <v>216.40666666666667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69.547641835051337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-1.0286385077051818E-13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551.67307965706379</v>
      </c>
      <c r="T198" s="62">
        <f t="shared" si="204"/>
        <v>288.70738860523943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69.547641835051337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-9.5769792096689348E-14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518.18933270904506</v>
      </c>
      <c r="AO198" s="62">
        <f t="shared" si="205"/>
        <v>272.44431899810411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69.547641835051337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-9.7543306765146564E-14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464.73160475167867</v>
      </c>
      <c r="BJ198" s="62">
        <f t="shared" si="206"/>
        <v>241.31968359962227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69.547641835051337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2.2737367544323206E-13</v>
      </c>
      <c r="BZ198" s="14">
        <f>BY198*VLOOKUP('Données projet'!$B$12,Paramètres!$A$1:$I$89,3,0)*VLOOKUP('Données projet'!$B$12,Paramètres!$A$1:$I$89,5,0)</f>
        <v>1.4897523215040565E-13</v>
      </c>
      <c r="CA198" s="14">
        <f t="shared" si="170"/>
        <v>2.136562777003313E-12</v>
      </c>
      <c r="CB198" s="22">
        <f t="shared" si="171"/>
        <v>3.9806453659427267E-12</v>
      </c>
      <c r="CC198" s="62">
        <f t="shared" si="195"/>
        <v>291.67468672852556</v>
      </c>
      <c r="CD198" s="62">
        <f ca="1">AVERAGE(OFFSET($CC$3,0,0,'Données projet'!$E$12+1,1))-AVERAGE(OFFSET($H$3,0,0,'Données projet'!$E$12+1,1))</f>
        <v>292.13851489852607</v>
      </c>
      <c r="CE198" s="62">
        <f t="shared" si="207"/>
        <v>280.10866188737418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69.547641835051337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-1.1368683772161603E-13</v>
      </c>
      <c r="CU198" s="18">
        <f>CT198*VLOOKUP('Données projet'!$B$13,Paramètres!$A$1:$I$89,3,0)*VLOOKUP('Données projet'!$B$13,Paramètres!$A$1:$I$89,5,0)</f>
        <v>-9.2222762759774927E-14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265.25572936607409</v>
      </c>
      <c r="CZ198" s="62">
        <f t="shared" si="208"/>
        <v>307.96244316129071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69.547641835051337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5.6843418860808015E-14</v>
      </c>
      <c r="DP198" s="18">
        <f>DO198*VLOOKUP('Données projet'!$B$14,Paramètres!$A$1:$I$89,3,0)*VLOOKUP('Données projet'!$B$14,Paramètres!$A$1:$I$89,5,0)</f>
        <v>5.4092197387944907E-14</v>
      </c>
      <c r="DQ198" s="14">
        <f t="shared" si="176"/>
        <v>8.7287050538073676E-13</v>
      </c>
      <c r="DR198" s="22">
        <f t="shared" si="177"/>
        <v>1.6144600406554537E-12</v>
      </c>
      <c r="DS198" s="62">
        <f t="shared" si="197"/>
        <v>291.67468672852317</v>
      </c>
      <c r="DT198" s="62">
        <f ca="1">AVERAGE(OFFSET($DS$3,0,0,'Données projet'!$E$14+1,1))-AVERAGE(OFFSET($H$3,0,0,'Données projet'!$E$14+1,1))</f>
        <v>425.41154182732936</v>
      </c>
      <c r="DU198" s="62">
        <f t="shared" si="209"/>
        <v>306.44721925744591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69.547641835051337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-5.6843418860808015E-14</v>
      </c>
      <c r="EK198" s="18">
        <f>EJ198*VLOOKUP('Données projet'!$B$15,Paramètres!$A$1:$I$89,3,0)*VLOOKUP('Données projet'!$B$15,Paramètres!$A$1:$I$89,5,0)</f>
        <v>-4.1677594708744434E-14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357.57626046668958</v>
      </c>
      <c r="EP198" s="62">
        <f t="shared" si="210"/>
        <v>386.90439522046199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69.547641835051337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1.1368683772161603E-13</v>
      </c>
      <c r="FF198" s="18">
        <f>FE198*VLOOKUP('Données projet'!$B$16,Paramètres!$A$1:$I$89,3,0)*VLOOKUP('Données projet'!$B$16,Paramètres!$A$1:$I$89,5,0)</f>
        <v>8.8675733422860506E-14</v>
      </c>
      <c r="FG198" s="14">
        <f t="shared" si="182"/>
        <v>1.3509285393066301E-12</v>
      </c>
      <c r="FH198" s="22">
        <f t="shared" si="183"/>
        <v>2.5073107750038623E-12</v>
      </c>
      <c r="FI198" s="62">
        <f t="shared" si="199"/>
        <v>291.67468672852408</v>
      </c>
      <c r="FJ198" s="62">
        <f ca="1">AVERAGE(OFFSET($FI$3,0,0,'Données projet'!$E$16+1,1))-AVERAGE(OFFSET($H$3,0,0,'Données projet'!$E$16+1,1))</f>
        <v>303.56663121833833</v>
      </c>
      <c r="FK198" s="62">
        <f t="shared" si="211"/>
        <v>293.97736357938038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69.547641835051337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-5.6843418860808015E-14</v>
      </c>
      <c r="GA198" s="18">
        <f>FZ198*VLOOKUP('Données projet'!$B$17,Paramètres!$A$1:$I$89,3,0)*VLOOKUP('Données projet'!$B$17,Paramètres!$A$1:$I$89,5,0)</f>
        <v>-4.5224624045658861E-14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383.71724511025587</v>
      </c>
      <c r="GF198" s="62">
        <f t="shared" si="212"/>
        <v>415.10774719533185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69.547641835051337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1.7053025658242404E-13</v>
      </c>
      <c r="GV198" s="18">
        <f>GU198*VLOOKUP('Données projet'!$B$18,Paramètres!$A$1:$I$89,3,0)*VLOOKUP('Données projet'!$B$18,Paramètres!$A$1:$I$89,5,0)</f>
        <v>1.1439169611549005E-13</v>
      </c>
      <c r="GW198" s="14">
        <f t="shared" si="188"/>
        <v>1.6918016515029816E-12</v>
      </c>
      <c r="GX198" s="22">
        <f t="shared" si="189"/>
        <v>3.1457867471021712E-12</v>
      </c>
      <c r="GY198" s="62">
        <f t="shared" si="201"/>
        <v>291.6746867285247</v>
      </c>
      <c r="GZ198" s="62">
        <f ca="1">AVERAGE(OFFSET($GY$3,0,0,'Données projet'!$E$18+1,1))-AVERAGE(OFFSET($H$3,0,0,'Données projet'!$E$18+1,1))</f>
        <v>329.93956600482801</v>
      </c>
      <c r="HA198" s="62">
        <f t="shared" si="213"/>
        <v>268.69186630599165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2.7450000000000001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10.065</v>
      </c>
      <c r="H199" s="70">
        <f t="shared" si="192"/>
        <v>216.40666666666667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69.555489237891862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-1.0286385077051818E-13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551.67307965706379</v>
      </c>
      <c r="T199" s="62">
        <f t="shared" si="204"/>
        <v>288.70738860523943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69.555489237891862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-9.5769792096689348E-14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518.18933270904506</v>
      </c>
      <c r="AO199" s="62">
        <f t="shared" si="205"/>
        <v>272.44431899810411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69.555489237891862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-9.7543306765146564E-14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464.73160475167867</v>
      </c>
      <c r="BJ199" s="62">
        <f t="shared" si="206"/>
        <v>241.31968359962227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69.555489237891862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2.2737367544323206E-13</v>
      </c>
      <c r="BZ199" s="14">
        <f>BY199*VLOOKUP('Données projet'!$B$12,Paramètres!$A$1:$I$89,3,0)*VLOOKUP('Données projet'!$B$12,Paramètres!$A$1:$I$89,5,0)</f>
        <v>1.4897523215040565E-13</v>
      </c>
      <c r="CA199" s="14">
        <f t="shared" si="170"/>
        <v>2.136562777003313E-12</v>
      </c>
      <c r="CB199" s="22">
        <f t="shared" si="171"/>
        <v>3.9806453659427267E-12</v>
      </c>
      <c r="CC199" s="62">
        <f t="shared" si="195"/>
        <v>291.70346053894082</v>
      </c>
      <c r="CD199" s="62">
        <f ca="1">AVERAGE(OFFSET($CC$3,0,0,'Données projet'!$E$12+1,1))-AVERAGE(OFFSET($H$3,0,0,'Données projet'!$E$12+1,1))</f>
        <v>292.13851489852607</v>
      </c>
      <c r="CE199" s="62">
        <f t="shared" si="207"/>
        <v>280.10866188737418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69.555489237891862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-1.1368683772161603E-13</v>
      </c>
      <c r="CU199" s="18">
        <f>CT199*VLOOKUP('Données projet'!$B$13,Paramètres!$A$1:$I$89,3,0)*VLOOKUP('Données projet'!$B$13,Paramètres!$A$1:$I$89,5,0)</f>
        <v>-9.2222762759774927E-14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265.25572936607409</v>
      </c>
      <c r="CZ199" s="62">
        <f t="shared" si="208"/>
        <v>307.96244316129071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69.555489237891862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5.6843418860808015E-14</v>
      </c>
      <c r="DP199" s="18">
        <f>DO199*VLOOKUP('Données projet'!$B$14,Paramètres!$A$1:$I$89,3,0)*VLOOKUP('Données projet'!$B$14,Paramètres!$A$1:$I$89,5,0)</f>
        <v>5.4092197387944907E-14</v>
      </c>
      <c r="DQ199" s="14">
        <f t="shared" si="176"/>
        <v>8.7287050538073676E-13</v>
      </c>
      <c r="DR199" s="22">
        <f t="shared" si="177"/>
        <v>1.6144600406554537E-12</v>
      </c>
      <c r="DS199" s="62">
        <f t="shared" si="197"/>
        <v>291.70346053893843</v>
      </c>
      <c r="DT199" s="62">
        <f ca="1">AVERAGE(OFFSET($DS$3,0,0,'Données projet'!$E$14+1,1))-AVERAGE(OFFSET($H$3,0,0,'Données projet'!$E$14+1,1))</f>
        <v>425.41154182732936</v>
      </c>
      <c r="DU199" s="62">
        <f t="shared" si="209"/>
        <v>306.44721925744591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69.555489237891862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-5.6843418860808015E-14</v>
      </c>
      <c r="EK199" s="18">
        <f>EJ199*VLOOKUP('Données projet'!$B$15,Paramètres!$A$1:$I$89,3,0)*VLOOKUP('Données projet'!$B$15,Paramètres!$A$1:$I$89,5,0)</f>
        <v>-4.1677594708744434E-14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357.57626046668958</v>
      </c>
      <c r="EP199" s="62">
        <f t="shared" si="210"/>
        <v>386.90439522046199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69.555489237891862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1.1368683772161603E-13</v>
      </c>
      <c r="FF199" s="18">
        <f>FE199*VLOOKUP('Données projet'!$B$16,Paramètres!$A$1:$I$89,3,0)*VLOOKUP('Données projet'!$B$16,Paramètres!$A$1:$I$89,5,0)</f>
        <v>8.8675733422860506E-14</v>
      </c>
      <c r="FG199" s="14">
        <f t="shared" si="182"/>
        <v>1.3509285393066301E-12</v>
      </c>
      <c r="FH199" s="22">
        <f t="shared" si="183"/>
        <v>2.5073107750038623E-12</v>
      </c>
      <c r="FI199" s="62">
        <f t="shared" si="199"/>
        <v>291.70346053893934</v>
      </c>
      <c r="FJ199" s="62">
        <f ca="1">AVERAGE(OFFSET($FI$3,0,0,'Données projet'!$E$16+1,1))-AVERAGE(OFFSET($H$3,0,0,'Données projet'!$E$16+1,1))</f>
        <v>303.56663121833833</v>
      </c>
      <c r="FK199" s="62">
        <f t="shared" si="211"/>
        <v>293.97736357938038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69.555489237891862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-5.6843418860808015E-14</v>
      </c>
      <c r="GA199" s="18">
        <f>FZ199*VLOOKUP('Données projet'!$B$17,Paramètres!$A$1:$I$89,3,0)*VLOOKUP('Données projet'!$B$17,Paramètres!$A$1:$I$89,5,0)</f>
        <v>-4.5224624045658861E-14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383.71724511025587</v>
      </c>
      <c r="GF199" s="62">
        <f t="shared" si="212"/>
        <v>415.10774719533185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69.555489237891862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1.7053025658242404E-13</v>
      </c>
      <c r="GV199" s="18">
        <f>GU199*VLOOKUP('Données projet'!$B$18,Paramètres!$A$1:$I$89,3,0)*VLOOKUP('Données projet'!$B$18,Paramètres!$A$1:$I$89,5,0)</f>
        <v>1.1439169611549005E-13</v>
      </c>
      <c r="GW199" s="14">
        <f t="shared" si="188"/>
        <v>1.6918016515029816E-12</v>
      </c>
      <c r="GX199" s="22">
        <f t="shared" si="189"/>
        <v>3.1457867471021712E-12</v>
      </c>
      <c r="GY199" s="62">
        <f t="shared" si="201"/>
        <v>291.70346053893996</v>
      </c>
      <c r="GZ199" s="62">
        <f ca="1">AVERAGE(OFFSET($GY$3,0,0,'Données projet'!$E$18+1,1))-AVERAGE(OFFSET($H$3,0,0,'Données projet'!$E$18+1,1))</f>
        <v>329.93956600482801</v>
      </c>
      <c r="HA199" s="62">
        <f t="shared" si="213"/>
        <v>268.69186630599165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2.7450000000000001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10.065</v>
      </c>
      <c r="H200" s="70">
        <f t="shared" si="192"/>
        <v>216.40666666666667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69.563200505837244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-1.0286385077051818E-13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551.67307965706379</v>
      </c>
      <c r="T200" s="62">
        <f t="shared" si="204"/>
        <v>288.70738860523943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69.563200505837244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-9.5769792096689348E-14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518.18933270904506</v>
      </c>
      <c r="AO200" s="62">
        <f t="shared" si="205"/>
        <v>272.44431899810411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69.563200505837244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-9.7543306765146564E-14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464.73160475167867</v>
      </c>
      <c r="BJ200" s="62">
        <f t="shared" si="206"/>
        <v>241.31968359962227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69.563200505837244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2.2737367544323206E-13</v>
      </c>
      <c r="BZ200" s="14">
        <f>BY200*VLOOKUP('Données projet'!$B$12,Paramètres!$A$1:$I$89,3,0)*VLOOKUP('Données projet'!$B$12,Paramètres!$A$1:$I$89,5,0)</f>
        <v>1.4897523215040565E-13</v>
      </c>
      <c r="CA200" s="14">
        <f t="shared" si="170"/>
        <v>2.136562777003313E-12</v>
      </c>
      <c r="CB200" s="22">
        <f t="shared" si="171"/>
        <v>3.9806453659427267E-12</v>
      </c>
      <c r="CC200" s="62">
        <f t="shared" si="195"/>
        <v>291.73173518807386</v>
      </c>
      <c r="CD200" s="62">
        <f ca="1">AVERAGE(OFFSET($CC$3,0,0,'Données projet'!$E$12+1,1))-AVERAGE(OFFSET($H$3,0,0,'Données projet'!$E$12+1,1))</f>
        <v>292.13851489852607</v>
      </c>
      <c r="CE200" s="62">
        <f t="shared" si="207"/>
        <v>280.10866188737418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69.563200505837244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-1.1368683772161603E-13</v>
      </c>
      <c r="CU200" s="18">
        <f>CT200*VLOOKUP('Données projet'!$B$13,Paramètres!$A$1:$I$89,3,0)*VLOOKUP('Données projet'!$B$13,Paramètres!$A$1:$I$89,5,0)</f>
        <v>-9.2222762759774927E-14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265.25572936607409</v>
      </c>
      <c r="CZ200" s="62">
        <f t="shared" si="208"/>
        <v>307.96244316129071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69.563200505837244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5.6843418860808015E-14</v>
      </c>
      <c r="DP200" s="18">
        <f>DO200*VLOOKUP('Données projet'!$B$14,Paramètres!$A$1:$I$89,3,0)*VLOOKUP('Données projet'!$B$14,Paramètres!$A$1:$I$89,5,0)</f>
        <v>5.4092197387944907E-14</v>
      </c>
      <c r="DQ200" s="14">
        <f t="shared" si="176"/>
        <v>8.7287050538073676E-13</v>
      </c>
      <c r="DR200" s="22">
        <f t="shared" si="177"/>
        <v>1.6144600406554537E-12</v>
      </c>
      <c r="DS200" s="62">
        <f t="shared" si="197"/>
        <v>291.73173518807147</v>
      </c>
      <c r="DT200" s="62">
        <f ca="1">AVERAGE(OFFSET($DS$3,0,0,'Données projet'!$E$14+1,1))-AVERAGE(OFFSET($H$3,0,0,'Données projet'!$E$14+1,1))</f>
        <v>425.41154182732936</v>
      </c>
      <c r="DU200" s="62">
        <f t="shared" si="209"/>
        <v>306.44721925744591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69.563200505837244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-5.6843418860808015E-14</v>
      </c>
      <c r="EK200" s="18">
        <f>EJ200*VLOOKUP('Données projet'!$B$15,Paramètres!$A$1:$I$89,3,0)*VLOOKUP('Données projet'!$B$15,Paramètres!$A$1:$I$89,5,0)</f>
        <v>-4.1677594708744434E-14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357.57626046668958</v>
      </c>
      <c r="EP200" s="62">
        <f t="shared" si="210"/>
        <v>386.90439522046199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69.563200505837244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1.1368683772161603E-13</v>
      </c>
      <c r="FF200" s="18">
        <f>FE200*VLOOKUP('Données projet'!$B$16,Paramètres!$A$1:$I$89,3,0)*VLOOKUP('Données projet'!$B$16,Paramètres!$A$1:$I$89,5,0)</f>
        <v>8.8675733422860506E-14</v>
      </c>
      <c r="FG200" s="14">
        <f t="shared" si="182"/>
        <v>1.3509285393066301E-12</v>
      </c>
      <c r="FH200" s="22">
        <f t="shared" si="183"/>
        <v>2.5073107750038623E-12</v>
      </c>
      <c r="FI200" s="62">
        <f t="shared" si="199"/>
        <v>291.73173518807238</v>
      </c>
      <c r="FJ200" s="62">
        <f ca="1">AVERAGE(OFFSET($FI$3,0,0,'Données projet'!$E$16+1,1))-AVERAGE(OFFSET($H$3,0,0,'Données projet'!$E$16+1,1))</f>
        <v>303.56663121833833</v>
      </c>
      <c r="FK200" s="62">
        <f t="shared" si="211"/>
        <v>293.97736357938038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69.563200505837244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-5.6843418860808015E-14</v>
      </c>
      <c r="GA200" s="18">
        <f>FZ200*VLOOKUP('Données projet'!$B$17,Paramètres!$A$1:$I$89,3,0)*VLOOKUP('Données projet'!$B$17,Paramètres!$A$1:$I$89,5,0)</f>
        <v>-4.5224624045658861E-14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383.71724511025587</v>
      </c>
      <c r="GF200" s="62">
        <f t="shared" si="212"/>
        <v>415.10774719533185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69.563200505837244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1.7053025658242404E-13</v>
      </c>
      <c r="GV200" s="18">
        <f>GU200*VLOOKUP('Données projet'!$B$18,Paramètres!$A$1:$I$89,3,0)*VLOOKUP('Données projet'!$B$18,Paramètres!$A$1:$I$89,5,0)</f>
        <v>1.1439169611549005E-13</v>
      </c>
      <c r="GW200" s="14">
        <f t="shared" si="188"/>
        <v>1.6918016515029816E-12</v>
      </c>
      <c r="GX200" s="22">
        <f t="shared" si="189"/>
        <v>3.1457867471021712E-12</v>
      </c>
      <c r="GY200" s="62">
        <f t="shared" si="201"/>
        <v>291.731735188073</v>
      </c>
      <c r="GZ200" s="62">
        <f ca="1">AVERAGE(OFFSET($GY$3,0,0,'Données projet'!$E$18+1,1))-AVERAGE(OFFSET($H$3,0,0,'Données projet'!$E$18+1,1))</f>
        <v>329.93956600482801</v>
      </c>
      <c r="HA200" s="62">
        <f t="shared" si="213"/>
        <v>268.69186630599165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2.7450000000000001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10.065</v>
      </c>
      <c r="H201" s="70">
        <f t="shared" si="192"/>
        <v>216.40666666666667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69.570778000523603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-1.0286385077051818E-13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551.67307965706379</v>
      </c>
      <c r="T201" s="62">
        <f t="shared" si="204"/>
        <v>288.70738860523943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69.570778000523603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-9.5769792096689348E-14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518.18933270904506</v>
      </c>
      <c r="AO201" s="62">
        <f t="shared" si="205"/>
        <v>272.44431899810411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69.570778000523603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-9.7543306765146564E-14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464.73160475167867</v>
      </c>
      <c r="BJ201" s="62">
        <f t="shared" si="206"/>
        <v>241.31968359962227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69.570778000523603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2.2737367544323206E-13</v>
      </c>
      <c r="BZ201" s="14">
        <f>BY201*VLOOKUP('Données projet'!$B$12,Paramètres!$A$1:$I$89,3,0)*VLOOKUP('Données projet'!$B$12,Paramètres!$A$1:$I$89,5,0)</f>
        <v>1.4897523215040565E-13</v>
      </c>
      <c r="CA201" s="14">
        <f t="shared" si="170"/>
        <v>2.136562777003313E-12</v>
      </c>
      <c r="CB201" s="22">
        <f t="shared" si="171"/>
        <v>3.9806453659427267E-12</v>
      </c>
      <c r="CC201" s="62">
        <f t="shared" si="195"/>
        <v>291.75951933525715</v>
      </c>
      <c r="CD201" s="62">
        <f ca="1">AVERAGE(OFFSET($CC$3,0,0,'Données projet'!$E$12+1,1))-AVERAGE(OFFSET($H$3,0,0,'Données projet'!$E$12+1,1))</f>
        <v>292.13851489852607</v>
      </c>
      <c r="CE201" s="62">
        <f t="shared" si="207"/>
        <v>280.10866188737418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69.570778000523603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-1.1368683772161603E-13</v>
      </c>
      <c r="CU201" s="18">
        <f>CT201*VLOOKUP('Données projet'!$B$13,Paramètres!$A$1:$I$89,3,0)*VLOOKUP('Données projet'!$B$13,Paramètres!$A$1:$I$89,5,0)</f>
        <v>-9.2222762759774927E-14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265.25572936607409</v>
      </c>
      <c r="CZ201" s="62">
        <f t="shared" si="208"/>
        <v>307.96244316129071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69.570778000523603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5.6843418860808015E-14</v>
      </c>
      <c r="DP201" s="18">
        <f>DO201*VLOOKUP('Données projet'!$B$14,Paramètres!$A$1:$I$89,3,0)*VLOOKUP('Données projet'!$B$14,Paramètres!$A$1:$I$89,5,0)</f>
        <v>5.4092197387944907E-14</v>
      </c>
      <c r="DQ201" s="14">
        <f t="shared" si="176"/>
        <v>8.7287050538073676E-13</v>
      </c>
      <c r="DR201" s="22">
        <f t="shared" si="177"/>
        <v>1.6144600406554537E-12</v>
      </c>
      <c r="DS201" s="62">
        <f t="shared" si="197"/>
        <v>291.75951933525477</v>
      </c>
      <c r="DT201" s="62">
        <f ca="1">AVERAGE(OFFSET($DS$3,0,0,'Données projet'!$E$14+1,1))-AVERAGE(OFFSET($H$3,0,0,'Données projet'!$E$14+1,1))</f>
        <v>425.41154182732936</v>
      </c>
      <c r="DU201" s="62">
        <f t="shared" si="209"/>
        <v>306.44721925744591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69.570778000523603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-5.6843418860808015E-14</v>
      </c>
      <c r="EK201" s="18">
        <f>EJ201*VLOOKUP('Données projet'!$B$15,Paramètres!$A$1:$I$89,3,0)*VLOOKUP('Données projet'!$B$15,Paramètres!$A$1:$I$89,5,0)</f>
        <v>-4.1677594708744434E-14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357.57626046668958</v>
      </c>
      <c r="EP201" s="62">
        <f t="shared" si="210"/>
        <v>386.90439522046199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69.570778000523603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1.1368683772161603E-13</v>
      </c>
      <c r="FF201" s="18">
        <f>FE201*VLOOKUP('Données projet'!$B$16,Paramètres!$A$1:$I$89,3,0)*VLOOKUP('Données projet'!$B$16,Paramètres!$A$1:$I$89,5,0)</f>
        <v>8.8675733422860506E-14</v>
      </c>
      <c r="FG201" s="14">
        <f t="shared" si="182"/>
        <v>1.3509285393066301E-12</v>
      </c>
      <c r="FH201" s="22">
        <f t="shared" si="183"/>
        <v>2.5073107750038623E-12</v>
      </c>
      <c r="FI201" s="62">
        <f t="shared" si="199"/>
        <v>291.75951933525567</v>
      </c>
      <c r="FJ201" s="62">
        <f ca="1">AVERAGE(OFFSET($FI$3,0,0,'Données projet'!$E$16+1,1))-AVERAGE(OFFSET($H$3,0,0,'Données projet'!$E$16+1,1))</f>
        <v>303.56663121833833</v>
      </c>
      <c r="FK201" s="62">
        <f t="shared" si="211"/>
        <v>293.97736357938038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69.570778000523603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-5.6843418860808015E-14</v>
      </c>
      <c r="GA201" s="18">
        <f>FZ201*VLOOKUP('Données projet'!$B$17,Paramètres!$A$1:$I$89,3,0)*VLOOKUP('Données projet'!$B$17,Paramètres!$A$1:$I$89,5,0)</f>
        <v>-4.5224624045658861E-14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383.71724511025587</v>
      </c>
      <c r="GF201" s="62">
        <f t="shared" si="212"/>
        <v>415.10774719533185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69.570778000523603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1.7053025658242404E-13</v>
      </c>
      <c r="GV201" s="18">
        <f>GU201*VLOOKUP('Données projet'!$B$18,Paramètres!$A$1:$I$89,3,0)*VLOOKUP('Données projet'!$B$18,Paramètres!$A$1:$I$89,5,0)</f>
        <v>1.1439169611549005E-13</v>
      </c>
      <c r="GW201" s="14">
        <f t="shared" si="188"/>
        <v>1.6918016515029816E-12</v>
      </c>
      <c r="GX201" s="22">
        <f t="shared" si="189"/>
        <v>3.1457867471021712E-12</v>
      </c>
      <c r="GY201" s="62">
        <f t="shared" si="201"/>
        <v>291.7595193352563</v>
      </c>
      <c r="GZ201" s="62">
        <f ca="1">AVERAGE(OFFSET($GY$3,0,0,'Données projet'!$E$18+1,1))-AVERAGE(OFFSET($H$3,0,0,'Données projet'!$E$18+1,1))</f>
        <v>329.93956600482801</v>
      </c>
      <c r="HA201" s="62">
        <f t="shared" si="213"/>
        <v>268.69186630599165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2.7450000000000001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10.065</v>
      </c>
      <c r="H202" s="70">
        <f t="shared" si="192"/>
        <v>216.40666666666667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69.578224042617876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-1.0286385077051818E-13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551.67307965706379</v>
      </c>
      <c r="T202" s="62">
        <f t="shared" si="204"/>
        <v>288.70738860523943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69.578224042617876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-9.5769792096689348E-14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518.18933270904506</v>
      </c>
      <c r="AO202" s="62">
        <f t="shared" si="205"/>
        <v>272.44431899810411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69.578224042617876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-9.7543306765146564E-14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464.73160475167867</v>
      </c>
      <c r="BJ202" s="62">
        <f t="shared" si="206"/>
        <v>241.31968359962227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69.578224042617876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2.2737367544323206E-13</v>
      </c>
      <c r="BZ202" s="14">
        <f>BY202*VLOOKUP('Données projet'!$B$12,Paramètres!$A$1:$I$89,3,0)*VLOOKUP('Données projet'!$B$12,Paramètres!$A$1:$I$89,5,0)</f>
        <v>1.4897523215040565E-13</v>
      </c>
      <c r="CA202" s="14">
        <f t="shared" si="170"/>
        <v>2.136562777003313E-12</v>
      </c>
      <c r="CB202" s="22">
        <f t="shared" si="171"/>
        <v>3.9806453659427267E-12</v>
      </c>
      <c r="CC202" s="62">
        <f t="shared" si="195"/>
        <v>291.78682148960286</v>
      </c>
      <c r="CD202" s="62">
        <f ca="1">AVERAGE(OFFSET($CC$3,0,0,'Données projet'!$E$12+1,1))-AVERAGE(OFFSET($H$3,0,0,'Données projet'!$E$12+1,1))</f>
        <v>292.13851489852607</v>
      </c>
      <c r="CE202" s="62">
        <f t="shared" si="207"/>
        <v>280.10866188737418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69.578224042617876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-1.1368683772161603E-13</v>
      </c>
      <c r="CU202" s="18">
        <f>CT202*VLOOKUP('Données projet'!$B$13,Paramètres!$A$1:$I$89,3,0)*VLOOKUP('Données projet'!$B$13,Paramètres!$A$1:$I$89,5,0)</f>
        <v>-9.2222762759774927E-14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265.25572936607409</v>
      </c>
      <c r="CZ202" s="62">
        <f t="shared" si="208"/>
        <v>307.96244316129071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69.578224042617876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5.6843418860808015E-14</v>
      </c>
      <c r="DP202" s="18">
        <f>DO202*VLOOKUP('Données projet'!$B$14,Paramètres!$A$1:$I$89,3,0)*VLOOKUP('Données projet'!$B$14,Paramètres!$A$1:$I$89,5,0)</f>
        <v>5.4092197387944907E-14</v>
      </c>
      <c r="DQ202" s="14">
        <f t="shared" si="176"/>
        <v>8.7287050538073676E-13</v>
      </c>
      <c r="DR202" s="22">
        <f t="shared" si="177"/>
        <v>1.6144600406554537E-12</v>
      </c>
      <c r="DS202" s="62">
        <f t="shared" si="197"/>
        <v>291.78682148960047</v>
      </c>
      <c r="DT202" s="62">
        <f ca="1">AVERAGE(OFFSET($DS$3,0,0,'Données projet'!$E$14+1,1))-AVERAGE(OFFSET($H$3,0,0,'Données projet'!$E$14+1,1))</f>
        <v>425.41154182732936</v>
      </c>
      <c r="DU202" s="62">
        <f t="shared" si="209"/>
        <v>306.44721925744591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69.578224042617876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-5.6843418860808015E-14</v>
      </c>
      <c r="EK202" s="18">
        <f>EJ202*VLOOKUP('Données projet'!$B$15,Paramètres!$A$1:$I$89,3,0)*VLOOKUP('Données projet'!$B$15,Paramètres!$A$1:$I$89,5,0)</f>
        <v>-4.1677594708744434E-14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357.57626046668958</v>
      </c>
      <c r="EP202" s="62">
        <f t="shared" si="210"/>
        <v>386.90439522046199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69.578224042617876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1.1368683772161603E-13</v>
      </c>
      <c r="FF202" s="18">
        <f>FE202*VLOOKUP('Données projet'!$B$16,Paramètres!$A$1:$I$89,3,0)*VLOOKUP('Données projet'!$B$16,Paramètres!$A$1:$I$89,5,0)</f>
        <v>8.8675733422860506E-14</v>
      </c>
      <c r="FG202" s="14">
        <f t="shared" si="182"/>
        <v>1.3509285393066301E-12</v>
      </c>
      <c r="FH202" s="22">
        <f t="shared" si="183"/>
        <v>2.5073107750038623E-12</v>
      </c>
      <c r="FI202" s="62">
        <f t="shared" si="199"/>
        <v>291.78682148960138</v>
      </c>
      <c r="FJ202" s="62">
        <f ca="1">AVERAGE(OFFSET($FI$3,0,0,'Données projet'!$E$16+1,1))-AVERAGE(OFFSET($H$3,0,0,'Données projet'!$E$16+1,1))</f>
        <v>303.56663121833833</v>
      </c>
      <c r="FK202" s="62">
        <f t="shared" si="211"/>
        <v>293.97736357938038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69.578224042617876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-5.6843418860808015E-14</v>
      </c>
      <c r="GA202" s="18">
        <f>FZ202*VLOOKUP('Données projet'!$B$17,Paramètres!$A$1:$I$89,3,0)*VLOOKUP('Données projet'!$B$17,Paramètres!$A$1:$I$89,5,0)</f>
        <v>-4.5224624045658861E-14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383.71724511025587</v>
      </c>
      <c r="GF202" s="62">
        <f t="shared" si="212"/>
        <v>415.10774719533185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69.578224042617876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1.7053025658242404E-13</v>
      </c>
      <c r="GV202" s="18">
        <f>GU202*VLOOKUP('Données projet'!$B$18,Paramètres!$A$1:$I$89,3,0)*VLOOKUP('Données projet'!$B$18,Paramètres!$A$1:$I$89,5,0)</f>
        <v>1.1439169611549005E-13</v>
      </c>
      <c r="GW202" s="14">
        <f t="shared" si="188"/>
        <v>1.6918016515029816E-12</v>
      </c>
      <c r="GX202" s="22">
        <f t="shared" si="189"/>
        <v>3.1457867471021712E-12</v>
      </c>
      <c r="GY202" s="62">
        <f t="shared" si="201"/>
        <v>291.786821489602</v>
      </c>
      <c r="GZ202" s="62">
        <f ca="1">AVERAGE(OFFSET($GY$3,0,0,'Données projet'!$E$18+1,1))-AVERAGE(OFFSET($H$3,0,0,'Données projet'!$E$18+1,1))</f>
        <v>329.93956600482801</v>
      </c>
      <c r="HA202" s="62">
        <f t="shared" si="213"/>
        <v>268.69186630599165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2.7450000000000001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56.275000000000006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10.065</v>
      </c>
      <c r="H203" s="70">
        <f t="shared" si="192"/>
        <v>216.40666666666667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69.585540912528685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-1.0286385077051818E-13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551.67307965706379</v>
      </c>
      <c r="T203" s="62">
        <f t="shared" si="204"/>
        <v>288.70738860523943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69.585540912528685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-9.5769792096689348E-14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518.18933270904506</v>
      </c>
      <c r="AO203" s="62">
        <f t="shared" si="205"/>
        <v>272.44431899810411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69.585540912528685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-9.7543306765146564E-14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464.73160475167867</v>
      </c>
      <c r="BJ203" s="62">
        <f t="shared" si="206"/>
        <v>241.31968359962227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69.585540912528685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2.2737367544323206E-13</v>
      </c>
      <c r="BZ203" s="14">
        <f>BY203*VLOOKUP('Données projet'!$B$12,Paramètres!$A$1:$I$89,3,0)*VLOOKUP('Données projet'!$B$12,Paramètres!$A$1:$I$89,5,0)</f>
        <v>1.4897523215040565E-13</v>
      </c>
      <c r="CA203" s="14">
        <f t="shared" si="170"/>
        <v>2.136562777003313E-12</v>
      </c>
      <c r="CB203" s="22">
        <f t="shared" si="171"/>
        <v>3.9806453659427267E-12</v>
      </c>
      <c r="CC203" s="62">
        <f t="shared" si="195"/>
        <v>291.81365001260917</v>
      </c>
      <c r="CD203" s="62">
        <f ca="1">AVERAGE(OFFSET($CC$3,0,0,'Données projet'!$E$12+1,1))-AVERAGE(OFFSET($H$3,0,0,'Données projet'!$E$12+1,1))</f>
        <v>292.13851489852607</v>
      </c>
      <c r="CE203" s="62">
        <f t="shared" si="207"/>
        <v>280.10866188737418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69.585540912528685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-1.1368683772161603E-13</v>
      </c>
      <c r="CU203" s="18">
        <f>CT203*VLOOKUP('Données projet'!$B$13,Paramètres!$A$1:$I$89,3,0)*VLOOKUP('Données projet'!$B$13,Paramètres!$A$1:$I$89,5,0)</f>
        <v>-9.2222762759774927E-14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265.25572936607409</v>
      </c>
      <c r="CZ203" s="62">
        <f t="shared" si="208"/>
        <v>307.96244316129071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69.585540912528685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5.6843418860808015E-14</v>
      </c>
      <c r="DP203" s="18">
        <f>DO203*VLOOKUP('Données projet'!$B$14,Paramètres!$A$1:$I$89,3,0)*VLOOKUP('Données projet'!$B$14,Paramètres!$A$1:$I$89,5,0)</f>
        <v>5.4092197387944907E-14</v>
      </c>
      <c r="DQ203" s="14">
        <f t="shared" si="176"/>
        <v>8.7287050538073676E-13</v>
      </c>
      <c r="DR203" s="22">
        <f t="shared" si="177"/>
        <v>1.6144600406554537E-12</v>
      </c>
      <c r="DS203" s="62">
        <f t="shared" si="197"/>
        <v>291.81365001260679</v>
      </c>
      <c r="DT203" s="62">
        <f ca="1">AVERAGE(OFFSET($DS$3,0,0,'Données projet'!$E$14+1,1))-AVERAGE(OFFSET($H$3,0,0,'Données projet'!$E$14+1,1))</f>
        <v>425.41154182732936</v>
      </c>
      <c r="DU203" s="62">
        <f t="shared" si="209"/>
        <v>306.44721925744591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69.585540912528685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-5.6843418860808015E-14</v>
      </c>
      <c r="EK203" s="18">
        <f>EJ203*VLOOKUP('Données projet'!$B$15,Paramètres!$A$1:$I$89,3,0)*VLOOKUP('Données projet'!$B$15,Paramètres!$A$1:$I$89,5,0)</f>
        <v>-4.1677594708744434E-14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357.57626046668958</v>
      </c>
      <c r="EP203" s="62">
        <f t="shared" si="210"/>
        <v>386.90439522046199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69.585540912528685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1.1368683772161603E-13</v>
      </c>
      <c r="FF203" s="18">
        <f>FE203*VLOOKUP('Données projet'!$B$16,Paramètres!$A$1:$I$89,3,0)*VLOOKUP('Données projet'!$B$16,Paramètres!$A$1:$I$89,5,0)</f>
        <v>8.8675733422860506E-14</v>
      </c>
      <c r="FG203" s="14">
        <f t="shared" si="182"/>
        <v>1.3509285393066301E-12</v>
      </c>
      <c r="FH203" s="22">
        <f t="shared" si="183"/>
        <v>2.5073107750038623E-12</v>
      </c>
      <c r="FI203" s="62">
        <f t="shared" si="199"/>
        <v>291.8136500126077</v>
      </c>
      <c r="FJ203" s="62">
        <f ca="1">AVERAGE(OFFSET($FI$3,0,0,'Données projet'!$E$16+1,1))-AVERAGE(OFFSET($H$3,0,0,'Données projet'!$E$16+1,1))</f>
        <v>303.56663121833833</v>
      </c>
      <c r="FK203" s="62">
        <f t="shared" si="211"/>
        <v>293.97736357938038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69.585540912528685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-5.6843418860808015E-14</v>
      </c>
      <c r="GA203" s="18">
        <f>FZ203*VLOOKUP('Données projet'!$B$17,Paramètres!$A$1:$I$89,3,0)*VLOOKUP('Données projet'!$B$17,Paramètres!$A$1:$I$89,5,0)</f>
        <v>-4.5224624045658861E-14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383.71724511025587</v>
      </c>
      <c r="GF203" s="62">
        <f t="shared" si="212"/>
        <v>415.10774719533185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69.585540912528685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1.7053025658242404E-13</v>
      </c>
      <c r="GV203" s="18">
        <f>GU203*VLOOKUP('Données projet'!$B$18,Paramètres!$A$1:$I$89,3,0)*VLOOKUP('Données projet'!$B$18,Paramètres!$A$1:$I$89,5,0)</f>
        <v>1.1439169611549005E-13</v>
      </c>
      <c r="GW203" s="14">
        <f t="shared" si="188"/>
        <v>1.6918016515029816E-12</v>
      </c>
      <c r="GX203" s="22">
        <f t="shared" si="189"/>
        <v>3.1457867471021712E-12</v>
      </c>
      <c r="GY203" s="62">
        <f t="shared" si="201"/>
        <v>291.81365001260832</v>
      </c>
      <c r="GZ203" s="62">
        <f ca="1">AVERAGE(OFFSET($GY$3,0,0,'Données projet'!$E$18+1,1))-AVERAGE(OFFSET($H$3,0,0,'Données projet'!$E$18+1,1))</f>
        <v>329.93956600482801</v>
      </c>
      <c r="HA203" s="62">
        <f t="shared" si="213"/>
        <v>268.69186630599165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1.1745459910013509</v>
      </c>
      <c r="BV205" s="88">
        <f>EXP(LN('Données projet'!B114)/'Données projet'!A114)</f>
        <v>1.2709816152101407</v>
      </c>
      <c r="CQ205" s="88">
        <f>EXP(LN('Données projet'!B140)/'Données projet'!A140)</f>
        <v>1.2457309396155174</v>
      </c>
      <c r="DL205" s="88">
        <f>EXP(LN('Données projet'!B166)/'Données projet'!A166)</f>
        <v>1.2934226882877784</v>
      </c>
      <c r="EG205" s="88">
        <f>EXP(LN('Données projet'!B192)/'Données projet'!A192)</f>
        <v>1.2721323532877689</v>
      </c>
      <c r="FB205" s="88">
        <f>EXP(LN('Données projet'!B218)/'Données projet'!A218)</f>
        <v>1.2788040393997409</v>
      </c>
      <c r="FW205" s="88">
        <f>EXP(LN('Données projet'!B244)/'Données projet'!A244)</f>
        <v>1.2721323532877689</v>
      </c>
      <c r="GR205" s="88">
        <f>EXP(LN('Données projet'!B270)/'Données projet'!A270)</f>
        <v>1.2979700365523266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6" zoomScaleNormal="96" workbookViewId="0">
      <selection activeCell="D6" sqref="D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0.93385600000000002</v>
      </c>
      <c r="C6" s="156">
        <f ca="1">IF(OR('Données projet'!B9="",'Données projet'!C9="",'Données projet'!C9=0%),0,Calculateur!S3)</f>
        <v>551.67307965706379</v>
      </c>
      <c r="D6" s="156">
        <f>IF(OR('Données projet'!B9="",'Données projet'!C9="",'Données projet'!C9=0%),0,Calculateur!T3)</f>
        <v>288.70738860523943</v>
      </c>
      <c r="E6" s="156">
        <f ca="1">MIN(C6,D6)</f>
        <v>288.70738860523943</v>
      </c>
      <c r="F6" s="156">
        <f ca="1">E6*B6</f>
        <v>269.61112709333446</v>
      </c>
      <c r="G6" s="156">
        <f ca="1">F6*(100%-'Données projet'!$C$24)*(100%-'Données projet'!$C$25)*(100%-'Données projet'!$C$26)*(100%-'Données projet'!$C$27)</f>
        <v>242.65001438400103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7.9377760000000004</v>
      </c>
      <c r="K6" s="160">
        <f>J6*(100%-'Données projet'!$C$24)*(100%-'Données projet'!$C$25)*(100%-'Données projet'!$C$26)*(100%-'Données projet'!$C$27)</f>
        <v>7.1439984000000001</v>
      </c>
      <c r="L6" s="161">
        <f ca="1">G6+I6+K6</f>
        <v>249.79401278400101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pédonculé</v>
      </c>
      <c r="B7" s="163">
        <f>'Données projet'!D10</f>
        <v>0.45138899999999998</v>
      </c>
      <c r="C7" s="156">
        <f ca="1">IF(OR('Données projet'!B10="",'Données projet'!C10="",'Données projet'!C10=0%),0,Calculateur!AN3)</f>
        <v>518.18933270904506</v>
      </c>
      <c r="D7" s="156">
        <f>IF(OR('Données projet'!B10="",'Données projet'!C10="",'Données projet'!C10=0%),0,Calculateur!AO3)</f>
        <v>272.44431899810411</v>
      </c>
      <c r="E7" s="156">
        <f t="shared" ref="E7:E15" ca="1" si="0">MIN(C7,D7)</f>
        <v>272.44431899810411</v>
      </c>
      <c r="F7" s="156">
        <f t="shared" ref="F7:F15" ca="1" si="1">E7*B7</f>
        <v>122.97836870823521</v>
      </c>
      <c r="G7" s="156">
        <f ca="1">F7*(100%-'Données projet'!$C$24)*(100%-'Données projet'!$C$25)*(100%-'Données projet'!$C$26)*(100%-'Données projet'!$C$27)</f>
        <v>110.68053183741169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3.8368064999999998</v>
      </c>
      <c r="K7" s="160">
        <f>J7*(100%-'Données projet'!$C$24)*(100%-'Données projet'!$C$25)*(100%-'Données projet'!$C$26)*(100%-'Données projet'!$C$27)</f>
        <v>3.4531258499999997</v>
      </c>
      <c r="L7" s="161">
        <f t="shared" ref="L7:L15" ca="1" si="2">G7+I7+K7</f>
        <v>114.1336576874117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Hêtre</v>
      </c>
      <c r="B8" s="163">
        <f>'Données projet'!D11</f>
        <v>0.40969900000000004</v>
      </c>
      <c r="C8" s="156">
        <f ca="1">IF(OR('Données projet'!B11="",'Données projet'!C11="",'Données projet'!C11=0%),0,Calculateur!BI3)</f>
        <v>464.73160475167867</v>
      </c>
      <c r="D8" s="156">
        <f>IF(OR('Données projet'!B11="",'Données projet'!C11="",'Données projet'!C11=0%),0,Calculateur!BJ3)</f>
        <v>241.31968359962227</v>
      </c>
      <c r="E8" s="156">
        <f t="shared" ca="1" si="0"/>
        <v>241.31968359962227</v>
      </c>
      <c r="F8" s="156">
        <f t="shared" ca="1" si="1"/>
        <v>98.868433051081652</v>
      </c>
      <c r="G8" s="156">
        <f ca="1">F8*(100%-'Données projet'!$C$24)*(100%-'Données projet'!$C$25)*(100%-'Données projet'!$C$26)*(100%-'Données projet'!$C$27)</f>
        <v>88.981589745973494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2.5606187500000002</v>
      </c>
      <c r="K8" s="160">
        <f>J8*(100%-'Données projet'!$C$24)*(100%-'Données projet'!$C$25)*(100%-'Données projet'!$C$26)*(100%-'Données projet'!$C$27)</f>
        <v>2.3045568750000003</v>
      </c>
      <c r="L8" s="161">
        <f t="shared" ca="1" si="2"/>
        <v>91.286146620973497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Aulne glutineux</v>
      </c>
      <c r="B9" s="163">
        <f>'Données projet'!D12</f>
        <v>0.37596799999999997</v>
      </c>
      <c r="C9" s="156">
        <f ca="1">IF(OR('Données projet'!B12="",'Données projet'!C12="",'Données projet'!C12=0%),0,Calculateur!CD3)</f>
        <v>292.13851489852607</v>
      </c>
      <c r="D9" s="156">
        <f>IF(OR('Données projet'!B12="",'Données projet'!C12="",'Données projet'!C12=0%),0,Calculateur!CE3)</f>
        <v>280.10866188737418</v>
      </c>
      <c r="E9" s="156">
        <f t="shared" ca="1" si="0"/>
        <v>280.10866188737418</v>
      </c>
      <c r="F9" s="156">
        <f t="shared" ca="1" si="1"/>
        <v>105.31189339247229</v>
      </c>
      <c r="G9" s="156">
        <f ca="1">F9*(100%-'Données projet'!$C$24)*(100%-'Données projet'!$C$25)*(100%-'Données projet'!$C$26)*(100%-'Données projet'!$C$27)</f>
        <v>94.780704053225065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3.3837119999999996</v>
      </c>
      <c r="K9" s="160">
        <f>J9*(100%-'Données projet'!$C$24)*(100%-'Données projet'!$C$25)*(100%-'Données projet'!$C$26)*(100%-'Données projet'!$C$27)</f>
        <v>3.0453407999999995</v>
      </c>
      <c r="L9" s="161">
        <f t="shared" ca="1" si="2"/>
        <v>97.826044853225071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Bouleau verruqueux</v>
      </c>
      <c r="B10" s="163">
        <f>'Données projet'!D13</f>
        <v>0.36004999999999998</v>
      </c>
      <c r="C10" s="156">
        <f ca="1">IF(OR('Données projet'!B13="",'Données projet'!C13="",'Données projet'!C13=0%),0,Calculateur!CY3)</f>
        <v>265.25572936607409</v>
      </c>
      <c r="D10" s="156">
        <f>IF(OR('Données projet'!B13="",'Données projet'!C13="",'Données projet'!C13=0%),0,Calculateur!CZ3)</f>
        <v>307.96244316129071</v>
      </c>
      <c r="E10" s="156">
        <f t="shared" ca="1" si="0"/>
        <v>265.25572936607409</v>
      </c>
      <c r="F10" s="156">
        <f t="shared" ca="1" si="1"/>
        <v>95.505325358254979</v>
      </c>
      <c r="G10" s="156">
        <f ca="1">F10*(100%-'Données projet'!$C$24)*(100%-'Données projet'!$C$25)*(100%-'Données projet'!$C$26)*(100%-'Données projet'!$C$27)</f>
        <v>85.954792822429482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3.6004999999999998</v>
      </c>
      <c r="K10" s="160">
        <f>J10*(100%-'Données projet'!$C$24)*(100%-'Données projet'!$C$25)*(100%-'Données projet'!$C$26)*(100%-'Données projet'!$C$27)</f>
        <v>3.2404500000000001</v>
      </c>
      <c r="L10" s="161">
        <f t="shared" ca="1" si="2"/>
        <v>89.195242822429478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Charme</v>
      </c>
      <c r="B11" s="163">
        <f>'Données projet'!D14</f>
        <v>0.36004999999999998</v>
      </c>
      <c r="C11" s="156">
        <f ca="1">IF(OR('Données projet'!B14="",'Données projet'!C14="",'Données projet'!C14=0%),0,Calculateur!DT3)</f>
        <v>425.41154182732936</v>
      </c>
      <c r="D11" s="156">
        <f>IF(OR('Données projet'!B14="",'Données projet'!C14="",'Données projet'!C14=0%),0,Calculateur!DU3)</f>
        <v>306.44721925744591</v>
      </c>
      <c r="E11" s="156">
        <f t="shared" ca="1" si="0"/>
        <v>306.44721925744591</v>
      </c>
      <c r="F11" s="156">
        <f t="shared" ca="1" si="1"/>
        <v>110.33632129364339</v>
      </c>
      <c r="G11" s="156">
        <f ca="1">F11*(100%-'Données projet'!$C$24)*(100%-'Données projet'!$C$25)*(100%-'Données projet'!$C$26)*(100%-'Données projet'!$C$27)</f>
        <v>99.302689164279059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3.2312179487179487</v>
      </c>
      <c r="K11" s="160">
        <f>J11*(100%-'Données projet'!$C$24)*(100%-'Données projet'!$C$25)*(100%-'Données projet'!$C$26)*(100%-'Données projet'!$C$27)</f>
        <v>2.9080961538461541</v>
      </c>
      <c r="L11" s="161">
        <f t="shared" ca="1" si="2"/>
        <v>102.21078531812522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Châtaignier</v>
      </c>
      <c r="B12" s="163">
        <f>'Données projet'!D15</f>
        <v>0.32101299999999999</v>
      </c>
      <c r="C12" s="156">
        <f ca="1">IF(OR('Données projet'!B15="",'Données projet'!C15="",'Données projet'!C15=0%),0,Calculateur!EO3)</f>
        <v>357.57626046668958</v>
      </c>
      <c r="D12" s="156">
        <f>IF(OR('Données projet'!B15="",'Données projet'!C15="",'Données projet'!C15=0%),0,Calculateur!EP3)</f>
        <v>386.90439522046199</v>
      </c>
      <c r="E12" s="156">
        <f t="shared" ca="1" si="0"/>
        <v>357.57626046668958</v>
      </c>
      <c r="F12" s="156">
        <f t="shared" ca="1" si="1"/>
        <v>114.78662810119341</v>
      </c>
      <c r="G12" s="156">
        <f ca="1">F12*(100%-'Données projet'!$C$24)*(100%-'Données projet'!$C$25)*(100%-'Données projet'!$C$26)*(100%-'Données projet'!$C$27)</f>
        <v>103.30796529107407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10.954568625</v>
      </c>
      <c r="K12" s="160">
        <f>J12*(100%-'Données projet'!$C$24)*(100%-'Données projet'!$C$25)*(100%-'Données projet'!$C$26)*(100%-'Données projet'!$C$27)</f>
        <v>9.8591117625000013</v>
      </c>
      <c r="L12" s="161">
        <f t="shared" ca="1" si="2"/>
        <v>113.16707705357408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Merisier</v>
      </c>
      <c r="B13" s="163">
        <f>'Données projet'!D16</f>
        <v>0.20579700000000001</v>
      </c>
      <c r="C13" s="156">
        <f ca="1">IF(OR('Données projet'!B16="",'Données projet'!C16="",'Données projet'!C16=0%),0,Calculateur!FJ3)</f>
        <v>303.56663121833833</v>
      </c>
      <c r="D13" s="156">
        <f>IF(OR('Données projet'!B16="",'Données projet'!C16="",'Données projet'!C16=0%),0,Calculateur!FK3)</f>
        <v>293.97736357938038</v>
      </c>
      <c r="E13" s="156">
        <f t="shared" ca="1" si="0"/>
        <v>293.97736357938038</v>
      </c>
      <c r="F13" s="156">
        <f t="shared" ca="1" si="1"/>
        <v>60.499659492545746</v>
      </c>
      <c r="G13" s="156">
        <f ca="1">F13*(100%-'Données projet'!$C$24)*(100%-'Données projet'!$C$25)*(100%-'Données projet'!$C$26)*(100%-'Données projet'!$C$27)</f>
        <v>54.449693543291176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2.82970875</v>
      </c>
      <c r="K13" s="160">
        <f>J13*(100%-'Données projet'!$C$24)*(100%-'Données projet'!$C$25)*(100%-'Données projet'!$C$26)*(100%-'Données projet'!$C$27)</f>
        <v>2.5467378750000003</v>
      </c>
      <c r="L13" s="161">
        <f t="shared" ca="1" si="2"/>
        <v>56.996431418291174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>Erable sycomore</v>
      </c>
      <c r="B14" s="163">
        <f>'Données projet'!D17</f>
        <v>0.205039</v>
      </c>
      <c r="C14" s="156">
        <f ca="1">IF(OR('Données projet'!B17="",'Données projet'!C17="",'Données projet'!C17=0%),0,Calculateur!GE3)</f>
        <v>383.71724511025587</v>
      </c>
      <c r="D14" s="156">
        <f>IF(OR('Données projet'!B17="",'Données projet'!C17="",'Données projet'!C17=0%),0,Calculateur!GF3)</f>
        <v>415.10774719533185</v>
      </c>
      <c r="E14" s="156">
        <f t="shared" ca="1" si="0"/>
        <v>383.71724511025587</v>
      </c>
      <c r="F14" s="156">
        <f t="shared" ca="1" si="1"/>
        <v>78.677000220161759</v>
      </c>
      <c r="G14" s="156">
        <f ca="1">F14*(100%-'Données projet'!$C$24)*(100%-'Données projet'!$C$25)*(100%-'Données projet'!$C$26)*(100%-'Données projet'!$C$27)</f>
        <v>70.809300198145579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6.9969558750000003</v>
      </c>
      <c r="K14" s="160">
        <f>J14*(100%-'Données projet'!$C$24)*(100%-'Données projet'!$C$25)*(100%-'Données projet'!$C$26)*(100%-'Données projet'!$C$27)</f>
        <v>6.2972602875000003</v>
      </c>
      <c r="L14" s="161">
        <f t="shared" ca="1" si="2"/>
        <v>77.106560485645574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>Tilleul</v>
      </c>
      <c r="B15" s="166">
        <f>'Données projet'!D18</f>
        <v>0.148947</v>
      </c>
      <c r="C15" s="167">
        <f ca="1">IF(OR('Données projet'!B18="",'Données projet'!C18="",'Données projet'!C18=0%),0,Calculateur!GZ3)</f>
        <v>329.93956600482801</v>
      </c>
      <c r="D15" s="167">
        <f>IF(OR('Données projet'!B18="",'Données projet'!C18="",'Données projet'!C18=0%),0,Calculateur!HA3)</f>
        <v>268.69186630599165</v>
      </c>
      <c r="E15" s="167">
        <f t="shared" ca="1" si="0"/>
        <v>268.69186630599165</v>
      </c>
      <c r="F15" s="168">
        <f t="shared" ca="1" si="1"/>
        <v>40.020847410678535</v>
      </c>
      <c r="G15" s="168">
        <f ca="1">F15*(100%-'Données projet'!$C$24)*(100%-'Données projet'!$C$25)*(100%-'Données projet'!$C$26)*(100%-'Données projet'!$C$27)</f>
        <v>36.01876266961068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2.1244043269230768</v>
      </c>
      <c r="K15" s="172">
        <f>J15*(100%-'Données projet'!$C$24)*(100%-'Données projet'!$C$25)*(100%-'Données projet'!$C$26)*(100%-'Données projet'!$C$27)</f>
        <v>1.9119638942307691</v>
      </c>
      <c r="L15" s="173">
        <f t="shared" ca="1" si="2"/>
        <v>37.930726563841446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5"/>
      <c r="B16" s="232"/>
      <c r="C16" s="233"/>
      <c r="D16" s="25"/>
      <c r="E16" s="25"/>
      <c r="F16" s="174">
        <f t="shared" ref="F16:L16" ca="1" si="3">SUM(F6:F15)</f>
        <v>1096.5956041216014</v>
      </c>
      <c r="G16" s="175">
        <f t="shared" ca="1" si="3"/>
        <v>986.93604370944126</v>
      </c>
      <c r="H16" s="176">
        <f t="shared" si="3"/>
        <v>0</v>
      </c>
      <c r="I16" s="176">
        <f t="shared" si="3"/>
        <v>0</v>
      </c>
      <c r="J16" s="177">
        <f t="shared" si="3"/>
        <v>47.456268775641021</v>
      </c>
      <c r="K16" s="177">
        <f t="shared" si="3"/>
        <v>42.710641898076922</v>
      </c>
      <c r="L16" s="178">
        <f t="shared" ca="1" si="3"/>
        <v>1029.6466856075183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pédonculé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Hêtre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Aulne glutineux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Bouleau verruqueux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Charme</v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Châtaignier</v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Merisier</v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>Erable sycomore</v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>Tilleul</v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I22" zoomScale="90" zoomScaleNormal="9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5" t="s">
        <v>315</v>
      </c>
      <c r="I4" s="325"/>
      <c r="K4" s="322" t="s">
        <v>253</v>
      </c>
      <c r="L4" s="323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3" t="s">
        <v>310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858.81620207483456</v>
      </c>
      <c r="U10" s="190">
        <f>'Données projet'!D9</f>
        <v>0.93385600000000002</v>
      </c>
      <c r="V10" s="189">
        <f>U10*T10</f>
        <v>802.01066320479674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Chêne pédonculé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745.68779920433803</v>
      </c>
      <c r="U11" s="190">
        <f>'Données projet'!D10</f>
        <v>0.45138899999999998</v>
      </c>
      <c r="V11" s="189">
        <f t="shared" ref="V11" si="0">U11*T11</f>
        <v>336.59526999504692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Hêtre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1225.1437350061908</v>
      </c>
      <c r="U12" s="190">
        <f>'Données projet'!D11</f>
        <v>0.40969900000000004</v>
      </c>
      <c r="V12" s="189">
        <f t="shared" ref="V12:V19" si="1">U12*T12</f>
        <v>501.9401630883014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>Aulne glutineux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664.20516109476398</v>
      </c>
      <c r="U13" s="190">
        <f>'Données projet'!D12</f>
        <v>0.37596799999999997</v>
      </c>
      <c r="V13" s="189">
        <f t="shared" si="1"/>
        <v>249.7198860064762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>Bouleau verruqueux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1058.1242928653537</v>
      </c>
      <c r="U14" s="190">
        <f>'Données projet'!D13</f>
        <v>0.36004999999999998</v>
      </c>
      <c r="V14" s="189">
        <f t="shared" si="1"/>
        <v>380.97765164617056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0"/>
      <c r="G15" s="326" t="s">
        <v>318</v>
      </c>
      <c r="H15" s="203">
        <v>0</v>
      </c>
      <c r="I15" s="204">
        <v>0</v>
      </c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>Charme</v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509.58934385645489</v>
      </c>
      <c r="U15" s="190">
        <f>'Données projet'!D14</f>
        <v>0.36004999999999998</v>
      </c>
      <c r="V15" s="189">
        <f t="shared" si="1"/>
        <v>183.47764325551657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6"/>
      <c r="H16" s="203"/>
      <c r="I16" s="204"/>
      <c r="J16" s="215"/>
      <c r="K16" s="224"/>
      <c r="L16" s="322" t="s">
        <v>254</v>
      </c>
      <c r="M16" s="323"/>
      <c r="N16" s="2"/>
      <c r="O16" s="25"/>
      <c r="P16" s="25"/>
      <c r="Q16" s="264"/>
      <c r="R16" s="25"/>
      <c r="S16" s="185" t="str">
        <f>B200</f>
        <v>Châtaignier</v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2094.3643226198092</v>
      </c>
      <c r="U16" s="190">
        <f>'Données projet'!D15</f>
        <v>0.32101299999999999</v>
      </c>
      <c r="V16" s="189">
        <f t="shared" si="1"/>
        <v>672.31817429715284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26"/>
      <c r="J17" s="215"/>
      <c r="K17" s="224"/>
      <c r="L17" s="293" t="s">
        <v>289</v>
      </c>
      <c r="M17" s="295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>Merisier</v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2391.8740279249419</v>
      </c>
      <c r="U17" s="190">
        <f>'Données projet'!D16</f>
        <v>0.20579700000000001</v>
      </c>
      <c r="V17" s="189">
        <f t="shared" si="1"/>
        <v>492.24049932486929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26"/>
      <c r="J18" s="215"/>
      <c r="K18" s="224"/>
      <c r="L18" s="293" t="s">
        <v>255</v>
      </c>
      <c r="M18" s="295"/>
      <c r="N18" s="205"/>
      <c r="O18" s="25"/>
      <c r="P18" s="25"/>
      <c r="Q18" s="264"/>
      <c r="R18" s="25"/>
      <c r="S18" s="185" t="str">
        <f>B262</f>
        <v>Erable sycomore</v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2094.3643226198092</v>
      </c>
      <c r="U18" s="190">
        <f>'Données projet'!D17</f>
        <v>0.205039</v>
      </c>
      <c r="V18" s="189">
        <f t="shared" si="1"/>
        <v>429.42636634564303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26"/>
      <c r="H19" s="231" t="s">
        <v>178</v>
      </c>
      <c r="I19" s="231" t="s">
        <v>287</v>
      </c>
      <c r="J19" s="259"/>
      <c r="K19" s="183"/>
      <c r="L19" s="322" t="s">
        <v>288</v>
      </c>
      <c r="M19" s="323"/>
      <c r="N19" s="191">
        <f>N17*N18</f>
        <v>0</v>
      </c>
      <c r="O19" s="25"/>
      <c r="P19" s="5"/>
      <c r="Q19" s="265"/>
      <c r="R19" s="5"/>
      <c r="S19" s="185" t="str">
        <f>B293</f>
        <v>Tilleul</v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485.42313709472717</v>
      </c>
      <c r="U19" s="190">
        <f>'Données projet'!D18</f>
        <v>0.148947</v>
      </c>
      <c r="V19" s="189">
        <f t="shared" si="1"/>
        <v>72.302320000848326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26"/>
      <c r="H20" s="203">
        <v>0</v>
      </c>
      <c r="I20" s="204">
        <v>7599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/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/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0"/>
      <c r="H23" s="203"/>
      <c r="I23" s="204"/>
      <c r="K23" s="224"/>
      <c r="L23" s="324" t="s">
        <v>260</v>
      </c>
      <c r="M23" s="324"/>
      <c r="N23" s="324"/>
      <c r="O23" s="25"/>
      <c r="P23" s="25"/>
      <c r="Q23" s="264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-24679.201362835178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34</v>
      </c>
      <c r="C24" s="206">
        <v>10</v>
      </c>
      <c r="D24" s="194">
        <f t="shared" ref="D24:D42" si="2">B24*C24</f>
        <v>340</v>
      </c>
      <c r="E24" s="206"/>
      <c r="F24" s="263"/>
      <c r="H24" s="203"/>
      <c r="I24" s="204"/>
      <c r="K24" s="224"/>
      <c r="O24" s="25"/>
      <c r="P24" s="25"/>
      <c r="Q24" s="264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26242.593127936045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0</v>
      </c>
      <c r="C25" s="206"/>
      <c r="D25" s="194">
        <f t="shared" si="2"/>
        <v>0</v>
      </c>
      <c r="E25" s="206"/>
      <c r="F25" s="263"/>
      <c r="G25" s="1"/>
      <c r="H25" s="203"/>
      <c r="I25" s="204"/>
      <c r="K25" s="224"/>
      <c r="L25" s="270" t="s">
        <v>285</v>
      </c>
      <c r="M25" s="270"/>
      <c r="N25" s="270"/>
      <c r="O25" s="270"/>
      <c r="P25" s="205">
        <v>320</v>
      </c>
      <c r="Q25" s="264"/>
      <c r="R25" s="25"/>
      <c r="S25" s="198" t="s">
        <v>266</v>
      </c>
      <c r="T25" s="340">
        <f ca="1">T23-T24</f>
        <v>-50921.794490771223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56</v>
      </c>
      <c r="C26" s="206">
        <v>10</v>
      </c>
      <c r="D26" s="194">
        <f t="shared" si="2"/>
        <v>560</v>
      </c>
      <c r="E26" s="206"/>
      <c r="F26" s="263"/>
      <c r="G26" s="258"/>
      <c r="H26" s="203"/>
      <c r="I26" s="204"/>
      <c r="K26" s="224"/>
      <c r="L26" s="327" t="s">
        <v>258</v>
      </c>
      <c r="M26" s="328"/>
      <c r="N26" s="328"/>
      <c r="O26" s="328"/>
      <c r="P26" s="329"/>
      <c r="Q26" s="264"/>
      <c r="R26" s="25"/>
      <c r="S26" s="198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0</v>
      </c>
      <c r="C27" s="206"/>
      <c r="D27" s="194">
        <f t="shared" si="2"/>
        <v>0</v>
      </c>
      <c r="E27" s="206"/>
      <c r="F27" s="263"/>
      <c r="G27" s="258"/>
      <c r="H27" s="203"/>
      <c r="I27" s="204"/>
      <c r="K27" s="224"/>
      <c r="L27" s="330"/>
      <c r="M27" s="331"/>
      <c r="N27" s="331"/>
      <c r="O27" s="331"/>
      <c r="P27" s="332"/>
      <c r="Q27" s="264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56</v>
      </c>
      <c r="C28" s="206">
        <v>10</v>
      </c>
      <c r="D28" s="194">
        <f t="shared" si="2"/>
        <v>560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0</v>
      </c>
      <c r="C29" s="206"/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56</v>
      </c>
      <c r="C30" s="206">
        <v>20</v>
      </c>
      <c r="D30" s="194">
        <f t="shared" si="2"/>
        <v>1120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6924.1670522258692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0</v>
      </c>
      <c r="C31" s="206"/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56</v>
      </c>
      <c r="C32" s="206">
        <v>30</v>
      </c>
      <c r="D32" s="194">
        <f t="shared" si="2"/>
        <v>1680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0</v>
      </c>
      <c r="C33" s="206"/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320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56</v>
      </c>
      <c r="C34" s="206">
        <v>40</v>
      </c>
      <c r="D34" s="194">
        <f t="shared" si="2"/>
        <v>2240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306.22009569377991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0</v>
      </c>
      <c r="C35" s="206"/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293.03358439596167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84</v>
      </c>
      <c r="C36" s="206">
        <v>50</v>
      </c>
      <c r="D36" s="194">
        <f t="shared" si="2"/>
        <v>4200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280.41491329757099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100</v>
      </c>
      <c r="B37" s="193">
        <f>'Données projet'!D50</f>
        <v>0</v>
      </c>
      <c r="C37" s="206"/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268.33962994982875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110</v>
      </c>
      <c r="B38" s="193">
        <f>'Données projet'!D51</f>
        <v>106</v>
      </c>
      <c r="C38" s="206">
        <v>70</v>
      </c>
      <c r="D38" s="194">
        <f t="shared" si="2"/>
        <v>7420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256.78433488021892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120</v>
      </c>
      <c r="B39" s="193">
        <f>'Données projet'!D52</f>
        <v>0</v>
      </c>
      <c r="C39" s="206"/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245.72663624901338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130</v>
      </c>
      <c r="B40" s="193">
        <f>'Données projet'!D53</f>
        <v>91</v>
      </c>
      <c r="C40" s="206">
        <v>100</v>
      </c>
      <c r="D40" s="194">
        <f t="shared" si="2"/>
        <v>9100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235.14510645838598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140</v>
      </c>
      <c r="B41" s="193">
        <f>'Données projet'!D54</f>
        <v>0</v>
      </c>
      <c r="C41" s="206"/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225.01924063003452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150</v>
      </c>
      <c r="B42" s="193">
        <f>'Données projet'!D55</f>
        <v>376</v>
      </c>
      <c r="C42" s="206">
        <v>200</v>
      </c>
      <c r="D42" s="194">
        <f t="shared" si="2"/>
        <v>75200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215.32941687084644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206.05685824961384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197.18359641111374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pédonculé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188.69243675704666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180.56692512636045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172.79131591039283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165.35054154104574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158.2301832928668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151.41644334245626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144.89611803105865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138.65657227852503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132.68571509906707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126.97197617135602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34</v>
      </c>
      <c r="C55" s="206">
        <v>10</v>
      </c>
      <c r="D55" s="191">
        <f t="shared" ref="D55:D73" si="4">B55*C55</f>
        <v>340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121.50428341756562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0</v>
      </c>
      <c r="C56" s="206"/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116.27204154790967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56</v>
      </c>
      <c r="C57" s="206">
        <v>10</v>
      </c>
      <c r="D57" s="191">
        <f t="shared" si="4"/>
        <v>560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111.26511152910018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0</v>
      </c>
      <c r="C58" s="206"/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106.47379093693799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56</v>
      </c>
      <c r="C59" s="206">
        <v>10</v>
      </c>
      <c r="D59" s="191">
        <f t="shared" si="4"/>
        <v>560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101.88879515496461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0</v>
      </c>
      <c r="C60" s="206"/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97.501239382741247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56</v>
      </c>
      <c r="C61" s="206">
        <v>20</v>
      </c>
      <c r="D61" s="191">
        <f t="shared" si="4"/>
        <v>1120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93.302621418891164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0</v>
      </c>
      <c r="C62" s="206"/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89.284805185541771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56</v>
      </c>
      <c r="C63" s="206">
        <v>30</v>
      </c>
      <c r="D63" s="191">
        <f t="shared" si="4"/>
        <v>1680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85.440004962240963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0</v>
      </c>
      <c r="C64" s="206"/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81.760770298795165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56</v>
      </c>
      <c r="C65" s="206">
        <v>40</v>
      </c>
      <c r="D65" s="191">
        <f t="shared" si="4"/>
        <v>2240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78.239971577794449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0</v>
      </c>
      <c r="C66" s="206"/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74.870786198846375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84</v>
      </c>
      <c r="C67" s="206">
        <v>50</v>
      </c>
      <c r="D67" s="191">
        <f t="shared" si="4"/>
        <v>4200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71.646685357747742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100</v>
      </c>
      <c r="B68" s="193">
        <f>'Données projet'!D76</f>
        <v>0</v>
      </c>
      <c r="C68" s="206"/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68.56142139497392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110</v>
      </c>
      <c r="B69" s="193">
        <f>'Données projet'!D77</f>
        <v>106</v>
      </c>
      <c r="C69" s="206">
        <v>70</v>
      </c>
      <c r="D69" s="191">
        <f t="shared" si="4"/>
        <v>7420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65.60901568897026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120</v>
      </c>
      <c r="B70" s="193">
        <f>'Données projet'!D78</f>
        <v>0</v>
      </c>
      <c r="C70" s="206"/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62.783747070784948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130</v>
      </c>
      <c r="B71" s="193">
        <f>'Données projet'!D79</f>
        <v>91</v>
      </c>
      <c r="C71" s="206">
        <v>100</v>
      </c>
      <c r="D71" s="191">
        <f t="shared" si="4"/>
        <v>9100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60.080140737593261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140</v>
      </c>
      <c r="B72" s="193">
        <f>'Données projet'!D80</f>
        <v>0</v>
      </c>
      <c r="C72" s="206"/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57.492957643629914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150</v>
      </c>
      <c r="B73" s="193">
        <f>'Données projet'!D81</f>
        <v>376</v>
      </c>
      <c r="C73" s="206">
        <v>200</v>
      </c>
      <c r="D73" s="191">
        <f t="shared" si="4"/>
        <v>75200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55.017184347971224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52.648023299494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50.380883540185657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Hêtre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48.211371808790098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46.135284027550341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44.148597155550561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42.247461392871365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40.428192720451058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38.687265761197203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37.021306948514074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35.42708798900869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33.901519606706877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27</v>
      </c>
      <c r="B85" s="193">
        <f>'Données projet'!D88</f>
        <v>12</v>
      </c>
      <c r="C85" s="204">
        <v>10</v>
      </c>
      <c r="D85" s="191">
        <f>B85*C85</f>
        <v>120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32.441645556657306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13</v>
      </c>
      <c r="C86" s="204">
        <v>10</v>
      </c>
      <c r="D86" s="191">
        <f t="shared" ref="D86:D104" si="6">B86*C86</f>
        <v>130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31.044636896322782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36</v>
      </c>
      <c r="B87" s="193">
        <f>'Données projet'!D90</f>
        <v>60</v>
      </c>
      <c r="C87" s="204">
        <v>10</v>
      </c>
      <c r="D87" s="191">
        <f t="shared" si="6"/>
        <v>600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29.707786503658177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42</v>
      </c>
      <c r="B88" s="193">
        <f>'Données projet'!D91</f>
        <v>59</v>
      </c>
      <c r="C88" s="204">
        <v>15</v>
      </c>
      <c r="D88" s="191">
        <f t="shared" si="6"/>
        <v>885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28.428503831251838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48</v>
      </c>
      <c r="B89" s="193">
        <f>'Données projet'!D92</f>
        <v>63</v>
      </c>
      <c r="C89" s="204">
        <v>15</v>
      </c>
      <c r="D89" s="191">
        <f t="shared" si="6"/>
        <v>945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27.204309886365401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54</v>
      </c>
      <c r="B90" s="193">
        <f>'Données projet'!D93</f>
        <v>64</v>
      </c>
      <c r="C90" s="204">
        <v>20</v>
      </c>
      <c r="D90" s="191">
        <f t="shared" si="6"/>
        <v>1280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26.03283242714393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60</v>
      </c>
      <c r="B91" s="193">
        <f>'Données projet'!D94</f>
        <v>61</v>
      </c>
      <c r="C91" s="204">
        <v>25</v>
      </c>
      <c r="D91" s="191">
        <f t="shared" si="6"/>
        <v>1525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24.911801365687975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69</v>
      </c>
      <c r="B92" s="193">
        <f>'Données projet'!D95</f>
        <v>84</v>
      </c>
      <c r="C92" s="204">
        <v>30</v>
      </c>
      <c r="D92" s="191">
        <f t="shared" si="6"/>
        <v>2520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23.839044369079403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78</v>
      </c>
      <c r="B93" s="193">
        <f>'Données projet'!D96</f>
        <v>39</v>
      </c>
      <c r="C93" s="204">
        <v>40</v>
      </c>
      <c r="D93" s="191">
        <f t="shared" si="6"/>
        <v>1560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22.812482649836753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84</v>
      </c>
      <c r="B94" s="193">
        <f>'Données projet'!D97</f>
        <v>0</v>
      </c>
      <c r="C94" s="204"/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90</v>
      </c>
      <c r="B95" s="193">
        <f>'Données projet'!D98</f>
        <v>0</v>
      </c>
      <c r="C95" s="204"/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96</v>
      </c>
      <c r="B96" s="193">
        <f>'Données projet'!D99</f>
        <v>0</v>
      </c>
      <c r="C96" s="204"/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99</v>
      </c>
      <c r="B97" s="193">
        <f>'Données projet'!D100</f>
        <v>591</v>
      </c>
      <c r="C97" s="204">
        <v>50</v>
      </c>
      <c r="D97" s="191">
        <f t="shared" si="6"/>
        <v>29550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Aulne glutineux</v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10</v>
      </c>
      <c r="B116" s="193">
        <f>'Données projet'!D114</f>
        <v>0</v>
      </c>
      <c r="C116" s="204"/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15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20</v>
      </c>
      <c r="B118" s="193">
        <f>'Données projet'!D116</f>
        <v>0</v>
      </c>
      <c r="C118" s="206"/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25</v>
      </c>
      <c r="B119" s="193">
        <f>'Données projet'!D117</f>
        <v>36</v>
      </c>
      <c r="C119" s="206">
        <v>10</v>
      </c>
      <c r="D119" s="191">
        <f t="shared" si="8"/>
        <v>360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30</v>
      </c>
      <c r="B120" s="193">
        <f>'Données projet'!D118</f>
        <v>0</v>
      </c>
      <c r="C120" s="206"/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35</v>
      </c>
      <c r="B121" s="193">
        <f>'Données projet'!D119</f>
        <v>48</v>
      </c>
      <c r="C121" s="206">
        <v>10</v>
      </c>
      <c r="D121" s="191">
        <f t="shared" si="8"/>
        <v>480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0</v>
      </c>
      <c r="C122" s="206"/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45</v>
      </c>
      <c r="B123" s="193">
        <f>'Données projet'!D121</f>
        <v>50</v>
      </c>
      <c r="C123" s="206">
        <v>15</v>
      </c>
      <c r="D123" s="191">
        <f t="shared" si="8"/>
        <v>750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50</v>
      </c>
      <c r="B124" s="193">
        <f>'Données projet'!D122</f>
        <v>0</v>
      </c>
      <c r="C124" s="206"/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55</v>
      </c>
      <c r="B125" s="193">
        <f>'Données projet'!D123</f>
        <v>47</v>
      </c>
      <c r="C125" s="206">
        <v>20</v>
      </c>
      <c r="D125" s="191">
        <f t="shared" si="8"/>
        <v>940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60</v>
      </c>
      <c r="B126" s="193">
        <f>'Données projet'!D124</f>
        <v>0</v>
      </c>
      <c r="C126" s="206"/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65</v>
      </c>
      <c r="B127" s="193">
        <f>'Données projet'!D125</f>
        <v>42</v>
      </c>
      <c r="C127" s="204">
        <v>25</v>
      </c>
      <c r="D127" s="191">
        <f t="shared" si="8"/>
        <v>1050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70</v>
      </c>
      <c r="B128" s="193">
        <f>'Données projet'!D126</f>
        <v>0</v>
      </c>
      <c r="C128" s="204"/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75</v>
      </c>
      <c r="B129" s="193">
        <f>'Données projet'!D127</f>
        <v>37</v>
      </c>
      <c r="C129" s="204">
        <v>25</v>
      </c>
      <c r="D129" s="191">
        <f t="shared" si="8"/>
        <v>925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80</v>
      </c>
      <c r="B130" s="193">
        <f>'Données projet'!D128</f>
        <v>0</v>
      </c>
      <c r="C130" s="204"/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85</v>
      </c>
      <c r="B131" s="193">
        <f>'Données projet'!D129</f>
        <v>0</v>
      </c>
      <c r="C131" s="204"/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90</v>
      </c>
      <c r="B132" s="193">
        <f>'Données projet'!D130</f>
        <v>281</v>
      </c>
      <c r="C132" s="204">
        <v>30</v>
      </c>
      <c r="D132" s="191">
        <f t="shared" si="8"/>
        <v>8430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Bouleau verruqueux</v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10</v>
      </c>
      <c r="B147" s="187">
        <f>'Données projet'!D140</f>
        <v>0</v>
      </c>
      <c r="C147" s="204"/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15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20</v>
      </c>
      <c r="B149" s="187">
        <f>'Données projet'!D142</f>
        <v>40</v>
      </c>
      <c r="C149" s="206">
        <v>10</v>
      </c>
      <c r="D149" s="194">
        <f t="shared" si="10"/>
        <v>400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25</v>
      </c>
      <c r="B150" s="187">
        <f>'Données projet'!D143</f>
        <v>0</v>
      </c>
      <c r="C150" s="206"/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30</v>
      </c>
      <c r="B151" s="187">
        <f>'Données projet'!D144</f>
        <v>0</v>
      </c>
      <c r="C151" s="206"/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35</v>
      </c>
      <c r="B152" s="187">
        <f>'Données projet'!D145</f>
        <v>76</v>
      </c>
      <c r="C152" s="206">
        <v>15</v>
      </c>
      <c r="D152" s="194">
        <f t="shared" si="10"/>
        <v>1140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40</v>
      </c>
      <c r="B153" s="187">
        <f>'Données projet'!D146</f>
        <v>0</v>
      </c>
      <c r="C153" s="206"/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45</v>
      </c>
      <c r="B154" s="187">
        <f>'Données projet'!D147</f>
        <v>0</v>
      </c>
      <c r="C154" s="206"/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50</v>
      </c>
      <c r="B155" s="187">
        <f>'Données projet'!D148</f>
        <v>0</v>
      </c>
      <c r="C155" s="206"/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55</v>
      </c>
      <c r="B156" s="187">
        <f>'Données projet'!D149</f>
        <v>0</v>
      </c>
      <c r="C156" s="206"/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60</v>
      </c>
      <c r="B157" s="187">
        <f>'Données projet'!D150</f>
        <v>303</v>
      </c>
      <c r="C157" s="206">
        <v>30</v>
      </c>
      <c r="D157" s="194">
        <f t="shared" si="10"/>
        <v>9090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6"/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6"/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6"/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6"/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6"/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6"/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6"/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6"/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6"/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Charme</v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15</v>
      </c>
      <c r="B178" s="193">
        <f>'Données projet'!D166</f>
        <v>0</v>
      </c>
      <c r="C178" s="206"/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25</v>
      </c>
      <c r="B180" s="193">
        <f>'Données projet'!D168</f>
        <v>35.897435897435898</v>
      </c>
      <c r="C180" s="204">
        <v>10</v>
      </c>
      <c r="D180" s="191">
        <f t="shared" si="11"/>
        <v>358.97435897435901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30</v>
      </c>
      <c r="B181" s="193">
        <f>'Données projet'!D169</f>
        <v>0</v>
      </c>
      <c r="C181" s="204"/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35</v>
      </c>
      <c r="B182" s="193">
        <f>'Données projet'!D170</f>
        <v>33.333333333333336</v>
      </c>
      <c r="C182" s="204">
        <v>10</v>
      </c>
      <c r="D182" s="191">
        <f t="shared" si="11"/>
        <v>333.33333333333337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40</v>
      </c>
      <c r="B183" s="193">
        <f>'Données projet'!D171</f>
        <v>0</v>
      </c>
      <c r="C183" s="204"/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45</v>
      </c>
      <c r="B184" s="193">
        <f>'Données projet'!D172</f>
        <v>34.615384615384613</v>
      </c>
      <c r="C184" s="204">
        <v>15</v>
      </c>
      <c r="D184" s="191">
        <f t="shared" si="11"/>
        <v>519.23076923076917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50</v>
      </c>
      <c r="B185" s="193">
        <f>'Données projet'!D173</f>
        <v>0</v>
      </c>
      <c r="C185" s="204"/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55</v>
      </c>
      <c r="B186" s="193">
        <f>'Données projet'!D174</f>
        <v>34.615384615384613</v>
      </c>
      <c r="C186" s="204">
        <v>20</v>
      </c>
      <c r="D186" s="191">
        <f t="shared" si="11"/>
        <v>692.30769230769226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60</v>
      </c>
      <c r="B187" s="193">
        <f>'Données projet'!D175</f>
        <v>0</v>
      </c>
      <c r="C187" s="204"/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65</v>
      </c>
      <c r="B188" s="193">
        <f>'Données projet'!D176</f>
        <v>32.692307692307693</v>
      </c>
      <c r="C188" s="204">
        <v>20</v>
      </c>
      <c r="D188" s="191">
        <f t="shared" si="11"/>
        <v>653.84615384615381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70</v>
      </c>
      <c r="B189" s="193">
        <f>'Données projet'!D177</f>
        <v>0</v>
      </c>
      <c r="C189" s="204"/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75</v>
      </c>
      <c r="B190" s="193">
        <f>'Données projet'!D178</f>
        <v>30.769230769230766</v>
      </c>
      <c r="C190" s="204">
        <v>25</v>
      </c>
      <c r="D190" s="191">
        <f t="shared" si="11"/>
        <v>769.23076923076917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80</v>
      </c>
      <c r="B191" s="193">
        <f>'Données projet'!D179</f>
        <v>0</v>
      </c>
      <c r="C191" s="204"/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85</v>
      </c>
      <c r="B192" s="193">
        <f>'Données projet'!D180</f>
        <v>28.846153846153847</v>
      </c>
      <c r="C192" s="204">
        <v>30</v>
      </c>
      <c r="D192" s="191">
        <f t="shared" si="11"/>
        <v>865.38461538461536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90</v>
      </c>
      <c r="B193" s="193">
        <f>'Données projet'!D181</f>
        <v>0</v>
      </c>
      <c r="C193" s="206"/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95</v>
      </c>
      <c r="B194" s="193">
        <f>'Données projet'!D182</f>
        <v>27.564102564102562</v>
      </c>
      <c r="C194" s="206">
        <v>35</v>
      </c>
      <c r="D194" s="191">
        <f t="shared" si="11"/>
        <v>964.74358974358972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100</v>
      </c>
      <c r="B195" s="193">
        <f>'Données projet'!D183</f>
        <v>0</v>
      </c>
      <c r="C195" s="206"/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110</v>
      </c>
      <c r="B196" s="193">
        <f>'Données projet'!D184</f>
        <v>37.820512820512818</v>
      </c>
      <c r="C196" s="206">
        <v>40</v>
      </c>
      <c r="D196" s="191">
        <f t="shared" si="11"/>
        <v>1512.8205128205127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120</v>
      </c>
      <c r="B197" s="193">
        <f>'Données projet'!D185</f>
        <v>285.89743589743591</v>
      </c>
      <c r="C197" s="206">
        <v>50</v>
      </c>
      <c r="D197" s="191">
        <f t="shared" si="11"/>
        <v>14294.871794871795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Châtaignier</v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10</v>
      </c>
      <c r="B209" s="193">
        <f>'Données projet'!D192</f>
        <v>0</v>
      </c>
      <c r="C209" s="206"/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15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20</v>
      </c>
      <c r="B211" s="193">
        <f>'Données projet'!D194</f>
        <v>66.5</v>
      </c>
      <c r="C211" s="206">
        <v>10</v>
      </c>
      <c r="D211" s="191">
        <f t="shared" si="12"/>
        <v>665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25</v>
      </c>
      <c r="B212" s="193">
        <f>'Données projet'!D195</f>
        <v>0</v>
      </c>
      <c r="C212" s="206"/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30</v>
      </c>
      <c r="B213" s="193">
        <f>'Données projet'!D196</f>
        <v>70</v>
      </c>
      <c r="C213" s="206">
        <v>15</v>
      </c>
      <c r="D213" s="191">
        <f t="shared" si="12"/>
        <v>1050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35</v>
      </c>
      <c r="B214" s="193">
        <f>'Données projet'!D197</f>
        <v>0</v>
      </c>
      <c r="C214" s="206"/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40</v>
      </c>
      <c r="B215" s="193">
        <f>'Données projet'!D198</f>
        <v>70</v>
      </c>
      <c r="C215" s="206">
        <v>20</v>
      </c>
      <c r="D215" s="191">
        <f t="shared" si="12"/>
        <v>1400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45</v>
      </c>
      <c r="B216" s="193">
        <f>'Données projet'!D199</f>
        <v>0</v>
      </c>
      <c r="C216" s="206"/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50</v>
      </c>
      <c r="B217" s="193">
        <f>'Données projet'!D200</f>
        <v>43.099999999999994</v>
      </c>
      <c r="C217" s="206">
        <v>30</v>
      </c>
      <c r="D217" s="191">
        <f t="shared" si="12"/>
        <v>1292.9999999999998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55</v>
      </c>
      <c r="B218" s="193">
        <f>'Données projet'!D201</f>
        <v>0</v>
      </c>
      <c r="C218" s="206"/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60</v>
      </c>
      <c r="B219" s="193">
        <f>'Données projet'!D202</f>
        <v>30.2</v>
      </c>
      <c r="C219" s="206">
        <v>40</v>
      </c>
      <c r="D219" s="191">
        <f t="shared" si="12"/>
        <v>1208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65</v>
      </c>
      <c r="B220" s="193">
        <f>'Données projet'!D203</f>
        <v>0</v>
      </c>
      <c r="C220" s="206"/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70</v>
      </c>
      <c r="B221" s="193">
        <f>'Données projet'!D204</f>
        <v>25.9</v>
      </c>
      <c r="C221" s="206">
        <v>50</v>
      </c>
      <c r="D221" s="191">
        <f t="shared" si="12"/>
        <v>1295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75</v>
      </c>
      <c r="B222" s="193">
        <f>'Données projet'!D205</f>
        <v>0</v>
      </c>
      <c r="C222" s="206"/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80</v>
      </c>
      <c r="B223" s="193">
        <f>'Données projet'!D206</f>
        <v>341.3</v>
      </c>
      <c r="C223" s="206">
        <v>100</v>
      </c>
      <c r="D223" s="191">
        <f t="shared" si="12"/>
        <v>34130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Merisier</v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9">
        <v>5</v>
      </c>
      <c r="B239" s="212" t="s">
        <v>132</v>
      </c>
      <c r="C239" s="211"/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15</v>
      </c>
      <c r="B240" s="193">
        <f>'Données projet'!D218</f>
        <v>0</v>
      </c>
      <c r="C240" s="206"/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20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25</v>
      </c>
      <c r="B242" s="193">
        <f>'Données projet'!D220</f>
        <v>55</v>
      </c>
      <c r="C242" s="204">
        <v>10</v>
      </c>
      <c r="D242" s="191">
        <f t="shared" si="13"/>
        <v>550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31</v>
      </c>
      <c r="B243" s="193">
        <f>'Données projet'!D221</f>
        <v>36</v>
      </c>
      <c r="C243" s="204">
        <v>10</v>
      </c>
      <c r="D243" s="191">
        <f t="shared" si="13"/>
        <v>360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37</v>
      </c>
      <c r="B244" s="193">
        <f>'Données projet'!D222</f>
        <v>36</v>
      </c>
      <c r="C244" s="204">
        <v>15</v>
      </c>
      <c r="D244" s="191">
        <f t="shared" si="13"/>
        <v>540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44</v>
      </c>
      <c r="B245" s="193">
        <f>'Données projet'!D223</f>
        <v>43</v>
      </c>
      <c r="C245" s="204">
        <v>20</v>
      </c>
      <c r="D245" s="191">
        <f t="shared" si="13"/>
        <v>860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52</v>
      </c>
      <c r="B246" s="193">
        <f>'Données projet'!D224</f>
        <v>48</v>
      </c>
      <c r="C246" s="204">
        <v>30</v>
      </c>
      <c r="D246" s="191">
        <f t="shared" si="13"/>
        <v>1440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60</v>
      </c>
      <c r="B247" s="193">
        <f>'Données projet'!D225</f>
        <v>47</v>
      </c>
      <c r="C247" s="204">
        <v>50</v>
      </c>
      <c r="D247" s="191">
        <f t="shared" si="13"/>
        <v>2350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69</v>
      </c>
      <c r="B248" s="193">
        <f>'Données projet'!D226</f>
        <v>328</v>
      </c>
      <c r="C248" s="204">
        <v>100</v>
      </c>
      <c r="D248" s="191">
        <f t="shared" si="13"/>
        <v>32800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4"/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4"/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4"/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4"/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4"/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4"/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>Erable sycomore</v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10</v>
      </c>
      <c r="B271" s="193">
        <f>'Données projet'!D244</f>
        <v>0</v>
      </c>
      <c r="C271" s="206"/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15</v>
      </c>
      <c r="B272" s="193">
        <f>'Données projet'!D245</f>
        <v>0</v>
      </c>
      <c r="C272" s="204"/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20</v>
      </c>
      <c r="B273" s="193">
        <f>'Données projet'!D246</f>
        <v>66.5</v>
      </c>
      <c r="C273" s="204">
        <v>10</v>
      </c>
      <c r="D273" s="191">
        <f t="shared" si="14"/>
        <v>665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25</v>
      </c>
      <c r="B274" s="193">
        <f>'Données projet'!D247</f>
        <v>0</v>
      </c>
      <c r="C274" s="204"/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30</v>
      </c>
      <c r="B275" s="193">
        <f>'Données projet'!D248</f>
        <v>70</v>
      </c>
      <c r="C275" s="204">
        <v>15</v>
      </c>
      <c r="D275" s="191">
        <f t="shared" si="14"/>
        <v>1050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35</v>
      </c>
      <c r="B276" s="193">
        <f>'Données projet'!D249</f>
        <v>0</v>
      </c>
      <c r="C276" s="204"/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40</v>
      </c>
      <c r="B277" s="193">
        <f>'Données projet'!D250</f>
        <v>70</v>
      </c>
      <c r="C277" s="204">
        <v>20</v>
      </c>
      <c r="D277" s="191">
        <f t="shared" si="14"/>
        <v>1400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45</v>
      </c>
      <c r="B278" s="193">
        <f>'Données projet'!D251</f>
        <v>0</v>
      </c>
      <c r="C278" s="204"/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50</v>
      </c>
      <c r="B279" s="193">
        <f>'Données projet'!D252</f>
        <v>43.099999999999994</v>
      </c>
      <c r="C279" s="204">
        <v>30</v>
      </c>
      <c r="D279" s="191">
        <f t="shared" si="14"/>
        <v>1292.9999999999998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55</v>
      </c>
      <c r="B280" s="193">
        <f>'Données projet'!D253</f>
        <v>0</v>
      </c>
      <c r="C280" s="204"/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60</v>
      </c>
      <c r="B281" s="193">
        <f>'Données projet'!D254</f>
        <v>30.2</v>
      </c>
      <c r="C281" s="204">
        <v>40</v>
      </c>
      <c r="D281" s="191">
        <f t="shared" si="14"/>
        <v>1208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65</v>
      </c>
      <c r="B282" s="193">
        <f>'Données projet'!D255</f>
        <v>0</v>
      </c>
      <c r="C282" s="204"/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70</v>
      </c>
      <c r="B283" s="193">
        <f>'Données projet'!D256</f>
        <v>25.9</v>
      </c>
      <c r="C283" s="204">
        <v>50</v>
      </c>
      <c r="D283" s="191">
        <f t="shared" si="14"/>
        <v>1295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75</v>
      </c>
      <c r="B284" s="193">
        <f>'Données projet'!D257</f>
        <v>0</v>
      </c>
      <c r="C284" s="204"/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80</v>
      </c>
      <c r="B285" s="193">
        <f>'Données projet'!D258</f>
        <v>341.3</v>
      </c>
      <c r="C285" s="206">
        <v>100</v>
      </c>
      <c r="D285" s="191">
        <f t="shared" si="14"/>
        <v>34130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>Tilleul</v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15</v>
      </c>
      <c r="B302" s="193">
        <f>'Données projet'!D270</f>
        <v>0</v>
      </c>
      <c r="C302" s="204"/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20</v>
      </c>
      <c r="B303" s="193">
        <f>'Données projet'!D271</f>
        <v>24.358974358974358</v>
      </c>
      <c r="C303" s="206">
        <v>10</v>
      </c>
      <c r="D303" s="194">
        <f t="shared" ref="D303:D321" si="15">B303*C303</f>
        <v>243.58974358974359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25</v>
      </c>
      <c r="B304" s="193">
        <f>'Données projet'!D272</f>
        <v>0</v>
      </c>
      <c r="C304" s="206"/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30</v>
      </c>
      <c r="B305" s="193">
        <f>'Données projet'!D273</f>
        <v>32.692307692307693</v>
      </c>
      <c r="C305" s="206">
        <v>10</v>
      </c>
      <c r="D305" s="194">
        <f t="shared" si="15"/>
        <v>326.92307692307691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35</v>
      </c>
      <c r="B306" s="193">
        <f>'Données projet'!D274</f>
        <v>0</v>
      </c>
      <c r="C306" s="206"/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40</v>
      </c>
      <c r="B307" s="193">
        <f>'Données projet'!D275</f>
        <v>34.615384615384613</v>
      </c>
      <c r="C307" s="206">
        <v>10</v>
      </c>
      <c r="D307" s="194">
        <f t="shared" si="15"/>
        <v>346.15384615384613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45</v>
      </c>
      <c r="B308" s="193">
        <f>'Données projet'!D276</f>
        <v>0</v>
      </c>
      <c r="C308" s="206"/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50</v>
      </c>
      <c r="B309" s="193">
        <f>'Données projet'!D277</f>
        <v>32.692307692307693</v>
      </c>
      <c r="C309" s="206">
        <v>15</v>
      </c>
      <c r="D309" s="194">
        <f t="shared" si="15"/>
        <v>490.38461538461542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55</v>
      </c>
      <c r="B310" s="193">
        <f>'Données projet'!D278</f>
        <v>0</v>
      </c>
      <c r="C310" s="206"/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60</v>
      </c>
      <c r="B311" s="193">
        <f>'Données projet'!D279</f>
        <v>30.128205128205128</v>
      </c>
      <c r="C311" s="206">
        <v>20</v>
      </c>
      <c r="D311" s="194">
        <f t="shared" si="15"/>
        <v>602.56410256410254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65</v>
      </c>
      <c r="B312" s="193">
        <f>'Données projet'!D280</f>
        <v>0</v>
      </c>
      <c r="C312" s="206"/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70</v>
      </c>
      <c r="B313" s="193">
        <f>'Données projet'!D281</f>
        <v>27.564102564102562</v>
      </c>
      <c r="C313" s="206">
        <v>30</v>
      </c>
      <c r="D313" s="194">
        <f t="shared" si="15"/>
        <v>826.92307692307691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75</v>
      </c>
      <c r="B314" s="193">
        <f>'Données projet'!D282</f>
        <v>0</v>
      </c>
      <c r="C314" s="206"/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80</v>
      </c>
      <c r="B315" s="193">
        <f>'Données projet'!D283</f>
        <v>26.282051282051281</v>
      </c>
      <c r="C315" s="206">
        <v>30</v>
      </c>
      <c r="D315" s="194">
        <f t="shared" si="15"/>
        <v>788.46153846153845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85</v>
      </c>
      <c r="B316" s="193">
        <f>'Données projet'!D284</f>
        <v>0</v>
      </c>
      <c r="C316" s="206"/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90</v>
      </c>
      <c r="B317" s="193">
        <f>'Données projet'!D285</f>
        <v>24.358974358974358</v>
      </c>
      <c r="C317" s="206">
        <v>40</v>
      </c>
      <c r="D317" s="194">
        <f t="shared" si="15"/>
        <v>974.35897435897436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95</v>
      </c>
      <c r="B318" s="193">
        <f>'Données projet'!D286</f>
        <v>0</v>
      </c>
      <c r="C318" s="206"/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100</v>
      </c>
      <c r="B319" s="193">
        <f>'Données projet'!D287</f>
        <v>22.435897435897434</v>
      </c>
      <c r="C319" s="206">
        <v>40</v>
      </c>
      <c r="D319" s="194">
        <f t="shared" si="15"/>
        <v>897.43589743589735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105</v>
      </c>
      <c r="B320" s="193">
        <f>'Données projet'!D288</f>
        <v>0</v>
      </c>
      <c r="C320" s="206"/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110</v>
      </c>
      <c r="B321" s="193">
        <f>'Données projet'!D289</f>
        <v>317.94871794871796</v>
      </c>
      <c r="C321" s="206">
        <v>60</v>
      </c>
      <c r="D321" s="194">
        <f t="shared" si="15"/>
        <v>19076.923076923078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2022-09-22T07:36:01Z</dcterms:modified>
</cp:coreProperties>
</file>