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operativecarbone17.sharepoint.com/sites/CooperativeCarbone/Documents partages/03 - PROJETS/PROJETS CAPTATION CARBONE/Projets LBC/Projets forestiers/ACCLENA et CRPF/2022 Boisement Sainte-Ouenne/DDP/"/>
    </mc:Choice>
  </mc:AlternateContent>
  <xr:revisionPtr revIDLastSave="0" documentId="8_{713471A8-2C96-41B4-A6F9-70D2017C2F0A}" xr6:coauthVersionLast="47" xr6:coauthVersionMax="47" xr10:uidLastSave="{00000000-0000-0000-0000-000000000000}"/>
  <bookViews>
    <workbookView xWindow="28680" yWindow="-120" windowWidth="29040" windowHeight="15840" tabRatio="730" firstSheet="1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1" i="1" l="1"/>
  <c r="E17" i="6" l="1"/>
  <c r="E203" i="6"/>
  <c r="E265" i="6"/>
  <c r="E234" i="6"/>
  <c r="E172" i="6"/>
  <c r="E141" i="6"/>
  <c r="E110" i="6"/>
  <c r="E79" i="6"/>
  <c r="E48" i="6"/>
  <c r="I20" i="6"/>
  <c r="B120" i="1"/>
  <c r="B101" i="1" l="1"/>
  <c r="D100" i="1"/>
  <c r="B100" i="1"/>
  <c r="B99" i="1"/>
  <c r="D98" i="1"/>
  <c r="B98" i="1"/>
  <c r="B97" i="1"/>
  <c r="D96" i="1"/>
  <c r="B96" i="1"/>
  <c r="B95" i="1"/>
  <c r="D94" i="1"/>
  <c r="B94" i="1"/>
  <c r="B93" i="1"/>
  <c r="D92" i="1"/>
  <c r="B92" i="1"/>
  <c r="D90" i="1"/>
  <c r="B90" i="1"/>
  <c r="B89" i="1"/>
  <c r="B88" i="1"/>
  <c r="B119" i="1" l="1"/>
  <c r="B118" i="1"/>
  <c r="B117" i="1"/>
  <c r="B116" i="1"/>
  <c r="B115" i="1"/>
  <c r="B114" i="1"/>
  <c r="B219" i="1" l="1"/>
  <c r="D226" i="1"/>
  <c r="D219" i="1"/>
  <c r="D148" i="1" l="1"/>
  <c r="D142" i="1"/>
  <c r="B142" i="1"/>
  <c r="B141" i="1"/>
  <c r="D75" i="1" l="1"/>
  <c r="D73" i="1"/>
  <c r="D71" i="1"/>
  <c r="D69" i="1"/>
  <c r="D67" i="1"/>
  <c r="D65" i="1"/>
  <c r="D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Q4" i="2"/>
  <c r="FR4" i="2"/>
  <c r="BR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A7" i="2"/>
  <c r="EV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EB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X18" i="2"/>
  <c r="EA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HG20" i="2"/>
  <c r="EV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W22" i="2"/>
  <c r="EC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HG28" i="2"/>
  <c r="EC28" i="2"/>
  <c r="EV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B33" i="2"/>
  <c r="EW33" i="2"/>
  <c r="EV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CM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A38" i="2"/>
  <c r="HH38" i="2"/>
  <c r="EX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A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B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EV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C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EW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C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HI85" i="2"/>
  <c r="HG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HH105" i="2"/>
  <c r="EV105" i="2"/>
  <c r="EB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B113" i="2"/>
  <c r="HI113" i="2"/>
  <c r="EX113" i="2"/>
  <c r="EW113" i="2"/>
  <c r="FS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HH122" i="2"/>
  <c r="EW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EA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B128" i="2"/>
  <c r="EX128" i="2"/>
  <c r="FS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EW130" i="2"/>
  <c r="FS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EW139" i="2"/>
  <c r="FS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HG140" i="2"/>
  <c r="EB140" i="2"/>
  <c r="EC140" i="2"/>
  <c r="EX140" i="2"/>
  <c r="FS140" i="2"/>
  <c r="FR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A141" i="2"/>
  <c r="EB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HH144" i="2"/>
  <c r="EA144" i="2"/>
  <c r="EX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HG146" i="2"/>
  <c r="EA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HI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DI154" i="2"/>
  <c r="HH155" i="2"/>
  <c r="HG155" i="2"/>
  <c r="ED154" i="2"/>
  <c r="EX155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HG156" i="2"/>
  <c r="DH156" i="2"/>
  <c r="HH156" i="2"/>
  <c r="AB156" i="2"/>
  <c r="EX156" i="2"/>
  <c r="FS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C157" i="2"/>
  <c r="EB157" i="2"/>
  <c r="CN156" i="2"/>
  <c r="EX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HH159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EY159" i="2"/>
  <c r="HI160" i="2"/>
  <c r="HG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AB161" i="2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D161" i="2"/>
  <c r="EC162" i="2"/>
  <c r="HH162" i="2"/>
  <c r="EB162" i="2"/>
  <c r="EW162" i="2"/>
  <c r="EY161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HI163" i="2"/>
  <c r="HG163" i="2"/>
  <c r="ED162" i="2"/>
  <c r="HH163" i="2"/>
  <c r="EY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H164" i="2" l="1"/>
  <c r="ED163" i="2"/>
  <c r="HH164" i="2"/>
  <c r="HG164" i="2"/>
  <c r="EY163" i="2"/>
  <c r="EX164" i="2"/>
  <c r="EV164" i="2"/>
  <c r="EA164" i="2"/>
  <c r="FR164" i="2"/>
  <c r="FS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G165" i="2"/>
  <c r="EX165" i="2"/>
  <c r="HH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HG166" i="2"/>
  <c r="HJ166" i="2" s="1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DG167" i="2"/>
  <c r="HH167" i="2"/>
  <c r="HI167" i="2"/>
  <c r="EC167" i="2"/>
  <c r="EX167" i="2"/>
  <c r="FR167" i="2"/>
  <c r="EA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H168" i="2"/>
  <c r="EB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H169" i="2"/>
  <c r="EY168" i="2"/>
  <c r="EB169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V172" i="2"/>
  <c r="EA172" i="2"/>
  <c r="HI172" i="2"/>
  <c r="EY171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W173" i="2"/>
  <c r="EB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AA175" i="2"/>
  <c r="ED174" i="2"/>
  <c r="EW175" i="2"/>
  <c r="EB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EC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HH178" i="2"/>
  <c r="EW178" i="2"/>
  <c r="FQ178" i="2"/>
  <c r="FS178" i="2"/>
  <c r="EA178" i="2"/>
  <c r="EB178" i="2"/>
  <c r="ED177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DF179" i="2"/>
  <c r="EA179" i="2"/>
  <c r="HG179" i="2"/>
  <c r="HI179" i="2"/>
  <c r="ED178" i="2"/>
  <c r="EB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HG180" i="2"/>
  <c r="EY179" i="2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EY182" i="2" s="1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Y184" i="2"/>
  <c r="EV185" i="2"/>
  <c r="EA185" i="2"/>
  <c r="EB185" i="2"/>
  <c r="ED184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HG186" i="2"/>
  <c r="HH186" i="2"/>
  <c r="EA186" i="2"/>
  <c r="EW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HG187" i="2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V189" i="2"/>
  <c r="EY188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D189" i="2"/>
  <c r="EV190" i="2"/>
  <c r="HG190" i="2"/>
  <c r="EY189" i="2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W191" i="2"/>
  <c r="HH191" i="2"/>
  <c r="ED190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Y191" i="2"/>
  <c r="HG192" i="2"/>
  <c r="EV192" i="2"/>
  <c r="HH192" i="2"/>
  <c r="EW192" i="2"/>
  <c r="EC192" i="2"/>
  <c r="EA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HI193" i="2"/>
  <c r="EY192" i="2"/>
  <c r="EB193" i="2"/>
  <c r="EA193" i="2"/>
  <c r="EX193" i="2"/>
  <c r="FQ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ED193" i="2"/>
  <c r="HI194" i="2"/>
  <c r="HG194" i="2"/>
  <c r="CN193" i="2"/>
  <c r="FQ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DH195" i="2"/>
  <c r="EB195" i="2"/>
  <c r="AA195" i="2"/>
  <c r="EA195" i="2"/>
  <c r="HI195" i="2"/>
  <c r="EX195" i="2"/>
  <c r="FQ195" i="2"/>
  <c r="EY194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W196" i="2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H197" i="2"/>
  <c r="EA197" i="2"/>
  <c r="EW197" i="2"/>
  <c r="EY196" i="2"/>
  <c r="FS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HH199" i="2"/>
  <c r="EW199" i="2"/>
  <c r="HG199" i="2"/>
  <c r="HJ199" i="2" s="1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HH201" i="2"/>
  <c r="HG201" i="2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HI202" i="2"/>
  <c r="EY201" i="2"/>
  <c r="HG202" i="2"/>
  <c r="HH202" i="2"/>
  <c r="EW202" i="2"/>
  <c r="EX202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21" i="2" a="1"/>
  <c r="FD21" i="2" s="1"/>
  <c r="FD59" i="2" a="1"/>
  <c r="FD59" i="2" s="1"/>
  <c r="BC68" i="2" a="1"/>
  <c r="BC68" i="2" s="1"/>
  <c r="BC82" i="2" a="1"/>
  <c r="BC82" i="2" s="1"/>
  <c r="BC126" i="2" a="1"/>
  <c r="BC126" i="2" s="1"/>
  <c r="BC114" i="2" a="1"/>
  <c r="BC114" i="2" s="1"/>
  <c r="BC65" i="2" a="1"/>
  <c r="BC65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86" i="2" a="1"/>
  <c r="DN186" i="2" s="1"/>
  <c r="DN50" i="2" a="1"/>
  <c r="DN50" i="2" s="1"/>
  <c r="DN66" i="2" a="1"/>
  <c r="DN66" i="2" s="1"/>
  <c r="CS116" i="2" a="1"/>
  <c r="CS116" i="2" s="1"/>
  <c r="EI195" i="2" a="1"/>
  <c r="EI195" i="2" s="1"/>
  <c r="AH90" i="2" a="1"/>
  <c r="AH90" i="2" s="1"/>
  <c r="CS38" i="2" a="1"/>
  <c r="CS38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" i="2" a="1"/>
  <c r="DN16" i="2" s="1"/>
  <c r="DN167" i="2" a="1"/>
  <c r="DN167" i="2" s="1"/>
  <c r="DN190" i="2" a="1"/>
  <c r="DN190" i="2" s="1"/>
  <c r="DN176" i="2" a="1"/>
  <c r="DN176" i="2" s="1"/>
  <c r="DN6" i="2" a="1"/>
  <c r="DN6" i="2" s="1"/>
  <c r="DO6" i="2" s="1"/>
  <c r="FD82" i="2" a="1"/>
  <c r="FD82" i="2" s="1"/>
  <c r="DN187" i="2" a="1"/>
  <c r="DN187" i="2" s="1"/>
  <c r="HJ202" i="2"/>
  <c r="AX200" i="2"/>
  <c r="BC58" i="2" l="1" a="1"/>
  <c r="BC58" i="2" s="1"/>
  <c r="DN133" i="2" a="1"/>
  <c r="DN133" i="2" s="1"/>
  <c r="DN162" i="2" a="1"/>
  <c r="DN162" i="2" s="1"/>
  <c r="DN114" i="2" a="1"/>
  <c r="DN114" i="2" s="1"/>
  <c r="DN188" i="2" a="1"/>
  <c r="DN188" i="2" s="1"/>
  <c r="DN113" i="2" a="1"/>
  <c r="DN113" i="2" s="1"/>
  <c r="DN137" i="2" a="1"/>
  <c r="DN137" i="2" s="1"/>
  <c r="DN45" i="2" a="1"/>
  <c r="DN45" i="2" s="1"/>
  <c r="DN49" i="2" a="1"/>
  <c r="DN49" i="2" s="1"/>
  <c r="DN103" i="2" a="1"/>
  <c r="DN103" i="2" s="1"/>
  <c r="DN86" i="2" a="1"/>
  <c r="DN86" i="2" s="1"/>
  <c r="DN25" i="2" a="1"/>
  <c r="DN25" i="2" s="1"/>
  <c r="DN124" i="2" a="1"/>
  <c r="DN124" i="2" s="1"/>
  <c r="DN65" i="2" a="1"/>
  <c r="DN65" i="2" s="1"/>
  <c r="DN132" i="2" a="1"/>
  <c r="DN132" i="2" s="1"/>
  <c r="DN70" i="2" a="1"/>
  <c r="DN70" i="2" s="1"/>
  <c r="DN164" i="2" a="1"/>
  <c r="DN164" i="2" s="1"/>
  <c r="DN123" i="2" a="1"/>
  <c r="DN123" i="2" s="1"/>
  <c r="DN177" i="2" a="1"/>
  <c r="DN177" i="2" s="1"/>
  <c r="DN184" i="2" a="1"/>
  <c r="DN184" i="2" s="1"/>
  <c r="BC47" i="2" a="1"/>
  <c r="BC47" i="2" s="1"/>
  <c r="DN135" i="2" a="1"/>
  <c r="DN135" i="2" s="1"/>
  <c r="DN115" i="2" a="1"/>
  <c r="DN115" i="2" s="1"/>
  <c r="DN152" i="2" a="1"/>
  <c r="DN152" i="2" s="1"/>
  <c r="DN155" i="2" a="1"/>
  <c r="DN155" i="2" s="1"/>
  <c r="DN56" i="2" a="1"/>
  <c r="DN56" i="2" s="1"/>
  <c r="DN30" i="2" a="1"/>
  <c r="DN30" i="2" s="1"/>
  <c r="DN46" i="2" a="1"/>
  <c r="DN46" i="2" s="1"/>
  <c r="DN153" i="2" a="1"/>
  <c r="DN153" i="2" s="1"/>
  <c r="DN29" i="2" a="1"/>
  <c r="DN29" i="2" s="1"/>
  <c r="DN55" i="2" a="1"/>
  <c r="DN55" i="2" s="1"/>
  <c r="DN110" i="2" a="1"/>
  <c r="DN110" i="2" s="1"/>
  <c r="DN38" i="2" a="1"/>
  <c r="DN38" i="2" s="1"/>
  <c r="DN31" i="2" a="1"/>
  <c r="DN31" i="2" s="1"/>
  <c r="DN80" i="2" a="1"/>
  <c r="DN80" i="2" s="1"/>
  <c r="DN150" i="2" a="1"/>
  <c r="DN150" i="2" s="1"/>
  <c r="DN170" i="2" a="1"/>
  <c r="DN170" i="2" s="1"/>
  <c r="DN41" i="2" a="1"/>
  <c r="DN41" i="2" s="1"/>
  <c r="BC181" i="2" a="1"/>
  <c r="BC181" i="2" s="1"/>
  <c r="BC34" i="2" a="1"/>
  <c r="BC34" i="2" s="1"/>
  <c r="DN168" i="2" a="1"/>
  <c r="DN168" i="2" s="1"/>
  <c r="DN63" i="2" a="1"/>
  <c r="DN63" i="2" s="1"/>
  <c r="DN192" i="2" a="1"/>
  <c r="DN192" i="2" s="1"/>
  <c r="DN129" i="2" a="1"/>
  <c r="DN129" i="2" s="1"/>
  <c r="DN43" i="2" a="1"/>
  <c r="DN43" i="2" s="1"/>
  <c r="CS24" i="2" a="1"/>
  <c r="CS24" i="2" s="1"/>
  <c r="CS120" i="2" a="1"/>
  <c r="CS120" i="2" s="1"/>
  <c r="AH19" i="2" a="1"/>
  <c r="AH19" i="2" s="1"/>
  <c r="AH92" i="2" a="1"/>
  <c r="AH92" i="2" s="1"/>
  <c r="CS105" i="2" a="1"/>
  <c r="CS105" i="2" s="1"/>
  <c r="CS77" i="2" a="1"/>
  <c r="CS77" i="2" s="1"/>
  <c r="CS161" i="2" a="1"/>
  <c r="CS161" i="2" s="1"/>
  <c r="BX107" i="2" a="1"/>
  <c r="BX107" i="2" s="1"/>
  <c r="CS114" i="2" a="1"/>
  <c r="CS114" i="2" s="1"/>
  <c r="AH163" i="2" a="1"/>
  <c r="AH163" i="2" s="1"/>
  <c r="CS56" i="2" a="1"/>
  <c r="CS56" i="2" s="1"/>
  <c r="AH62" i="2" a="1"/>
  <c r="AH62" i="2" s="1"/>
  <c r="AH151" i="2" a="1"/>
  <c r="AH151" i="2" s="1"/>
  <c r="CS72" i="2" a="1"/>
  <c r="CS72" i="2" s="1"/>
  <c r="AH199" i="2" a="1"/>
  <c r="AH199" i="2" s="1"/>
  <c r="CS137" i="2" a="1"/>
  <c r="CS137" i="2" s="1"/>
  <c r="CS129" i="2" a="1"/>
  <c r="CS129" i="2" s="1"/>
  <c r="FD144" i="2" a="1"/>
  <c r="FD144" i="2" s="1"/>
  <c r="CS134" i="2" a="1"/>
  <c r="CS134" i="2" s="1"/>
  <c r="CS185" i="2" a="1"/>
  <c r="CS185" i="2" s="1"/>
  <c r="AH166" i="2" a="1"/>
  <c r="AH166" i="2" s="1"/>
  <c r="CS52" i="2" a="1"/>
  <c r="CS52" i="2" s="1"/>
  <c r="FY47" i="2" a="1"/>
  <c r="FY47" i="2" s="1"/>
  <c r="FY58" i="2" a="1"/>
  <c r="FY58" i="2" s="1"/>
  <c r="FY164" i="2" a="1"/>
  <c r="FY164" i="2" s="1"/>
  <c r="FY152" i="2" a="1"/>
  <c r="FY152" i="2" s="1"/>
  <c r="FY80" i="2" a="1"/>
  <c r="FY80" i="2" s="1"/>
  <c r="FY196" i="2" a="1"/>
  <c r="FY196" i="2" s="1"/>
  <c r="FY172" i="2" a="1"/>
  <c r="FY172" i="2" s="1"/>
  <c r="FY102" i="2" a="1"/>
  <c r="FY102" i="2" s="1"/>
  <c r="FY62" i="2" a="1"/>
  <c r="FY62" i="2" s="1"/>
  <c r="FY28" i="2" a="1"/>
  <c r="FY28" i="2" s="1"/>
  <c r="FY99" i="2" a="1"/>
  <c r="FY99" i="2" s="1"/>
  <c r="FY159" i="2" a="1"/>
  <c r="FY159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133" i="2" a="1"/>
  <c r="FY133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121" i="2" a="1"/>
  <c r="FY121" i="2" s="1"/>
  <c r="FY182" i="2" a="1"/>
  <c r="FY182" i="2" s="1"/>
  <c r="FY24" i="2" a="1"/>
  <c r="FY24" i="2" s="1"/>
  <c r="FY55" i="2" a="1"/>
  <c r="FY55" i="2" s="1"/>
  <c r="FY92" i="2" a="1"/>
  <c r="FY92" i="2" s="1"/>
  <c r="FY191" i="2" a="1"/>
  <c r="FY191" i="2" s="1"/>
  <c r="FY167" i="2" a="1"/>
  <c r="FY167" i="2" s="1"/>
  <c r="FY115" i="2" a="1"/>
  <c r="FY115" i="2" s="1"/>
  <c r="FY124" i="2" a="1"/>
  <c r="FY124" i="2" s="1"/>
  <c r="FY126" i="2" a="1"/>
  <c r="FY126" i="2" s="1"/>
  <c r="FY111" i="2" a="1"/>
  <c r="FY111" i="2" s="1"/>
  <c r="FY110" i="2" a="1"/>
  <c r="FY110" i="2" s="1"/>
  <c r="FY142" i="2" a="1"/>
  <c r="FY142" i="2" s="1"/>
  <c r="FY86" i="2" a="1"/>
  <c r="FY86" i="2" s="1"/>
  <c r="FY169" i="2" a="1"/>
  <c r="FY169" i="2" s="1"/>
  <c r="FY188" i="2" a="1"/>
  <c r="FY188" i="2" s="1"/>
  <c r="FY73" i="2" a="1"/>
  <c r="FY73" i="2" s="1"/>
  <c r="FY153" i="2" a="1"/>
  <c r="FY153" i="2" s="1"/>
  <c r="FY30" i="2" a="1"/>
  <c r="FY30" i="2" s="1"/>
  <c r="FY104" i="2" a="1"/>
  <c r="FY104" i="2" s="1"/>
  <c r="FY190" i="2" a="1"/>
  <c r="FY190" i="2" s="1"/>
  <c r="FY78" i="2" a="1"/>
  <c r="FY78" i="2" s="1"/>
  <c r="FY186" i="2" a="1"/>
  <c r="FY186" i="2" s="1"/>
  <c r="FY69" i="2" a="1"/>
  <c r="FY69" i="2" s="1"/>
  <c r="FY50" i="2" a="1"/>
  <c r="FY50" i="2" s="1"/>
  <c r="FY66" i="2" a="1"/>
  <c r="FY66" i="2" s="1"/>
  <c r="FY120" i="2" a="1"/>
  <c r="FY120" i="2" s="1"/>
  <c r="FY71" i="2" a="1"/>
  <c r="FY71" i="2" s="1"/>
  <c r="FY18" i="2" a="1"/>
  <c r="FY18" i="2" s="1"/>
  <c r="FY146" i="2" a="1"/>
  <c r="FY146" i="2" s="1"/>
  <c r="FY140" i="2" a="1"/>
  <c r="FY140" i="2" s="1"/>
  <c r="FY29" i="2" a="1"/>
  <c r="FY29" i="2" s="1"/>
  <c r="FY35" i="2" a="1"/>
  <c r="FY35" i="2" s="1"/>
  <c r="FY165" i="2" a="1"/>
  <c r="FY165" i="2" s="1"/>
  <c r="FY22" i="2" a="1"/>
  <c r="FY22" i="2" s="1"/>
  <c r="FY79" i="2" a="1"/>
  <c r="FY79" i="2" s="1"/>
  <c r="FY32" i="2" a="1"/>
  <c r="FY32" i="2" s="1"/>
  <c r="FY90" i="2" a="1"/>
  <c r="FY90" i="2" s="1"/>
  <c r="FY54" i="2" a="1"/>
  <c r="FY54" i="2" s="1"/>
  <c r="FY109" i="2" a="1"/>
  <c r="FY109" i="2" s="1"/>
  <c r="HG203" i="2"/>
  <c r="FY57" i="2" a="1"/>
  <c r="FY57" i="2" s="1"/>
  <c r="FR203" i="2"/>
  <c r="HH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D203" i="2"/>
  <c r="FT203" i="2"/>
  <c r="DI203" i="2"/>
  <c r="EY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11" i="2" l="1"/>
  <c r="GE85" i="2"/>
  <c r="GE88" i="2"/>
  <c r="GE35" i="2"/>
  <c r="GE135" i="2"/>
  <c r="GE20" i="2"/>
  <c r="GE150" i="2"/>
  <c r="GE21" i="2"/>
  <c r="GE7" i="2"/>
  <c r="GE181" i="2"/>
  <c r="GE183" i="2"/>
  <c r="GE122" i="2"/>
  <c r="GE152" i="2"/>
  <c r="GE56" i="2"/>
  <c r="GE34" i="2"/>
  <c r="GE123" i="2"/>
  <c r="GE112" i="2"/>
  <c r="GE87" i="2"/>
  <c r="GE157" i="2"/>
  <c r="GE191" i="2"/>
  <c r="GE192" i="2"/>
  <c r="GE58" i="2"/>
  <c r="GE90" i="2"/>
  <c r="GE153" i="2"/>
  <c r="GE159" i="2"/>
  <c r="GE42" i="2"/>
  <c r="GE24" i="2"/>
  <c r="GE59" i="2"/>
  <c r="GE78" i="2"/>
  <c r="GE9" i="2"/>
  <c r="GE71" i="2"/>
  <c r="GE169" i="2"/>
  <c r="GE14" i="2"/>
  <c r="GE53" i="2"/>
  <c r="GE155" i="2"/>
  <c r="GE36" i="2"/>
  <c r="GE142" i="2"/>
  <c r="GE102" i="2"/>
  <c r="GE182" i="2"/>
  <c r="GE65" i="2"/>
  <c r="GE50" i="2"/>
  <c r="GE64" i="2"/>
  <c r="GE173" i="2"/>
  <c r="GE81" i="2"/>
  <c r="GE107" i="2"/>
  <c r="GE113" i="2"/>
  <c r="GE141" i="2"/>
  <c r="GE143" i="2"/>
  <c r="GE109" i="2"/>
  <c r="GE174" i="2"/>
  <c r="GE80" i="2"/>
  <c r="GE100" i="2"/>
  <c r="GE138" i="2"/>
  <c r="GE110" i="2"/>
  <c r="GE94" i="2"/>
  <c r="GE77" i="2"/>
  <c r="GE33" i="2"/>
  <c r="GE195" i="2"/>
  <c r="GE25" i="2"/>
  <c r="GE62" i="2"/>
  <c r="GE43" i="2"/>
  <c r="GE26" i="2"/>
  <c r="GE154" i="2"/>
  <c r="GE149" i="2"/>
  <c r="GE111" i="2"/>
  <c r="GE175" i="2"/>
  <c r="GE15" i="2"/>
  <c r="GE120" i="2"/>
  <c r="GE124" i="2"/>
  <c r="GE22" i="2"/>
  <c r="GE106" i="2"/>
  <c r="GE196" i="2"/>
  <c r="GE68" i="2"/>
  <c r="GE148" i="2"/>
  <c r="GE52" i="2"/>
  <c r="GE146" i="2"/>
  <c r="GE98" i="2"/>
  <c r="GE55" i="2"/>
  <c r="GE167" i="2"/>
  <c r="GE119" i="2"/>
  <c r="GE202" i="2"/>
  <c r="GE79" i="2"/>
  <c r="GE28" i="2"/>
  <c r="GE201" i="2"/>
  <c r="GE48" i="2"/>
  <c r="GE117" i="2"/>
  <c r="GE66" i="2"/>
  <c r="GE30" i="2"/>
  <c r="GE18" i="2"/>
  <c r="GE70" i="2"/>
  <c r="GE61" i="2"/>
  <c r="GE76" i="2"/>
  <c r="GE132" i="2"/>
  <c r="GE131" i="2"/>
  <c r="GE172" i="2"/>
  <c r="GE31" i="2"/>
  <c r="GE51" i="2"/>
  <c r="GE72" i="2"/>
  <c r="GE32" i="2"/>
  <c r="GE93" i="2"/>
  <c r="GE125" i="2"/>
  <c r="GE17" i="2"/>
  <c r="GE49" i="2"/>
  <c r="GE178" i="2"/>
  <c r="GE27" i="2"/>
  <c r="GE92" i="2"/>
  <c r="GE12" i="2"/>
  <c r="GE60" i="2"/>
  <c r="GE101" i="2"/>
  <c r="GE91" i="2"/>
  <c r="GE144" i="2"/>
  <c r="GE161" i="2"/>
  <c r="GE23" i="2"/>
  <c r="GE97" i="2"/>
  <c r="GE186" i="2"/>
  <c r="GE164" i="2"/>
  <c r="GE108" i="2"/>
  <c r="GE200" i="2"/>
  <c r="GE129" i="2"/>
  <c r="GE5" i="2"/>
  <c r="GE41" i="2"/>
  <c r="GE103" i="2"/>
  <c r="GE95" i="2"/>
  <c r="GE177" i="2"/>
  <c r="GE104" i="2"/>
  <c r="GE133" i="2"/>
  <c r="GE105" i="2"/>
  <c r="GE83" i="2"/>
  <c r="GE121" i="2"/>
  <c r="GE145" i="2"/>
  <c r="GE180" i="2"/>
  <c r="GE99" i="2"/>
  <c r="GE10" i="2"/>
  <c r="GE158" i="2"/>
  <c r="GE47" i="2"/>
  <c r="GE198" i="2"/>
  <c r="GE86" i="2"/>
  <c r="GE189" i="2"/>
  <c r="GE40" i="2"/>
  <c r="GE185" i="2"/>
  <c r="GE63" i="2"/>
  <c r="GE84" i="2"/>
  <c r="GE116" i="2"/>
  <c r="GE171" i="2"/>
  <c r="GE139" i="2"/>
  <c r="GE45" i="2"/>
  <c r="GE67" i="2"/>
  <c r="GE126" i="2"/>
  <c r="GE29" i="2"/>
  <c r="GE134" i="2"/>
  <c r="GE137" i="2"/>
  <c r="GE162" i="2"/>
  <c r="GE19" i="2"/>
  <c r="GE73" i="2"/>
  <c r="GE114" i="2"/>
  <c r="GE74" i="2"/>
  <c r="GE184" i="2"/>
  <c r="GE147" i="2"/>
  <c r="GE165" i="2"/>
  <c r="GE166" i="2"/>
  <c r="GE37" i="2"/>
  <c r="GE156" i="2"/>
  <c r="GE8" i="2"/>
  <c r="GE163" i="2"/>
  <c r="GE89" i="2"/>
  <c r="GE187" i="2"/>
  <c r="GE160" i="2"/>
  <c r="GE128" i="2"/>
  <c r="GE127" i="2"/>
  <c r="GE54" i="2"/>
  <c r="GE6" i="2"/>
  <c r="GE176" i="2"/>
  <c r="GE4" i="2"/>
  <c r="GE190" i="2"/>
  <c r="GE39" i="2"/>
  <c r="GE193" i="2"/>
  <c r="GE96" i="2"/>
  <c r="GE199" i="2"/>
  <c r="GE118" i="2"/>
  <c r="GE197" i="2"/>
  <c r="GE136" i="2"/>
  <c r="GE130" i="2"/>
  <c r="GE151" i="2"/>
  <c r="GE38" i="2"/>
  <c r="GE16" i="2"/>
  <c r="GE170" i="2"/>
  <c r="GE69" i="2"/>
  <c r="GE179" i="2"/>
  <c r="GE75" i="2"/>
  <c r="GE44" i="2"/>
  <c r="GE194" i="2"/>
  <c r="GE203" i="2"/>
  <c r="GE168" i="2"/>
  <c r="GE140" i="2"/>
  <c r="GE13" i="2"/>
  <c r="GE57" i="2"/>
  <c r="GE188" i="2"/>
  <c r="GE46" i="2"/>
  <c r="GE115" i="2"/>
  <c r="GE82" i="2"/>
  <c r="GE3" i="2"/>
  <c r="C14" i="4" s="1"/>
  <c r="E14" i="4" s="1"/>
  <c r="F14" i="4" s="1"/>
  <c r="G14" i="4" s="1"/>
  <c r="L14" i="4" s="1"/>
  <c r="CD60" i="2"/>
  <c r="CD70" i="2"/>
  <c r="CD122" i="2"/>
  <c r="CD176" i="2"/>
  <c r="CD146" i="2"/>
  <c r="CD42" i="2"/>
  <c r="CD190" i="2"/>
  <c r="CD174" i="2"/>
  <c r="CD95" i="2"/>
  <c r="CD172" i="2"/>
  <c r="CD32" i="2"/>
  <c r="CD173" i="2"/>
  <c r="CD47" i="2"/>
  <c r="CD111" i="2"/>
  <c r="CD86" i="2"/>
  <c r="CD105" i="2"/>
  <c r="CD197" i="2"/>
  <c r="CD183" i="2"/>
  <c r="CD6" i="2"/>
  <c r="CD46" i="2"/>
  <c r="CD69" i="2"/>
  <c r="CD28" i="2"/>
  <c r="CD62" i="2"/>
  <c r="CD35" i="2"/>
  <c r="CD29" i="2"/>
  <c r="CD77" i="2"/>
  <c r="CD10" i="2"/>
  <c r="CD72" i="2"/>
  <c r="CD18" i="2"/>
  <c r="CD90" i="2"/>
  <c r="CD103" i="2"/>
  <c r="CD50" i="2"/>
  <c r="CD106" i="2"/>
  <c r="CD9" i="2"/>
  <c r="CD141" i="2"/>
  <c r="CD148" i="2"/>
  <c r="CD125" i="2"/>
  <c r="CD19" i="2"/>
  <c r="CD89" i="2"/>
  <c r="CD3" i="2"/>
  <c r="C9" i="4" s="1"/>
  <c r="E9" i="4" s="1"/>
  <c r="F9" i="4" s="1"/>
  <c r="G9" i="4" s="1"/>
  <c r="L9" i="4" s="1"/>
  <c r="CD107" i="2"/>
  <c r="CD91" i="2"/>
  <c r="CD45" i="2"/>
  <c r="CD120" i="2"/>
  <c r="CD85" i="2"/>
  <c r="CD51" i="2"/>
  <c r="CD127" i="2"/>
  <c r="CD175" i="2"/>
  <c r="CD8" i="2"/>
  <c r="CD145" i="2"/>
  <c r="CD55" i="2"/>
  <c r="CD166" i="2"/>
  <c r="CD118" i="2"/>
  <c r="CD159" i="2"/>
  <c r="CD203" i="2"/>
  <c r="CD73" i="2"/>
  <c r="CD41" i="2"/>
  <c r="CD22" i="2"/>
  <c r="CD57" i="2"/>
  <c r="CD151" i="2"/>
  <c r="CD26" i="2"/>
  <c r="CD36" i="2"/>
  <c r="CD143" i="2"/>
  <c r="CD192" i="2"/>
  <c r="CD78" i="2"/>
  <c r="CD126" i="2"/>
  <c r="CD150" i="2"/>
  <c r="CD153" i="2"/>
  <c r="CD119" i="2"/>
  <c r="CD200" i="2"/>
  <c r="CD124" i="2"/>
  <c r="CD44" i="2"/>
  <c r="CD132" i="2"/>
  <c r="CD24" i="2"/>
  <c r="CD180" i="2"/>
  <c r="CD30" i="2"/>
  <c r="CD48" i="2"/>
  <c r="CD113" i="2"/>
  <c r="CD54" i="2"/>
  <c r="CD186" i="2"/>
  <c r="CD74" i="2"/>
  <c r="CD152" i="2"/>
  <c r="CD34" i="2"/>
  <c r="CD64" i="2"/>
  <c r="CD83" i="2"/>
  <c r="CD31" i="2"/>
  <c r="CD194" i="2"/>
  <c r="CD182" i="2"/>
  <c r="CD161" i="2"/>
  <c r="CD4" i="2"/>
  <c r="CD43" i="2"/>
  <c r="CD67" i="2"/>
  <c r="CD115" i="2"/>
  <c r="CD137" i="2"/>
  <c r="CD185" i="2"/>
  <c r="CD80" i="2"/>
  <c r="CD93" i="2"/>
  <c r="CD112" i="2"/>
  <c r="CD138" i="2"/>
  <c r="CD100" i="2"/>
  <c r="CD68" i="2"/>
  <c r="CD168" i="2"/>
  <c r="CD110" i="2"/>
  <c r="CD104" i="2"/>
  <c r="CD196" i="2"/>
  <c r="CD163" i="2"/>
  <c r="CD156" i="2"/>
  <c r="CD82" i="2"/>
  <c r="CD179" i="2"/>
  <c r="CD198" i="2"/>
  <c r="CD27" i="2"/>
  <c r="CD76" i="2"/>
  <c r="CD37" i="2"/>
  <c r="CD147" i="2"/>
  <c r="CD61" i="2"/>
  <c r="CD189" i="2"/>
  <c r="CD139" i="2"/>
  <c r="CD56" i="2"/>
  <c r="CD117" i="2"/>
  <c r="CD92" i="2"/>
  <c r="CD7" i="2"/>
  <c r="CD160" i="2"/>
  <c r="CD202" i="2"/>
  <c r="CD87" i="2"/>
  <c r="CD13" i="2"/>
  <c r="CD199" i="2"/>
  <c r="CD164" i="2"/>
  <c r="CD52" i="2"/>
  <c r="CD65" i="2"/>
  <c r="CD129" i="2"/>
  <c r="CD38" i="2"/>
  <c r="CD114" i="2"/>
  <c r="CD181" i="2"/>
  <c r="CD193" i="2"/>
  <c r="CD40" i="2"/>
  <c r="CD123" i="2"/>
  <c r="CD142" i="2"/>
  <c r="CD14" i="2"/>
  <c r="CD154" i="2"/>
  <c r="CD131" i="2"/>
  <c r="CD101" i="2"/>
  <c r="CD88" i="2"/>
  <c r="CD177" i="2"/>
  <c r="CD75" i="2"/>
  <c r="CD17" i="2"/>
  <c r="CD195" i="2"/>
  <c r="CD128" i="2"/>
  <c r="CD84" i="2"/>
  <c r="CD12" i="2"/>
  <c r="CD134" i="2"/>
  <c r="CD158" i="2"/>
  <c r="CD94" i="2"/>
  <c r="CD178" i="2"/>
  <c r="CD58" i="2"/>
  <c r="CD188" i="2"/>
  <c r="CD5" i="2"/>
  <c r="CD11" i="2"/>
  <c r="CD16" i="2"/>
  <c r="CD149" i="2"/>
  <c r="CD23" i="2"/>
  <c r="CD169" i="2"/>
  <c r="CD133" i="2"/>
  <c r="CD63" i="2"/>
  <c r="CD53" i="2"/>
  <c r="CD167" i="2"/>
  <c r="CD71" i="2"/>
  <c r="CD99" i="2"/>
  <c r="CD109" i="2"/>
  <c r="CD187" i="2"/>
  <c r="CD135" i="2"/>
  <c r="CD201" i="2"/>
  <c r="CD33" i="2"/>
  <c r="CD39" i="2"/>
  <c r="CD66" i="2"/>
  <c r="CD165" i="2"/>
  <c r="CD96" i="2"/>
  <c r="CD136" i="2"/>
  <c r="CD184" i="2"/>
  <c r="CD79" i="2"/>
  <c r="CD21" i="2"/>
  <c r="CD155" i="2"/>
  <c r="CD81" i="2"/>
  <c r="CD121" i="2"/>
  <c r="CD108" i="2"/>
  <c r="CD140" i="2"/>
  <c r="CD162" i="2"/>
  <c r="CD25" i="2"/>
  <c r="CD49" i="2"/>
  <c r="CD15" i="2"/>
  <c r="CD170" i="2"/>
  <c r="CD20" i="2"/>
  <c r="CD171" i="2"/>
  <c r="CD191" i="2"/>
  <c r="CD130" i="2"/>
  <c r="CD59" i="2"/>
  <c r="CD102" i="2"/>
  <c r="CD116" i="2"/>
  <c r="CD157" i="2"/>
  <c r="CD98" i="2"/>
  <c r="CD144" i="2"/>
  <c r="CD9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EO142" i="2" l="1"/>
  <c r="EO35" i="2"/>
  <c r="EO145" i="2"/>
  <c r="EO187" i="2"/>
  <c r="EO31" i="2"/>
  <c r="EO44" i="2"/>
  <c r="EO143" i="2"/>
  <c r="EO113" i="2"/>
  <c r="EO108" i="2"/>
  <c r="EO126" i="2"/>
  <c r="EO100" i="2"/>
  <c r="EO197" i="2"/>
  <c r="EO7" i="2"/>
  <c r="EO77" i="2"/>
  <c r="EO91" i="2"/>
  <c r="EO4" i="2"/>
  <c r="EO123" i="2"/>
  <c r="EO146" i="2"/>
  <c r="EO64" i="2"/>
  <c r="EO11" i="2"/>
  <c r="EO129" i="2"/>
  <c r="EO95" i="2"/>
  <c r="EO83" i="2"/>
  <c r="EO141" i="2"/>
  <c r="EO184" i="2"/>
  <c r="EO144" i="2"/>
  <c r="EO112" i="2"/>
  <c r="EO46" i="2"/>
  <c r="EO193" i="2"/>
  <c r="EO127" i="2"/>
  <c r="EO93" i="2"/>
  <c r="EO22" i="2"/>
  <c r="EO168" i="2"/>
  <c r="EO162" i="2"/>
  <c r="EO56" i="2"/>
  <c r="EO58" i="2"/>
  <c r="EO40" i="2"/>
  <c r="EO135" i="2"/>
  <c r="EO29" i="2"/>
  <c r="EO99" i="2"/>
  <c r="EO65" i="2"/>
  <c r="EO182" i="2"/>
  <c r="EO178" i="2"/>
  <c r="EO73" i="2"/>
  <c r="EO60" i="2"/>
  <c r="EO114" i="2"/>
  <c r="EO36" i="2"/>
  <c r="EO63" i="2"/>
  <c r="EO109" i="2"/>
  <c r="EO38" i="2"/>
  <c r="EO26" i="2"/>
  <c r="EO33" i="2"/>
  <c r="EO161" i="2"/>
  <c r="EO128" i="2"/>
  <c r="EO94" i="2"/>
  <c r="EO101" i="2"/>
  <c r="EO66" i="2"/>
  <c r="EO71" i="2"/>
  <c r="EO131" i="2"/>
  <c r="EO17" i="2"/>
  <c r="EO3" i="2"/>
  <c r="C12" i="4" s="1"/>
  <c r="E12" i="4" s="1"/>
  <c r="F12" i="4" s="1"/>
  <c r="G12" i="4" s="1"/>
  <c r="L12" i="4" s="1"/>
  <c r="EO74" i="2"/>
  <c r="EO50" i="2"/>
  <c r="EO59" i="2"/>
  <c r="EO139" i="2"/>
  <c r="EO185" i="2"/>
  <c r="EO173" i="2"/>
  <c r="EO39" i="2"/>
  <c r="EO150" i="2"/>
  <c r="EO72" i="2"/>
  <c r="EO8" i="2"/>
  <c r="EO111" i="2"/>
  <c r="EO172" i="2"/>
  <c r="EO190" i="2"/>
  <c r="EO180" i="2"/>
  <c r="EO16" i="2"/>
  <c r="EO154" i="2"/>
  <c r="EO153" i="2"/>
  <c r="EO203" i="2"/>
  <c r="EO81" i="2"/>
  <c r="EO119" i="2"/>
  <c r="EO136" i="2"/>
  <c r="EO80" i="2"/>
  <c r="EO110" i="2"/>
  <c r="EO160" i="2"/>
  <c r="EO192" i="2"/>
  <c r="EO186" i="2"/>
  <c r="EO107" i="2"/>
  <c r="EO70" i="2"/>
  <c r="EO57" i="2"/>
  <c r="EO10" i="2"/>
  <c r="EO6" i="2"/>
  <c r="EO167" i="2"/>
  <c r="EO133" i="2"/>
  <c r="EO51" i="2"/>
  <c r="EO18" i="2"/>
  <c r="EO42" i="2"/>
  <c r="EO177" i="2"/>
  <c r="EO62" i="2"/>
  <c r="EO189" i="2"/>
  <c r="EO92" i="2"/>
  <c r="EO28" i="2"/>
  <c r="EO27" i="2"/>
  <c r="EO102" i="2"/>
  <c r="EO90" i="2"/>
  <c r="EO24" i="2"/>
  <c r="EO151" i="2"/>
  <c r="EO191" i="2"/>
  <c r="EO76" i="2"/>
  <c r="EO78" i="2"/>
  <c r="EO152" i="2"/>
  <c r="EO179" i="2"/>
  <c r="EO15" i="2"/>
  <c r="EO117" i="2"/>
  <c r="EO188" i="2"/>
  <c r="EO32" i="2"/>
  <c r="EO132" i="2"/>
  <c r="EO183" i="2"/>
  <c r="EO174" i="2"/>
  <c r="EO82" i="2"/>
  <c r="EO115" i="2"/>
  <c r="EO171" i="2"/>
  <c r="EO45" i="2"/>
  <c r="EO86" i="2"/>
  <c r="EO195" i="2"/>
  <c r="EO21" i="2"/>
  <c r="EO164" i="2"/>
  <c r="EO125" i="2"/>
  <c r="EO170" i="2"/>
  <c r="EO52" i="2"/>
  <c r="EO47" i="2"/>
  <c r="EO157" i="2"/>
  <c r="EO23" i="2"/>
  <c r="EO14" i="2"/>
  <c r="EO199" i="2"/>
  <c r="EO196" i="2"/>
  <c r="EO134" i="2"/>
  <c r="EO48" i="2"/>
  <c r="EO166" i="2"/>
  <c r="EO12" i="2"/>
  <c r="EO106" i="2"/>
  <c r="EO103" i="2"/>
  <c r="EO105" i="2"/>
  <c r="EO69" i="2"/>
  <c r="EO34" i="2"/>
  <c r="EO13" i="2"/>
  <c r="EO158" i="2"/>
  <c r="EO163" i="2"/>
  <c r="EO148" i="2"/>
  <c r="EO149" i="2"/>
  <c r="EO176" i="2"/>
  <c r="EO122" i="2"/>
  <c r="EO147" i="2"/>
  <c r="EO97" i="2"/>
  <c r="EO96" i="2"/>
  <c r="EO68" i="2"/>
  <c r="EO19" i="2"/>
  <c r="EO75" i="2"/>
  <c r="EO181" i="2"/>
  <c r="EO88" i="2"/>
  <c r="EO116" i="2"/>
  <c r="EO67" i="2"/>
  <c r="EO159" i="2"/>
  <c r="EO156" i="2"/>
  <c r="EO198" i="2"/>
  <c r="EO61" i="2"/>
  <c r="EO155" i="2"/>
  <c r="EO79" i="2"/>
  <c r="EO53" i="2"/>
  <c r="EO201" i="2"/>
  <c r="EO20" i="2"/>
  <c r="EO89" i="2"/>
  <c r="EO43" i="2"/>
  <c r="EO165" i="2"/>
  <c r="EO41" i="2"/>
  <c r="EO104" i="2"/>
  <c r="EO98" i="2"/>
  <c r="EO55" i="2"/>
  <c r="EO54" i="2"/>
  <c r="EO85" i="2"/>
  <c r="EO169" i="2"/>
  <c r="EO87" i="2"/>
  <c r="EO130" i="2"/>
  <c r="EO5" i="2"/>
  <c r="EO25" i="2"/>
  <c r="EO200" i="2"/>
  <c r="EO121" i="2"/>
  <c r="EO9" i="2"/>
  <c r="EO202" i="2"/>
  <c r="EO138" i="2"/>
  <c r="EO124" i="2"/>
  <c r="EO84" i="2"/>
  <c r="EO175" i="2"/>
  <c r="EO120" i="2"/>
  <c r="EO37" i="2"/>
  <c r="EO194" i="2"/>
  <c r="EO118" i="2"/>
  <c r="EO49" i="2"/>
  <c r="EO137" i="2"/>
  <c r="EO30" i="2"/>
  <c r="EO140" i="2"/>
  <c r="DT37" i="2"/>
  <c r="DT186" i="2"/>
  <c r="DT111" i="2"/>
  <c r="DT35" i="2"/>
  <c r="DT116" i="2"/>
  <c r="DT178" i="2"/>
  <c r="DT105" i="2"/>
  <c r="DT13" i="2"/>
  <c r="DT8" i="2"/>
  <c r="DT48" i="2"/>
  <c r="DT161" i="2"/>
  <c r="DT27" i="2"/>
  <c r="DT121" i="2"/>
  <c r="DT86" i="2"/>
  <c r="DT158" i="2"/>
  <c r="DT19" i="2"/>
  <c r="DT7" i="2"/>
  <c r="DT123" i="2"/>
  <c r="DT59" i="2"/>
  <c r="DT40" i="2"/>
  <c r="DT25" i="2"/>
  <c r="DT14" i="2"/>
  <c r="DT167" i="2"/>
  <c r="DT114" i="2"/>
  <c r="DT16" i="2"/>
  <c r="DT119" i="2"/>
  <c r="DT34" i="2"/>
  <c r="DT47" i="2"/>
  <c r="DT101" i="2"/>
  <c r="DT175" i="2"/>
  <c r="DT75" i="2"/>
  <c r="DT199" i="2"/>
  <c r="DT32" i="2"/>
  <c r="DT92" i="2"/>
  <c r="DT140" i="2"/>
  <c r="DT165" i="2"/>
  <c r="DT44" i="2"/>
  <c r="DT33" i="2"/>
  <c r="DT127" i="2"/>
  <c r="DT77" i="2"/>
  <c r="DT202" i="2"/>
  <c r="DT98" i="2"/>
  <c r="DT4" i="2"/>
  <c r="DT10" i="2"/>
  <c r="DT130" i="2"/>
  <c r="DT147" i="2"/>
  <c r="DT21" i="2"/>
  <c r="DT72" i="2"/>
  <c r="DT176" i="2"/>
  <c r="DT97" i="2"/>
  <c r="DT42" i="2"/>
  <c r="DT84" i="2"/>
  <c r="DT68" i="2"/>
  <c r="DT64" i="2"/>
  <c r="DT172" i="2"/>
  <c r="DT180" i="2"/>
  <c r="DT53" i="2"/>
  <c r="DT182" i="2"/>
  <c r="DT29" i="2"/>
  <c r="DT145" i="2"/>
  <c r="DT201" i="2"/>
  <c r="DT63" i="2"/>
  <c r="DT109" i="2"/>
  <c r="DT110" i="2"/>
  <c r="DT65" i="2"/>
  <c r="DT50" i="2"/>
  <c r="DT194" i="2"/>
  <c r="DT155" i="2"/>
  <c r="DT95" i="2"/>
  <c r="DT135" i="2"/>
  <c r="DT38" i="2"/>
  <c r="DT138" i="2"/>
  <c r="DT153" i="2"/>
  <c r="DT154" i="2"/>
  <c r="DT196" i="2"/>
  <c r="DT150" i="2"/>
  <c r="DT128" i="2"/>
  <c r="DT113" i="2"/>
  <c r="DT102" i="2"/>
  <c r="DT30" i="2"/>
  <c r="DT190" i="2"/>
  <c r="DT122" i="2"/>
  <c r="DT168" i="2"/>
  <c r="DT149" i="2"/>
  <c r="DT187" i="2"/>
  <c r="DT56" i="2"/>
  <c r="DT166" i="2"/>
  <c r="DT184" i="2"/>
  <c r="DT203" i="2"/>
  <c r="DT5" i="2"/>
  <c r="DT173" i="2"/>
  <c r="DT174" i="2"/>
  <c r="DT144" i="2"/>
  <c r="DT87" i="2"/>
  <c r="DT96" i="2"/>
  <c r="DT152" i="2"/>
  <c r="DT134" i="2"/>
  <c r="DT159" i="2"/>
  <c r="DT197" i="2"/>
  <c r="DT58" i="2"/>
  <c r="DT17" i="2"/>
  <c r="DT24" i="2"/>
  <c r="DT70" i="2"/>
  <c r="DT85" i="2"/>
  <c r="DT66" i="2"/>
  <c r="DT126" i="2"/>
  <c r="DT9" i="2"/>
  <c r="DT57" i="2"/>
  <c r="DT103" i="2"/>
  <c r="DT83" i="2"/>
  <c r="DT148" i="2"/>
  <c r="DT183" i="2"/>
  <c r="DT107" i="2"/>
  <c r="DT82" i="2"/>
  <c r="DT60" i="2"/>
  <c r="DT112" i="2"/>
  <c r="DT49" i="2"/>
  <c r="DT46" i="2"/>
  <c r="DT43" i="2"/>
  <c r="DT171" i="2"/>
  <c r="DT188" i="2"/>
  <c r="DT118" i="2"/>
  <c r="DT81" i="2"/>
  <c r="DT120" i="2"/>
  <c r="DT11" i="2"/>
  <c r="DT3" i="2"/>
  <c r="C11" i="4" s="1"/>
  <c r="E11" i="4" s="1"/>
  <c r="F11" i="4" s="1"/>
  <c r="G11" i="4" s="1"/>
  <c r="L11" i="4" s="1"/>
  <c r="DT141" i="2"/>
  <c r="DT115" i="2"/>
  <c r="DT74" i="2"/>
  <c r="DT133" i="2"/>
  <c r="DT125" i="2"/>
  <c r="DT93" i="2"/>
  <c r="DT129" i="2"/>
  <c r="DT185" i="2"/>
  <c r="DT200" i="2"/>
  <c r="DT136" i="2"/>
  <c r="DT67" i="2"/>
  <c r="DT91" i="2"/>
  <c r="DT160" i="2"/>
  <c r="DT23" i="2"/>
  <c r="DT12" i="2"/>
  <c r="DT45" i="2"/>
  <c r="DT52" i="2"/>
  <c r="DT31" i="2"/>
  <c r="DT157" i="2"/>
  <c r="DT69" i="2"/>
  <c r="DT99" i="2"/>
  <c r="DT22" i="2"/>
  <c r="DT62" i="2"/>
  <c r="DT39" i="2"/>
  <c r="DT76" i="2"/>
  <c r="DT89" i="2"/>
  <c r="DT80" i="2"/>
  <c r="DT142" i="2"/>
  <c r="DT54" i="2"/>
  <c r="DT51" i="2"/>
  <c r="DT151" i="2"/>
  <c r="DT26" i="2"/>
  <c r="DT106" i="2"/>
  <c r="DT108" i="2"/>
  <c r="DT195" i="2"/>
  <c r="DT79" i="2"/>
  <c r="DT137" i="2"/>
  <c r="DT139" i="2"/>
  <c r="DT193" i="2"/>
  <c r="DT179" i="2"/>
  <c r="DT181" i="2"/>
  <c r="DT169" i="2"/>
  <c r="DT18" i="2"/>
  <c r="DT131" i="2"/>
  <c r="DT55" i="2"/>
  <c r="DT94" i="2"/>
  <c r="DT146" i="2"/>
  <c r="DT164" i="2"/>
  <c r="DT198" i="2"/>
  <c r="DT61" i="2"/>
  <c r="DT163" i="2"/>
  <c r="DT189" i="2"/>
  <c r="DT192" i="2"/>
  <c r="DT88" i="2"/>
  <c r="DT191" i="2"/>
  <c r="DT124" i="2"/>
  <c r="DT6" i="2"/>
  <c r="DT162" i="2"/>
  <c r="DT36" i="2"/>
  <c r="DT73" i="2"/>
  <c r="DT132" i="2"/>
  <c r="DT20" i="2"/>
  <c r="DT41" i="2"/>
  <c r="DT71" i="2"/>
  <c r="DT90" i="2"/>
  <c r="DT78" i="2"/>
  <c r="DT28" i="2"/>
  <c r="DT177" i="2"/>
  <c r="DT117" i="2"/>
  <c r="DT104" i="2"/>
  <c r="DT15" i="2"/>
  <c r="DT170" i="2"/>
  <c r="DT100" i="2"/>
  <c r="DT156" i="2"/>
  <c r="DT143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81" i="2" l="1"/>
  <c r="BI47" i="2"/>
  <c r="BI5" i="2"/>
  <c r="BI136" i="2"/>
  <c r="BI142" i="2"/>
  <c r="BI185" i="2"/>
  <c r="BI77" i="2"/>
  <c r="BI113" i="2"/>
  <c r="BI131" i="2"/>
  <c r="BI71" i="2"/>
  <c r="BI159" i="2"/>
  <c r="BI61" i="2"/>
  <c r="BI32" i="2"/>
  <c r="BI164" i="2"/>
  <c r="BI28" i="2"/>
  <c r="BI166" i="2"/>
  <c r="BI10" i="2"/>
  <c r="BI20" i="2"/>
  <c r="BI23" i="2"/>
  <c r="BI8" i="2"/>
  <c r="BI167" i="2"/>
  <c r="BI92" i="2"/>
  <c r="BI30" i="2"/>
  <c r="BI51" i="2"/>
  <c r="BI93" i="2"/>
  <c r="BI182" i="2"/>
  <c r="BI151" i="2"/>
  <c r="BI196" i="2"/>
  <c r="BI114" i="2"/>
  <c r="BI7" i="2"/>
  <c r="BI163" i="2"/>
  <c r="BI171" i="2"/>
  <c r="BI202" i="2"/>
  <c r="BI58" i="2"/>
  <c r="BI96" i="2"/>
  <c r="BI169" i="2"/>
  <c r="BI54" i="2"/>
  <c r="BI97" i="2"/>
  <c r="BI138" i="2"/>
  <c r="BI41" i="2"/>
  <c r="BI150" i="2"/>
  <c r="BI198" i="2"/>
  <c r="BI110" i="2"/>
  <c r="BI105" i="2"/>
  <c r="BI201" i="2"/>
  <c r="BI203" i="2"/>
  <c r="BI143" i="2"/>
  <c r="BI64" i="2"/>
  <c r="BI16" i="2"/>
  <c r="BI44" i="2"/>
  <c r="BI24" i="2"/>
  <c r="BI37" i="2"/>
  <c r="BI70" i="2"/>
  <c r="BI141" i="2"/>
  <c r="BI188" i="2"/>
  <c r="BI165" i="2"/>
  <c r="BI190" i="2"/>
  <c r="BI200" i="2"/>
  <c r="BI178" i="2"/>
  <c r="BI184" i="2"/>
  <c r="BI86" i="2"/>
  <c r="BI33" i="2"/>
  <c r="BI9" i="2"/>
  <c r="BI116" i="2"/>
  <c r="BI72" i="2"/>
  <c r="BI95" i="2"/>
  <c r="BI121" i="2"/>
  <c r="BI43" i="2"/>
  <c r="BI18" i="2"/>
  <c r="BI180" i="2"/>
  <c r="BI128" i="2"/>
  <c r="BI122" i="2"/>
  <c r="BI125" i="2"/>
  <c r="BI35" i="2"/>
  <c r="BI99" i="2"/>
  <c r="BI130" i="2"/>
  <c r="BI175" i="2"/>
  <c r="BI152" i="2"/>
  <c r="BI199" i="2"/>
  <c r="BI156" i="2"/>
  <c r="BI21" i="2"/>
  <c r="BI60" i="2"/>
  <c r="BI107" i="2"/>
  <c r="BI124" i="2"/>
  <c r="BI45" i="2"/>
  <c r="BI52" i="2"/>
  <c r="BI132" i="2"/>
  <c r="BI79" i="2"/>
  <c r="BI74" i="2"/>
  <c r="BI65" i="2"/>
  <c r="BI155" i="2"/>
  <c r="BI139" i="2"/>
  <c r="BI123" i="2"/>
  <c r="BI145" i="2"/>
  <c r="BI73" i="2"/>
  <c r="BI25" i="2"/>
  <c r="BI120" i="2"/>
  <c r="BI158" i="2"/>
  <c r="BI40" i="2"/>
  <c r="BI6" i="2"/>
  <c r="BI46" i="2"/>
  <c r="BI84" i="2"/>
  <c r="BI192" i="2"/>
  <c r="BI137" i="2"/>
  <c r="BI34" i="2"/>
  <c r="BI90" i="2"/>
  <c r="BI67" i="2"/>
  <c r="BI160" i="2"/>
  <c r="BI85" i="2"/>
  <c r="BI56" i="2"/>
  <c r="BI103" i="2"/>
  <c r="BI78" i="2"/>
  <c r="BI22" i="2"/>
  <c r="BI50" i="2"/>
  <c r="BI49" i="2"/>
  <c r="BI161" i="2"/>
  <c r="BI29" i="2"/>
  <c r="BI88" i="2"/>
  <c r="BI108" i="2"/>
  <c r="BI19" i="2"/>
  <c r="BI147" i="2"/>
  <c r="BI98" i="2"/>
  <c r="BI63" i="2"/>
  <c r="BI134" i="2"/>
  <c r="BI174" i="2"/>
  <c r="BI129" i="2"/>
  <c r="BI75" i="2"/>
  <c r="BI76" i="2"/>
  <c r="BI109" i="2"/>
  <c r="BI101" i="2"/>
  <c r="BI179" i="2"/>
  <c r="BI89" i="2"/>
  <c r="BI48" i="2"/>
  <c r="BI36" i="2"/>
  <c r="BI148" i="2"/>
  <c r="BI17" i="2"/>
  <c r="BI62" i="2"/>
  <c r="BI12" i="2"/>
  <c r="BI135" i="2"/>
  <c r="BI191" i="2"/>
  <c r="BI11" i="2"/>
  <c r="BI100" i="2"/>
  <c r="BI146" i="2"/>
  <c r="BI149" i="2"/>
  <c r="BI193" i="2"/>
  <c r="BI186" i="2"/>
  <c r="BI168" i="2"/>
  <c r="BI140" i="2"/>
  <c r="BI38" i="2"/>
  <c r="BI39" i="2"/>
  <c r="BI195" i="2"/>
  <c r="BI15" i="2"/>
  <c r="BI27" i="2"/>
  <c r="BI197" i="2"/>
  <c r="BI31" i="2"/>
  <c r="BI106" i="2"/>
  <c r="BI126" i="2"/>
  <c r="BI69" i="2"/>
  <c r="BI81" i="2"/>
  <c r="BI144" i="2"/>
  <c r="BI91" i="2"/>
  <c r="BI94" i="2"/>
  <c r="BI57" i="2"/>
  <c r="BI183" i="2"/>
  <c r="BI87" i="2"/>
  <c r="BI172" i="2"/>
  <c r="BI53" i="2"/>
  <c r="BI83" i="2"/>
  <c r="BI157" i="2"/>
  <c r="BI112" i="2"/>
  <c r="BI102" i="2"/>
  <c r="BI68" i="2"/>
  <c r="BI59" i="2"/>
  <c r="BI117" i="2"/>
  <c r="BI189" i="2"/>
  <c r="BI26" i="2"/>
  <c r="BI4" i="2"/>
  <c r="BI162" i="2"/>
  <c r="BI154" i="2"/>
  <c r="BI177" i="2"/>
  <c r="BI170" i="2"/>
  <c r="BI42" i="2"/>
  <c r="BI80" i="2"/>
  <c r="BI3" i="2"/>
  <c r="C8" i="4" s="1"/>
  <c r="E8" i="4" s="1"/>
  <c r="F8" i="4" s="1"/>
  <c r="G8" i="4" s="1"/>
  <c r="L8" i="4" s="1"/>
  <c r="BI133" i="2"/>
  <c r="BI194" i="2"/>
  <c r="BI176" i="2"/>
  <c r="BI82" i="2"/>
  <c r="BI13" i="2"/>
  <c r="BI119" i="2"/>
  <c r="BI173" i="2"/>
  <c r="BI187" i="2"/>
  <c r="BI115" i="2"/>
  <c r="BI66" i="2"/>
  <c r="BI118" i="2"/>
  <c r="BI55" i="2"/>
  <c r="BI104" i="2"/>
  <c r="BI127" i="2"/>
  <c r="BI14" i="2"/>
  <c r="BI111" i="2"/>
  <c r="BI153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<sst xmlns="http://schemas.openxmlformats.org/spreadsheetml/2006/main" count="1316" uniqueCount="409">
  <si>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</si>
  <si>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</si>
  <si>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</si>
  <si>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</si>
  <si>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</si>
  <si>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</si>
  <si>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</si>
  <si>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</si>
  <si>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</si>
  <si>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</si>
  <si>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</si>
  <si>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</si>
  <si>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</si>
  <si>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</si>
  <si>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</si>
  <si>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</si>
  <si>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</si>
  <si>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</si>
  <si>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Erable champêtre</t>
  </si>
  <si>
    <t>Essence 3</t>
  </si>
  <si>
    <t>Charme</t>
  </si>
  <si>
    <t>Essence 4</t>
  </si>
  <si>
    <t>Cèdre de l'Atlas</t>
  </si>
  <si>
    <t>Essence 5</t>
  </si>
  <si>
    <t>Merisier</t>
  </si>
  <si>
    <t>Essence 6</t>
  </si>
  <si>
    <t>Chêne pubescent</t>
  </si>
  <si>
    <t>Essence 7</t>
  </si>
  <si>
    <t>Chêne sessile</t>
  </si>
  <si>
    <t>Essence 8</t>
  </si>
  <si>
    <t>Robinier faux-acacia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</si>
  <si>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</si>
  <si>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</si>
  <si>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</si>
  <si>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</si>
  <si>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</si>
  <si>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</si>
  <si>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</si>
  <si>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</si>
  <si>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</si>
  <si>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</si>
  <si>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</si>
  <si>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</si>
  <si>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</si>
  <si>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</si>
  <si>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</si>
  <si>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</si>
  <si>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</si>
  <si>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</si>
  <si>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</si>
  <si>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</si>
  <si>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</si>
  <si>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</si>
  <si>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</si>
  <si>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</si>
  <si>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</si>
  <si>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</si>
  <si>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</si>
  <si>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</si>
  <si>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</si>
  <si>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Commentaire : explication VBF</t>
  </si>
  <si>
    <t>Commentaire : explication calcul éclaircie</t>
  </si>
  <si>
    <t>80+15</t>
  </si>
  <si>
    <t>15+28</t>
  </si>
  <si>
    <t>147+28</t>
  </si>
  <si>
    <t>28+28</t>
  </si>
  <si>
    <t>192+28</t>
  </si>
  <si>
    <t>218+22</t>
  </si>
  <si>
    <t>22+17</t>
  </si>
  <si>
    <t>245+13</t>
  </si>
  <si>
    <t>13+12</t>
  </si>
  <si>
    <t>263+11</t>
  </si>
  <si>
    <t>11+10</t>
  </si>
  <si>
    <t>9</t>
  </si>
  <si>
    <t>276</t>
  </si>
  <si>
    <t>53/1,56</t>
  </si>
  <si>
    <t>(89+10)/1,56</t>
  </si>
  <si>
    <t>(123+14+10)/1,56</t>
  </si>
  <si>
    <t>(10+14+18)/1,56</t>
  </si>
  <si>
    <t>154/1,56</t>
  </si>
  <si>
    <t>(182+20)/1,56</t>
  </si>
  <si>
    <t>(20+21)/1,56</t>
  </si>
  <si>
    <t>206/1,56</t>
  </si>
  <si>
    <t>(228+22)/1,56</t>
  </si>
  <si>
    <t>(22+22)/1,56</t>
  </si>
  <si>
    <t>247/1,56</t>
  </si>
  <si>
    <t>(263+22)/1,56</t>
  </si>
  <si>
    <t>278/1,56</t>
  </si>
  <si>
    <t>(291+22)/1,56</t>
  </si>
  <si>
    <t>303/1,56</t>
  </si>
  <si>
    <t>(313+21)/1,56</t>
  </si>
  <si>
    <t>(21+21)/1,56</t>
  </si>
  <si>
    <t>322/1,56</t>
  </si>
  <si>
    <t>(331+20)/1,56</t>
  </si>
  <si>
    <t>(20+20)/1,56</t>
  </si>
  <si>
    <t>339/1,56</t>
  </si>
  <si>
    <t>(346+19)/1,56</t>
  </si>
  <si>
    <t>(19+18)/1,56</t>
  </si>
  <si>
    <t>353/1,56</t>
  </si>
  <si>
    <t>(366+17)/1,56</t>
  </si>
  <si>
    <t>(17+17)/1,56</t>
  </si>
  <si>
    <t>376/1,56</t>
  </si>
  <si>
    <t>134/1,3</t>
  </si>
  <si>
    <t>418/1,3</t>
  </si>
  <si>
    <t>130/1,3</t>
  </si>
  <si>
    <t>456/1,3</t>
  </si>
  <si>
    <t>141/1,3</t>
  </si>
  <si>
    <t>469/1,3</t>
  </si>
  <si>
    <t>111/1,3</t>
  </si>
  <si>
    <t>498/1,3</t>
  </si>
  <si>
    <t>108/1,3</t>
  </si>
  <si>
    <t>517/1,3</t>
  </si>
  <si>
    <t>258/1,3</t>
  </si>
  <si>
    <t>333/1,3</t>
  </si>
  <si>
    <t>85+3</t>
  </si>
  <si>
    <t>133+3+25</t>
  </si>
  <si>
    <t>3+25+27</t>
  </si>
  <si>
    <t>62+8</t>
  </si>
  <si>
    <t>76+8+21</t>
  </si>
  <si>
    <t>21+8</t>
  </si>
  <si>
    <t>95+21</t>
  </si>
  <si>
    <t>116+21+21</t>
  </si>
  <si>
    <t>21+21</t>
  </si>
  <si>
    <t>137+21</t>
  </si>
  <si>
    <t>157+21+21</t>
  </si>
  <si>
    <t>176+21</t>
  </si>
  <si>
    <t>193+21+21</t>
  </si>
  <si>
    <t>208+21</t>
  </si>
  <si>
    <t>221+21+21</t>
  </si>
  <si>
    <t>231+21</t>
  </si>
  <si>
    <t>240</t>
  </si>
  <si>
    <t>240+21+21</t>
  </si>
  <si>
    <t>261+21+21</t>
  </si>
  <si>
    <t>266+20+19</t>
  </si>
  <si>
    <t>20+19</t>
  </si>
  <si>
    <t>268+18+17</t>
  </si>
  <si>
    <t>18+17</t>
  </si>
  <si>
    <t>269+16+15</t>
  </si>
  <si>
    <t>16+15</t>
  </si>
  <si>
    <t>269+14+13</t>
  </si>
  <si>
    <t>14+13</t>
  </si>
  <si>
    <t>268+13+12</t>
  </si>
  <si>
    <t>13+12+268</t>
  </si>
  <si>
    <t>62+2</t>
  </si>
  <si>
    <t>15+2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</si>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</sst>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quotePrefix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7954128"/>
        <c:axId val="-1667967184"/>
      </c:scatterChart>
      <c:valAx>
        <c:axId val="-1667954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7967184"/>
        <c:crosses val="autoZero"/>
        <c:crossBetween val="midCat"/>
      </c:valAx>
      <c:valAx>
        <c:axId val="-166796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7954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9822976"/>
        <c:axId val="-1879821888"/>
      </c:scatterChart>
      <c:valAx>
        <c:axId val="-1879822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79821888"/>
        <c:crosses val="autoZero"/>
        <c:crossBetween val="midCat"/>
      </c:valAx>
      <c:valAx>
        <c:axId val="-187982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79822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95.973754347721652</c:v>
                </c:pt>
                <c:pt idx="17">
                  <c:v>118.20964174983392</c:v>
                </c:pt>
                <c:pt idx="18">
                  <c:v>140.34313889366055</c:v>
                </c:pt>
                <c:pt idx="19">
                  <c:v>162.39271715740026</c:v>
                </c:pt>
                <c:pt idx="20">
                  <c:v>184.37139305479846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174.52697249791541</c:v>
                </c:pt>
                <c:pt idx="24">
                  <c:v>198.3597638396279</c:v>
                </c:pt>
                <c:pt idx="25">
                  <c:v>222.12608711761609</c:v>
                </c:pt>
                <c:pt idx="26">
                  <c:v>244.70632771903044</c:v>
                </c:pt>
                <c:pt idx="27">
                  <c:v>267.23921926263682</c:v>
                </c:pt>
                <c:pt idx="28">
                  <c:v>289.72931420493524</c:v>
                </c:pt>
                <c:pt idx="29">
                  <c:v>312.18040027213061</c:v>
                </c:pt>
                <c:pt idx="30">
                  <c:v>334.59567585759868</c:v>
                </c:pt>
                <c:pt idx="31">
                  <c:v>249.59230205465971</c:v>
                </c:pt>
                <c:pt idx="32">
                  <c:v>269.49008678800766</c:v>
                </c:pt>
                <c:pt idx="33">
                  <c:v>289.35480857103511</c:v>
                </c:pt>
                <c:pt idx="34">
                  <c:v>309.18905580466077</c:v>
                </c:pt>
                <c:pt idx="35">
                  <c:v>328.99505767197434</c:v>
                </c:pt>
                <c:pt idx="36">
                  <c:v>346.9098201406153</c:v>
                </c:pt>
                <c:pt idx="37">
                  <c:v>364.80427894845371</c:v>
                </c:pt>
                <c:pt idx="38">
                  <c:v>382.67956984614779</c:v>
                </c:pt>
                <c:pt idx="39">
                  <c:v>400.53671385047045</c:v>
                </c:pt>
                <c:pt idx="40">
                  <c:v>418.37663353903218</c:v>
                </c:pt>
                <c:pt idx="41">
                  <c:v>329.36849727470769</c:v>
                </c:pt>
                <c:pt idx="42">
                  <c:v>344.67160985755459</c:v>
                </c:pt>
                <c:pt idx="43">
                  <c:v>359.95980096859535</c:v>
                </c:pt>
                <c:pt idx="44">
                  <c:v>375.23379351840293</c:v>
                </c:pt>
                <c:pt idx="45">
                  <c:v>390.49424676672447</c:v>
                </c:pt>
                <c:pt idx="46">
                  <c:v>403.5112063253228</c:v>
                </c:pt>
                <c:pt idx="47">
                  <c:v>416.51908689232113</c:v>
                </c:pt>
                <c:pt idx="48">
                  <c:v>429.51821195249181</c:v>
                </c:pt>
                <c:pt idx="49">
                  <c:v>442.50888381337387</c:v>
                </c:pt>
                <c:pt idx="50">
                  <c:v>455.4913855857551</c:v>
                </c:pt>
                <c:pt idx="51">
                  <c:v>394.9582481771028</c:v>
                </c:pt>
                <c:pt idx="52">
                  <c:v>406.85694369927199</c:v>
                </c:pt>
                <c:pt idx="53">
                  <c:v>418.7481215104533</c:v>
                </c:pt>
                <c:pt idx="54">
                  <c:v>430.63202519963039</c:v>
                </c:pt>
                <c:pt idx="55">
                  <c:v>442.50888381337398</c:v>
                </c:pt>
                <c:pt idx="56">
                  <c:v>451.78291724664041</c:v>
                </c:pt>
                <c:pt idx="57">
                  <c:v>461.05288028198453</c:v>
                </c:pt>
                <c:pt idx="58">
                  <c:v>470.3188663227279</c:v>
                </c:pt>
                <c:pt idx="59">
                  <c:v>479.58096479059606</c:v>
                </c:pt>
                <c:pt idx="60">
                  <c:v>488.83926137072285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466.98356378402354</c:v>
                </c:pt>
                <c:pt idx="64">
                  <c:v>475.13563719240022</c:v>
                </c:pt>
                <c:pt idx="65">
                  <c:v>483.28473497109485</c:v>
                </c:pt>
                <c:pt idx="66">
                  <c:v>490.32024154627743</c:v>
                </c:pt>
                <c:pt idx="67">
                  <c:v>497.35360709544074</c:v>
                </c:pt>
                <c:pt idx="68">
                  <c:v>504.38486618031317</c:v>
                </c:pt>
                <c:pt idx="69">
                  <c:v>511.41405232000324</c:v>
                </c:pt>
                <c:pt idx="70">
                  <c:v>518.44119803666365</c:v>
                </c:pt>
                <c:pt idx="71">
                  <c:v>485.87701503548442</c:v>
                </c:pt>
                <c:pt idx="72">
                  <c:v>492.17133336598084</c:v>
                </c:pt>
                <c:pt idx="73">
                  <c:v>498.4639450680906</c:v>
                </c:pt>
                <c:pt idx="74">
                  <c:v>504.7548747369737</c:v>
                </c:pt>
                <c:pt idx="75">
                  <c:v>511.04414630438481</c:v>
                </c:pt>
                <c:pt idx="76">
                  <c:v>499.94431424130948</c:v>
                </c:pt>
                <c:pt idx="77">
                  <c:v>505.49487464351915</c:v>
                </c:pt>
                <c:pt idx="78">
                  <c:v>511.04414630438481</c:v>
                </c:pt>
                <c:pt idx="79">
                  <c:v>516.59214520035391</c:v>
                </c:pt>
                <c:pt idx="80">
                  <c:v>522.13888693652359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7961200"/>
        <c:axId val="-1667958480"/>
      </c:scatterChart>
      <c:valAx>
        <c:axId val="-1667961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7958480"/>
        <c:crosses val="autoZero"/>
        <c:crossBetween val="midCat"/>
      </c:valAx>
      <c:valAx>
        <c:axId val="-166795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7961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3.0420346989866704</c:v>
                </c:pt>
                <c:pt idx="2">
                  <c:v>3.8157728974545706</c:v>
                </c:pt>
                <c:pt idx="3">
                  <c:v>4.7870700055510769</c:v>
                </c:pt>
                <c:pt idx="4">
                  <c:v>6.0065514344902446</c:v>
                </c:pt>
                <c:pt idx="5">
                  <c:v>7.5378593378781131</c:v>
                </c:pt>
                <c:pt idx="6">
                  <c:v>9.4610098992627645</c:v>
                </c:pt>
                <c:pt idx="7">
                  <c:v>11.876619016734798</c:v>
                </c:pt>
                <c:pt idx="8">
                  <c:v>14.911221593210763</c:v>
                </c:pt>
                <c:pt idx="9">
                  <c:v>18.723968185473154</c:v>
                </c:pt>
                <c:pt idx="10">
                  <c:v>23.515056561317763</c:v>
                </c:pt>
                <c:pt idx="11">
                  <c:v>29.536348743362321</c:v>
                </c:pt>
                <c:pt idx="12">
                  <c:v>37.104741402260892</c:v>
                </c:pt>
                <c:pt idx="13">
                  <c:v>46.619005336897253</c:v>
                </c:pt>
                <c:pt idx="14">
                  <c:v>58.580996237948476</c:v>
                </c:pt>
                <c:pt idx="15">
                  <c:v>73.622374059447182</c:v>
                </c:pt>
                <c:pt idx="16">
                  <c:v>86.027026900724209</c:v>
                </c:pt>
                <c:pt idx="17">
                  <c:v>98.386606823813551</c:v>
                </c:pt>
                <c:pt idx="18">
                  <c:v>110.70758759686305</c:v>
                </c:pt>
                <c:pt idx="19">
                  <c:v>122.99487803223985</c:v>
                </c:pt>
                <c:pt idx="20">
                  <c:v>135.25232276388536</c:v>
                </c:pt>
                <c:pt idx="21">
                  <c:v>148.01421375954016</c:v>
                </c:pt>
                <c:pt idx="22">
                  <c:v>160.74983504965459</c:v>
                </c:pt>
                <c:pt idx="23">
                  <c:v>173.46156278083515</c:v>
                </c:pt>
                <c:pt idx="24">
                  <c:v>186.1513958594079</c:v>
                </c:pt>
                <c:pt idx="25">
                  <c:v>198.82103804994404</c:v>
                </c:pt>
                <c:pt idx="26">
                  <c:v>156.24214880368183</c:v>
                </c:pt>
                <c:pt idx="27">
                  <c:v>169.22684490502496</c:v>
                </c:pt>
                <c:pt idx="28">
                  <c:v>182.18806689822361</c:v>
                </c:pt>
                <c:pt idx="29">
                  <c:v>195.12772108945578</c:v>
                </c:pt>
                <c:pt idx="30">
                  <c:v>208.04744001071947</c:v>
                </c:pt>
                <c:pt idx="31">
                  <c:v>220.68552368043743</c:v>
                </c:pt>
                <c:pt idx="32">
                  <c:v>233.30699569911027</c:v>
                </c:pt>
                <c:pt idx="33">
                  <c:v>245.9128817487364</c:v>
                </c:pt>
                <c:pt idx="34">
                  <c:v>258.50409369643472</c:v>
                </c:pt>
                <c:pt idx="35">
                  <c:v>271.0814472717563</c:v>
                </c:pt>
                <c:pt idx="36">
                  <c:v>229.1016182515626</c:v>
                </c:pt>
                <c:pt idx="37">
                  <c:v>240.92485492099104</c:v>
                </c:pt>
                <c:pt idx="38">
                  <c:v>252.73488898992335</c:v>
                </c:pt>
                <c:pt idx="39">
                  <c:v>264.53242465514222</c:v>
                </c:pt>
                <c:pt idx="40">
                  <c:v>276.31809813367369</c:v>
                </c:pt>
                <c:pt idx="41">
                  <c:v>287.83095256623977</c:v>
                </c:pt>
                <c:pt idx="42">
                  <c:v>299.33351098507438</c:v>
                </c:pt>
                <c:pt idx="43">
                  <c:v>310.8262249693355</c:v>
                </c:pt>
                <c:pt idx="44">
                  <c:v>322.30950996229876</c:v>
                </c:pt>
                <c:pt idx="45">
                  <c:v>333.78374937501832</c:v>
                </c:pt>
                <c:pt idx="46">
                  <c:v>287.04631762262659</c:v>
                </c:pt>
                <c:pt idx="47">
                  <c:v>297.76556965124479</c:v>
                </c:pt>
                <c:pt idx="48">
                  <c:v>308.47622271912411</c:v>
                </c:pt>
                <c:pt idx="49">
                  <c:v>319.17861763286845</c:v>
                </c:pt>
                <c:pt idx="50">
                  <c:v>329.87307046604047</c:v>
                </c:pt>
                <c:pt idx="51">
                  <c:v>339.7781670611667</c:v>
                </c:pt>
                <c:pt idx="52">
                  <c:v>349.67691259476118</c:v>
                </c:pt>
                <c:pt idx="53">
                  <c:v>359.56951229543256</c:v>
                </c:pt>
                <c:pt idx="54">
                  <c:v>369.45615917184494</c:v>
                </c:pt>
                <c:pt idx="55">
                  <c:v>379.33703505493219</c:v>
                </c:pt>
                <c:pt idx="56">
                  <c:v>331.69818048501043</c:v>
                </c:pt>
                <c:pt idx="57">
                  <c:v>341.34154369544399</c:v>
                </c:pt>
                <c:pt idx="58">
                  <c:v>350.97891730211518</c:v>
                </c:pt>
                <c:pt idx="59">
                  <c:v>360.61048905039712</c:v>
                </c:pt>
                <c:pt idx="60">
                  <c:v>370.23643583282006</c:v>
                </c:pt>
                <c:pt idx="61">
                  <c:v>379.3370350549323</c:v>
                </c:pt>
                <c:pt idx="62">
                  <c:v>388.4328841840873</c:v>
                </c:pt>
                <c:pt idx="63">
                  <c:v>397.52411019447635</c:v>
                </c:pt>
                <c:pt idx="64">
                  <c:v>406.61083377583185</c:v>
                </c:pt>
                <c:pt idx="65">
                  <c:v>415.69316978100875</c:v>
                </c:pt>
                <c:pt idx="66">
                  <c:v>367.37524535104586</c:v>
                </c:pt>
                <c:pt idx="67">
                  <c:v>376.21737131771482</c:v>
                </c:pt>
                <c:pt idx="68">
                  <c:v>385.05497224896385</c:v>
                </c:pt>
                <c:pt idx="69">
                  <c:v>393.88816670507435</c:v>
                </c:pt>
                <c:pt idx="70">
                  <c:v>402.7170674919883</c:v>
                </c:pt>
                <c:pt idx="71">
                  <c:v>410.76329650784623</c:v>
                </c:pt>
                <c:pt idx="72">
                  <c:v>418.80612334095326</c:v>
                </c:pt>
                <c:pt idx="73">
                  <c:v>426.84562257899665</c:v>
                </c:pt>
                <c:pt idx="74">
                  <c:v>434.88186576924096</c:v>
                </c:pt>
                <c:pt idx="75">
                  <c:v>442.91492159758701</c:v>
                </c:pt>
                <c:pt idx="76">
                  <c:v>396.22564203021716</c:v>
                </c:pt>
                <c:pt idx="77">
                  <c:v>404.01507966776506</c:v>
                </c:pt>
                <c:pt idx="78">
                  <c:v>411.80127018050945</c:v>
                </c:pt>
                <c:pt idx="79">
                  <c:v>419.58428366133921</c:v>
                </c:pt>
                <c:pt idx="80">
                  <c:v>427.3641873890769</c:v>
                </c:pt>
                <c:pt idx="81">
                  <c:v>434.88186576924096</c:v>
                </c:pt>
                <c:pt idx="82">
                  <c:v>442.39675481769376</c:v>
                </c:pt>
                <c:pt idx="83">
                  <c:v>449.90890862564248</c:v>
                </c:pt>
                <c:pt idx="84">
                  <c:v>457.41837932963108</c:v>
                </c:pt>
                <c:pt idx="85">
                  <c:v>464.92521721380871</c:v>
                </c:pt>
                <c:pt idx="86">
                  <c:v>420.36241288326733</c:v>
                </c:pt>
                <c:pt idx="87">
                  <c:v>427.62346471185884</c:v>
                </c:pt>
                <c:pt idx="88">
                  <c:v>434.8818657599104</c:v>
                </c:pt>
                <c:pt idx="89">
                  <c:v>442.13766653813832</c:v>
                </c:pt>
                <c:pt idx="90">
                  <c:v>449.39091576318475</c:v>
                </c:pt>
                <c:pt idx="91">
                  <c:v>456.1238322029742</c:v>
                </c:pt>
                <c:pt idx="92">
                  <c:v>462.85462552643844</c:v>
                </c:pt>
                <c:pt idx="93">
                  <c:v>469.58333098123245</c:v>
                </c:pt>
                <c:pt idx="94">
                  <c:v>476.30998272188918</c:v>
                </c:pt>
                <c:pt idx="95">
                  <c:v>483.03461385901943</c:v>
                </c:pt>
                <c:pt idx="96">
                  <c:v>441.61948025110081</c:v>
                </c:pt>
                <c:pt idx="97">
                  <c:v>448.09587772266883</c:v>
                </c:pt>
                <c:pt idx="98">
                  <c:v>454.57027201710906</c:v>
                </c:pt>
                <c:pt idx="99">
                  <c:v>461.04269570891182</c:v>
                </c:pt>
                <c:pt idx="100">
                  <c:v>467.51318038276713</c:v>
                </c:pt>
                <c:pt idx="101">
                  <c:v>471.39455324164351</c:v>
                </c:pt>
                <c:pt idx="102">
                  <c:v>475.27524556148791</c:v>
                </c:pt>
                <c:pt idx="103">
                  <c:v>479.15526368827972</c:v>
                </c:pt>
                <c:pt idx="104">
                  <c:v>483.03461385674376</c:v>
                </c:pt>
                <c:pt idx="105">
                  <c:v>486.9133021931998</c:v>
                </c:pt>
                <c:pt idx="106">
                  <c:v>490.79133471831568</c:v>
                </c:pt>
                <c:pt idx="107">
                  <c:v>494.66871734976786</c:v>
                </c:pt>
                <c:pt idx="108">
                  <c:v>498.54545590481524</c:v>
                </c:pt>
                <c:pt idx="109">
                  <c:v>502.4215561027886</c:v>
                </c:pt>
                <c:pt idx="110">
                  <c:v>506.29702356749834</c:v>
                </c:pt>
                <c:pt idx="111">
                  <c:v>465.83103917907715</c:v>
                </c:pt>
                <c:pt idx="112">
                  <c:v>469.32457281797286</c:v>
                </c:pt>
                <c:pt idx="113">
                  <c:v>472.81755244260654</c:v>
                </c:pt>
                <c:pt idx="114">
                  <c:v>476.30998272744341</c:v>
                </c:pt>
                <c:pt idx="115">
                  <c:v>479.80186827273968</c:v>
                </c:pt>
                <c:pt idx="116">
                  <c:v>483.29321360626426</c:v>
                </c:pt>
                <c:pt idx="117">
                  <c:v>486.78402318496927</c:v>
                </c:pt>
                <c:pt idx="118">
                  <c:v>490.27430139660834</c:v>
                </c:pt>
                <c:pt idx="119">
                  <c:v>493.76405256130715</c:v>
                </c:pt>
                <c:pt idx="120">
                  <c:v>497.25328093308735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7965552"/>
        <c:axId val="-1667964464"/>
      </c:scatterChart>
      <c:valAx>
        <c:axId val="-1667965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7964464"/>
        <c:crosses val="autoZero"/>
        <c:crossBetween val="midCat"/>
      </c:valAx>
      <c:valAx>
        <c:axId val="-166796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7965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1.4216684505882042</c:v>
                </c:pt>
                <c:pt idx="2">
                  <c:v>1.6494337208217518</c:v>
                </c:pt>
                <c:pt idx="3">
                  <c:v>1.9138254418871894</c:v>
                </c:pt>
                <c:pt idx="4">
                  <c:v>2.2207542185725906</c:v>
                </c:pt>
                <c:pt idx="5">
                  <c:v>2.5770876404627994</c:v>
                </c:pt>
                <c:pt idx="6">
                  <c:v>2.990805705670585</c:v>
                </c:pt>
                <c:pt idx="7">
                  <c:v>3.4711815591519066</c:v>
                </c:pt>
                <c:pt idx="8">
                  <c:v>4.0289916795822309</c:v>
                </c:pt>
                <c:pt idx="9">
                  <c:v>4.6767603254983152</c:v>
                </c:pt>
                <c:pt idx="10">
                  <c:v>5.4290438391611309</c:v>
                </c:pt>
                <c:pt idx="11">
                  <c:v>6.3027613236217057</c:v>
                </c:pt>
                <c:pt idx="12">
                  <c:v>7.3175792760292708</c:v>
                </c:pt>
                <c:pt idx="13">
                  <c:v>8.4963590030684362</c:v>
                </c:pt>
                <c:pt idx="14">
                  <c:v>9.8656770913865515</c:v>
                </c:pt>
                <c:pt idx="15">
                  <c:v>11.456430890563903</c:v>
                </c:pt>
                <c:pt idx="16">
                  <c:v>13.304542927714031</c:v>
                </c:pt>
                <c:pt idx="17">
                  <c:v>15.45178045675719</c:v>
                </c:pt>
                <c:pt idx="18">
                  <c:v>17.946709004879654</c:v>
                </c:pt>
                <c:pt idx="19">
                  <c:v>20.845801875526238</c:v>
                </c:pt>
                <c:pt idx="20">
                  <c:v>24.214731173527223</c:v>
                </c:pt>
                <c:pt idx="21">
                  <c:v>28.129870117578587</c:v>
                </c:pt>
                <c:pt idx="22">
                  <c:v>32.680041296073831</c:v>
                </c:pt>
                <c:pt idx="23">
                  <c:v>37.968551218170866</c:v>
                </c:pt>
                <c:pt idx="24">
                  <c:v>44.115558145722979</c:v>
                </c:pt>
                <c:pt idx="25">
                  <c:v>51.260827917988813</c:v>
                </c:pt>
                <c:pt idx="26">
                  <c:v>59.56694148009052</c:v>
                </c:pt>
                <c:pt idx="27">
                  <c:v>69.223028308013781</c:v>
                </c:pt>
                <c:pt idx="28">
                  <c:v>80.449112132240245</c:v>
                </c:pt>
                <c:pt idx="29">
                  <c:v>93.501169584014704</c:v>
                </c:pt>
                <c:pt idx="30">
                  <c:v>108.6770189550495</c:v>
                </c:pt>
                <c:pt idx="31">
                  <c:v>119.34299443648099</c:v>
                </c:pt>
                <c:pt idx="32">
                  <c:v>129.98572779937055</c:v>
                </c:pt>
                <c:pt idx="33">
                  <c:v>140.60739267386097</c:v>
                </c:pt>
                <c:pt idx="34">
                  <c:v>151.20980677723819</c:v>
                </c:pt>
                <c:pt idx="35">
                  <c:v>161.79451162968965</c:v>
                </c:pt>
                <c:pt idx="36">
                  <c:v>172.36283025234334</c:v>
                </c:pt>
                <c:pt idx="37">
                  <c:v>182.91590993537883</c:v>
                </c:pt>
                <c:pt idx="38">
                  <c:v>193.45475459645681</c:v>
                </c:pt>
                <c:pt idx="39">
                  <c:v>203.9802497043132</c:v>
                </c:pt>
                <c:pt idx="40">
                  <c:v>214.49318177940339</c:v>
                </c:pt>
                <c:pt idx="41">
                  <c:v>224.99425386510336</c:v>
                </c:pt>
                <c:pt idx="42">
                  <c:v>235.48409795523028</c:v>
                </c:pt>
                <c:pt idx="43">
                  <c:v>245.96328508842066</c:v>
                </c:pt>
                <c:pt idx="44">
                  <c:v>256.43233363020784</c:v>
                </c:pt>
                <c:pt idx="45">
                  <c:v>266.89171613041833</c:v>
                </c:pt>
                <c:pt idx="46">
                  <c:v>277.34186504835151</c:v>
                </c:pt>
                <c:pt idx="47">
                  <c:v>287.78317756918744</c:v>
                </c:pt>
                <c:pt idx="48">
                  <c:v>298.21601968429599</c:v>
                </c:pt>
                <c:pt idx="49">
                  <c:v>308.64072967029892</c:v>
                </c:pt>
                <c:pt idx="50">
                  <c:v>319.05762107321726</c:v>
                </c:pt>
                <c:pt idx="51">
                  <c:v>329.46698528230218</c:v>
                </c:pt>
                <c:pt idx="52">
                  <c:v>239.62904862708442</c:v>
                </c:pt>
                <c:pt idx="53">
                  <c:v>250.49863120592798</c:v>
                </c:pt>
                <c:pt idx="54">
                  <c:v>261.35752258300028</c:v>
                </c:pt>
                <c:pt idx="55">
                  <c:v>272.20622984300024</c:v>
                </c:pt>
                <c:pt idx="56">
                  <c:v>283.04521632285963</c:v>
                </c:pt>
                <c:pt idx="57">
                  <c:v>293.8749069529452</c:v>
                </c:pt>
                <c:pt idx="58">
                  <c:v>304.69569276918497</c:v>
                </c:pt>
                <c:pt idx="59">
                  <c:v>315.5079347502936</c:v>
                </c:pt>
                <c:pt idx="60">
                  <c:v>326.31196710119275</c:v>
                </c:pt>
                <c:pt idx="61">
                  <c:v>337.1081000786217</c:v>
                </c:pt>
                <c:pt idx="62">
                  <c:v>347.89662243569359</c:v>
                </c:pt>
                <c:pt idx="63">
                  <c:v>358.67780354724982</c:v>
                </c:pt>
                <c:pt idx="64">
                  <c:v>260.26114185817181</c:v>
                </c:pt>
                <c:pt idx="65">
                  <c:v>270.15191983895983</c:v>
                </c:pt>
                <c:pt idx="66">
                  <c:v>280.0345501716173</c:v>
                </c:pt>
                <c:pt idx="67">
                  <c:v>289.90936113723336</c:v>
                </c:pt>
                <c:pt idx="68">
                  <c:v>299.77665681093248</c:v>
                </c:pt>
                <c:pt idx="69">
                  <c:v>309.63671960201924</c:v>
                </c:pt>
                <c:pt idx="70">
                  <c:v>319.48981245344106</c:v>
                </c:pt>
                <c:pt idx="71">
                  <c:v>329.33618075557905</c:v>
                </c:pt>
                <c:pt idx="72">
                  <c:v>339.17605401908003</c:v>
                </c:pt>
                <c:pt idx="73">
                  <c:v>349.00964734332246</c:v>
                </c:pt>
                <c:pt idx="74">
                  <c:v>358.83716271066055</c:v>
                </c:pt>
                <c:pt idx="75">
                  <c:v>368.65879013141949</c:v>
                </c:pt>
                <c:pt idx="76">
                  <c:v>292.25038733455762</c:v>
                </c:pt>
                <c:pt idx="77">
                  <c:v>301.24606603569759</c:v>
                </c:pt>
                <c:pt idx="78">
                  <c:v>310.23576528042412</c:v>
                </c:pt>
                <c:pt idx="79">
                  <c:v>319.21968290103354</c:v>
                </c:pt>
                <c:pt idx="80">
                  <c:v>328.19800467714657</c:v>
                </c:pt>
                <c:pt idx="81">
                  <c:v>337.17090538683016</c:v>
                </c:pt>
                <c:pt idx="82">
                  <c:v>346.1385497399192</c:v>
                </c:pt>
                <c:pt idx="83">
                  <c:v>355.10109320951102</c:v>
                </c:pt>
                <c:pt idx="84">
                  <c:v>364.05868277508876</c:v>
                </c:pt>
                <c:pt idx="85">
                  <c:v>373.01145758865351</c:v>
                </c:pt>
                <c:pt idx="86">
                  <c:v>381.95954957353666</c:v>
                </c:pt>
                <c:pt idx="87">
                  <c:v>390.90308396414707</c:v>
                </c:pt>
                <c:pt idx="88">
                  <c:v>316.18695374283868</c:v>
                </c:pt>
                <c:pt idx="89">
                  <c:v>324.32370341717336</c:v>
                </c:pt>
                <c:pt idx="90">
                  <c:v>332.45594204066043</c:v>
                </c:pt>
                <c:pt idx="91">
                  <c:v>340.58379561280861</c:v>
                </c:pt>
                <c:pt idx="92">
                  <c:v>348.7073836236429</c:v>
                </c:pt>
                <c:pt idx="93">
                  <c:v>356.82681953714615</c:v>
                </c:pt>
                <c:pt idx="94">
                  <c:v>364.94221122837575</c:v>
                </c:pt>
                <c:pt idx="95">
                  <c:v>373.05366137964847</c:v>
                </c:pt>
                <c:pt idx="96">
                  <c:v>381.16126784045008</c:v>
                </c:pt>
                <c:pt idx="97">
                  <c:v>389.26512395511077</c:v>
                </c:pt>
                <c:pt idx="98">
                  <c:v>397.36531886175635</c:v>
                </c:pt>
                <c:pt idx="99">
                  <c:v>405.46193776560091</c:v>
                </c:pt>
                <c:pt idx="100">
                  <c:v>212.4138422433582</c:v>
                </c:pt>
                <c:pt idx="101">
                  <c:v>218.14857090006299</c:v>
                </c:pt>
                <c:pt idx="102">
                  <c:v>223.87983474818498</c:v>
                </c:pt>
                <c:pt idx="103">
                  <c:v>229.60773515576807</c:v>
                </c:pt>
                <c:pt idx="104">
                  <c:v>235.33236801173791</c:v>
                </c:pt>
                <c:pt idx="105">
                  <c:v>241.05382415117242</c:v>
                </c:pt>
                <c:pt idx="106">
                  <c:v>246.77218973802863</c:v>
                </c:pt>
                <c:pt idx="107">
                  <c:v>252.48754661049</c:v>
                </c:pt>
                <c:pt idx="108">
                  <c:v>258.19997259336725</c:v>
                </c:pt>
                <c:pt idx="109">
                  <c:v>263.90954178137116</c:v>
                </c:pt>
                <c:pt idx="110">
                  <c:v>8.5093034043935534E-2</c:v>
                </c:pt>
                <c:pt idx="111">
                  <c:v>8.5093034043935534E-2</c:v>
                </c:pt>
                <c:pt idx="112">
                  <c:v>8.5093034043935534E-2</c:v>
                </c:pt>
                <c:pt idx="113">
                  <c:v>8.5093034043935534E-2</c:v>
                </c:pt>
                <c:pt idx="114">
                  <c:v>8.5093034043935534E-2</c:v>
                </c:pt>
                <c:pt idx="115">
                  <c:v>8.5093034043935534E-2</c:v>
                </c:pt>
                <c:pt idx="116">
                  <c:v>8.5093034043935534E-2</c:v>
                </c:pt>
                <c:pt idx="117">
                  <c:v>8.5093034043935534E-2</c:v>
                </c:pt>
                <c:pt idx="118">
                  <c:v>8.5093034043935534E-2</c:v>
                </c:pt>
                <c:pt idx="119">
                  <c:v>8.5093034043935534E-2</c:v>
                </c:pt>
                <c:pt idx="120">
                  <c:v>8.5093034043935534E-2</c:v>
                </c:pt>
                <c:pt idx="121">
                  <c:v>8.5093034043935534E-2</c:v>
                </c:pt>
                <c:pt idx="122">
                  <c:v>8.5093034043935534E-2</c:v>
                </c:pt>
                <c:pt idx="123">
                  <c:v>8.5093034043935534E-2</c:v>
                </c:pt>
                <c:pt idx="124">
                  <c:v>8.5093034043935534E-2</c:v>
                </c:pt>
                <c:pt idx="125">
                  <c:v>8.5093034043935534E-2</c:v>
                </c:pt>
                <c:pt idx="126">
                  <c:v>8.5093034043935534E-2</c:v>
                </c:pt>
                <c:pt idx="127">
                  <c:v>8.5093034043935534E-2</c:v>
                </c:pt>
                <c:pt idx="128">
                  <c:v>8.5093034043935534E-2</c:v>
                </c:pt>
                <c:pt idx="129">
                  <c:v>8.5093034043935534E-2</c:v>
                </c:pt>
                <c:pt idx="130">
                  <c:v>8.5093034043935534E-2</c:v>
                </c:pt>
                <c:pt idx="131">
                  <c:v>8.5093034043935534E-2</c:v>
                </c:pt>
                <c:pt idx="132">
                  <c:v>8.5093034043935534E-2</c:v>
                </c:pt>
                <c:pt idx="133">
                  <c:v>8.5093034043935534E-2</c:v>
                </c:pt>
                <c:pt idx="134">
                  <c:v>8.5093034043935534E-2</c:v>
                </c:pt>
                <c:pt idx="135">
                  <c:v>8.5093034043935534E-2</c:v>
                </c:pt>
                <c:pt idx="136">
                  <c:v>8.5093034043935534E-2</c:v>
                </c:pt>
                <c:pt idx="137">
                  <c:v>8.5093034043935534E-2</c:v>
                </c:pt>
                <c:pt idx="138">
                  <c:v>8.5093034043935534E-2</c:v>
                </c:pt>
                <c:pt idx="139">
                  <c:v>8.5093034043935534E-2</c:v>
                </c:pt>
                <c:pt idx="140">
                  <c:v>8.5093034043935534E-2</c:v>
                </c:pt>
                <c:pt idx="141">
                  <c:v>8.5093034043935534E-2</c:v>
                </c:pt>
                <c:pt idx="142">
                  <c:v>8.5093034043935534E-2</c:v>
                </c:pt>
                <c:pt idx="143">
                  <c:v>8.5093034043935534E-2</c:v>
                </c:pt>
                <c:pt idx="144">
                  <c:v>8.5093034043935534E-2</c:v>
                </c:pt>
                <c:pt idx="145">
                  <c:v>8.5093034043935534E-2</c:v>
                </c:pt>
                <c:pt idx="146">
                  <c:v>8.5093034043935534E-2</c:v>
                </c:pt>
                <c:pt idx="147">
                  <c:v>8.5093034043935534E-2</c:v>
                </c:pt>
                <c:pt idx="148">
                  <c:v>8.5093034043935534E-2</c:v>
                </c:pt>
                <c:pt idx="149">
                  <c:v>8.5093034043935534E-2</c:v>
                </c:pt>
                <c:pt idx="150">
                  <c:v>8.5093034043935534E-2</c:v>
                </c:pt>
                <c:pt idx="151">
                  <c:v>8.5093034043935534E-2</c:v>
                </c:pt>
                <c:pt idx="152">
                  <c:v>8.5093034043935534E-2</c:v>
                </c:pt>
                <c:pt idx="153">
                  <c:v>8.5093034043935534E-2</c:v>
                </c:pt>
                <c:pt idx="154">
                  <c:v>8.5093034043935534E-2</c:v>
                </c:pt>
                <c:pt idx="155">
                  <c:v>8.5093034043935534E-2</c:v>
                </c:pt>
                <c:pt idx="156">
                  <c:v>8.5093034043935534E-2</c:v>
                </c:pt>
                <c:pt idx="157">
                  <c:v>8.5093034043935534E-2</c:v>
                </c:pt>
                <c:pt idx="158">
                  <c:v>8.5093034043935534E-2</c:v>
                </c:pt>
                <c:pt idx="159">
                  <c:v>8.5093034043935534E-2</c:v>
                </c:pt>
                <c:pt idx="160">
                  <c:v>8.5093034043935534E-2</c:v>
                </c:pt>
                <c:pt idx="161">
                  <c:v>8.5093034043935534E-2</c:v>
                </c:pt>
                <c:pt idx="162">
                  <c:v>8.5093034043935534E-2</c:v>
                </c:pt>
                <c:pt idx="163">
                  <c:v>8.5093034043935534E-2</c:v>
                </c:pt>
                <c:pt idx="164">
                  <c:v>8.5093034043935534E-2</c:v>
                </c:pt>
                <c:pt idx="165">
                  <c:v>8.5093034043935534E-2</c:v>
                </c:pt>
                <c:pt idx="166">
                  <c:v>8.5093034043935534E-2</c:v>
                </c:pt>
                <c:pt idx="167">
                  <c:v>8.5093034043935534E-2</c:v>
                </c:pt>
                <c:pt idx="168">
                  <c:v>8.5093034043935534E-2</c:v>
                </c:pt>
                <c:pt idx="169">
                  <c:v>8.5093034043935534E-2</c:v>
                </c:pt>
                <c:pt idx="170">
                  <c:v>8.5093034043935534E-2</c:v>
                </c:pt>
                <c:pt idx="171">
                  <c:v>8.5093034043935534E-2</c:v>
                </c:pt>
                <c:pt idx="172">
                  <c:v>8.5093034043935534E-2</c:v>
                </c:pt>
                <c:pt idx="173">
                  <c:v>8.5093034043935534E-2</c:v>
                </c:pt>
                <c:pt idx="174">
                  <c:v>8.5093034043935534E-2</c:v>
                </c:pt>
                <c:pt idx="175">
                  <c:v>8.5093034043935534E-2</c:v>
                </c:pt>
                <c:pt idx="176">
                  <c:v>8.5093034043935534E-2</c:v>
                </c:pt>
                <c:pt idx="177">
                  <c:v>8.5093034043935534E-2</c:v>
                </c:pt>
                <c:pt idx="178">
                  <c:v>8.5093034043935534E-2</c:v>
                </c:pt>
                <c:pt idx="179">
                  <c:v>8.5093034043935534E-2</c:v>
                </c:pt>
                <c:pt idx="180">
                  <c:v>8.5093034043935534E-2</c:v>
                </c:pt>
                <c:pt idx="181">
                  <c:v>8.5093034043935534E-2</c:v>
                </c:pt>
                <c:pt idx="182">
                  <c:v>8.5093034043935534E-2</c:v>
                </c:pt>
                <c:pt idx="183">
                  <c:v>8.5093034043935534E-2</c:v>
                </c:pt>
                <c:pt idx="184">
                  <c:v>8.5093034043935534E-2</c:v>
                </c:pt>
                <c:pt idx="185">
                  <c:v>8.5093034043935534E-2</c:v>
                </c:pt>
                <c:pt idx="186">
                  <c:v>8.5093034043935534E-2</c:v>
                </c:pt>
                <c:pt idx="187">
                  <c:v>8.5093034043935534E-2</c:v>
                </c:pt>
                <c:pt idx="188">
                  <c:v>8.5093034043935534E-2</c:v>
                </c:pt>
                <c:pt idx="189">
                  <c:v>8.5093034043935534E-2</c:v>
                </c:pt>
                <c:pt idx="190">
                  <c:v>8.5093034043935534E-2</c:v>
                </c:pt>
                <c:pt idx="191">
                  <c:v>8.5093034043935534E-2</c:v>
                </c:pt>
                <c:pt idx="192">
                  <c:v>8.5093034043935534E-2</c:v>
                </c:pt>
                <c:pt idx="193">
                  <c:v>8.5093034043935534E-2</c:v>
                </c:pt>
                <c:pt idx="194">
                  <c:v>8.5093034043935534E-2</c:v>
                </c:pt>
                <c:pt idx="195">
                  <c:v>8.5093034043935534E-2</c:v>
                </c:pt>
                <c:pt idx="196">
                  <c:v>8.5093034043935534E-2</c:v>
                </c:pt>
                <c:pt idx="197">
                  <c:v>8.5093034043935534E-2</c:v>
                </c:pt>
                <c:pt idx="198">
                  <c:v>8.5093034043935534E-2</c:v>
                </c:pt>
                <c:pt idx="199">
                  <c:v>8.5093034043935534E-2</c:v>
                </c:pt>
                <c:pt idx="200">
                  <c:v>8.5093034043935534E-2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7957936"/>
        <c:axId val="-1667957392"/>
      </c:scatterChart>
      <c:valAx>
        <c:axId val="-1667957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7957392"/>
        <c:crosses val="autoZero"/>
        <c:crossBetween val="midCat"/>
      </c:valAx>
      <c:valAx>
        <c:axId val="-166795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7957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7960656"/>
        <c:axId val="-1667960112"/>
      </c:scatterChart>
      <c:valAx>
        <c:axId val="-1667960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7960112"/>
        <c:crosses val="autoZero"/>
        <c:crossBetween val="midCat"/>
      </c:valAx>
      <c:valAx>
        <c:axId val="-166796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7960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7959568"/>
        <c:axId val="-1667963920"/>
      </c:scatterChart>
      <c:valAx>
        <c:axId val="-1667959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7963920"/>
        <c:crosses val="autoZero"/>
        <c:crossBetween val="midCat"/>
      </c:valAx>
      <c:valAx>
        <c:axId val="-166796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7959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7956304"/>
        <c:axId val="-1667953584"/>
      </c:scatterChart>
      <c:valAx>
        <c:axId val="-1667956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7953584"/>
        <c:crosses val="autoZero"/>
        <c:crossBetween val="midCat"/>
      </c:valAx>
      <c:valAx>
        <c:axId val="-166795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67956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4.1928698140991418</c:v>
                </c:pt>
                <c:pt idx="2">
                  <c:v>7.6168365307333579</c:v>
                </c:pt>
                <c:pt idx="3">
                  <c:v>13.851557944382177</c:v>
                </c:pt>
                <c:pt idx="4">
                  <c:v>25.215582848202938</c:v>
                </c:pt>
                <c:pt idx="5">
                  <c:v>45.948466940528562</c:v>
                </c:pt>
                <c:pt idx="6">
                  <c:v>62.916606491893987</c:v>
                </c:pt>
                <c:pt idx="7">
                  <c:v>79.76504064831029</c:v>
                </c:pt>
                <c:pt idx="8">
                  <c:v>96.522861130686337</c:v>
                </c:pt>
                <c:pt idx="9">
                  <c:v>113.20809736584094</c:v>
                </c:pt>
                <c:pt idx="10">
                  <c:v>129.83298609190555</c:v>
                </c:pt>
                <c:pt idx="11">
                  <c:v>112.81157172284342</c:v>
                </c:pt>
                <c:pt idx="12">
                  <c:v>129.43778416851515</c:v>
                </c:pt>
                <c:pt idx="13">
                  <c:v>146.0122974801705</c:v>
                </c:pt>
                <c:pt idx="14">
                  <c:v>162.54181354343527</c:v>
                </c:pt>
                <c:pt idx="15">
                  <c:v>179.03155609796639</c:v>
                </c:pt>
                <c:pt idx="16">
                  <c:v>168.4353371188482</c:v>
                </c:pt>
                <c:pt idx="17">
                  <c:v>183.34426585713663</c:v>
                </c:pt>
                <c:pt idx="18">
                  <c:v>198.22485329351457</c:v>
                </c:pt>
                <c:pt idx="19">
                  <c:v>213.07952740360659</c:v>
                </c:pt>
                <c:pt idx="20">
                  <c:v>227.91034965501248</c:v>
                </c:pt>
                <c:pt idx="21">
                  <c:v>220.88807818771124</c:v>
                </c:pt>
                <c:pt idx="22">
                  <c:v>233.36868457739766</c:v>
                </c:pt>
                <c:pt idx="23">
                  <c:v>245.8340553722112</c:v>
                </c:pt>
                <c:pt idx="24">
                  <c:v>258.28507230454863</c:v>
                </c:pt>
                <c:pt idx="25">
                  <c:v>270.72252510244931</c:v>
                </c:pt>
                <c:pt idx="26">
                  <c:v>265.28276128060071</c:v>
                </c:pt>
                <c:pt idx="27">
                  <c:v>275.38322031086642</c:v>
                </c:pt>
                <c:pt idx="28">
                  <c:v>285.47535981120433</c:v>
                </c:pt>
                <c:pt idx="29">
                  <c:v>295.55951555452697</c:v>
                </c:pt>
                <c:pt idx="30">
                  <c:v>305.63599851497548</c:v>
                </c:pt>
                <c:pt idx="31">
                  <c:v>302.14883502279832</c:v>
                </c:pt>
                <c:pt idx="32">
                  <c:v>310.28417578084361</c:v>
                </c:pt>
                <c:pt idx="33">
                  <c:v>318.41478230164341</c:v>
                </c:pt>
                <c:pt idx="34">
                  <c:v>326.54079262774405</c:v>
                </c:pt>
                <c:pt idx="35">
                  <c:v>334.66233736464375</c:v>
                </c:pt>
                <c:pt idx="36">
                  <c:v>332.34234434510194</c:v>
                </c:pt>
                <c:pt idx="37">
                  <c:v>339.68777684695164</c:v>
                </c:pt>
                <c:pt idx="38">
                  <c:v>347.02971529409774</c:v>
                </c:pt>
                <c:pt idx="39">
                  <c:v>354.36824410252262</c:v>
                </c:pt>
                <c:pt idx="40">
                  <c:v>361.70344390352261</c:v>
                </c:pt>
                <c:pt idx="41">
                  <c:v>361.31746248867267</c:v>
                </c:pt>
                <c:pt idx="42">
                  <c:v>368.64957965965004</c:v>
                </c:pt>
                <c:pt idx="43">
                  <c:v>375.97851488636002</c:v>
                </c:pt>
                <c:pt idx="44">
                  <c:v>383.30433899319883</c:v>
                </c:pt>
                <c:pt idx="45">
                  <c:v>390.62711987431993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9828960"/>
        <c:axId val="-1879827328"/>
      </c:scatterChart>
      <c:valAx>
        <c:axId val="-1879828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79827328"/>
        <c:crosses val="autoZero"/>
        <c:crossBetween val="midCat"/>
      </c:valAx>
      <c:valAx>
        <c:axId val="-18798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79828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9826240"/>
        <c:axId val="-1879825696"/>
      </c:scatterChart>
      <c:valAx>
        <c:axId val="-1879826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79825696"/>
        <c:crosses val="autoZero"/>
        <c:crossBetween val="midCat"/>
      </c:valAx>
      <c:valAx>
        <c:axId val="-187982569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79826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B1" zoomScale="80" zoomScaleNormal="80" workbookViewId="0">
      <selection activeCell="B12" sqref="B12"/>
    </sheetView>
  </sheetViews>
  <sheetFormatPr defaultColWidth="11.42578125" defaultRowHeight="14.45"/>
  <cols>
    <col min="1" max="1" width="6.7109375" customWidth="1"/>
    <col min="2" max="13" width="15.85546875" customWidth="1"/>
  </cols>
  <sheetData>
    <row r="12" spans="2:13" ht="15" customHeight="1">
      <c r="B12" s="258" t="s">
        <v>0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>
      <c r="B18" s="258" t="s">
        <v>1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2" zoomScale="70" zoomScaleNormal="70" workbookViewId="0">
      <selection activeCell="J74" sqref="J74"/>
    </sheetView>
  </sheetViews>
  <sheetFormatPr defaultColWidth="11.42578125" defaultRowHeight="14.4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>
      <c r="A1" s="4"/>
      <c r="B1" s="4"/>
      <c r="C1" s="259" t="s">
        <v>2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5" thickBot="1">
      <c r="A3" s="4"/>
      <c r="B3" s="264" t="s">
        <v>4</v>
      </c>
      <c r="C3" s="265"/>
      <c r="D3" s="265"/>
      <c r="E3" s="265"/>
      <c r="F3" s="266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9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9">
      <c r="A5" s="269" t="s">
        <v>7</v>
      </c>
      <c r="B5" s="269"/>
      <c r="C5" s="24">
        <v>5.8</v>
      </c>
      <c r="D5" s="270" t="s">
        <v>8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9">
      <c r="A7" s="268" t="s">
        <v>9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>
      <c r="A9" s="30" t="s">
        <v>15</v>
      </c>
      <c r="B9" s="31"/>
      <c r="C9" s="32"/>
      <c r="D9" s="33">
        <f t="shared" ref="D9:D18" si="0">C9*$C$5</f>
        <v>0</v>
      </c>
      <c r="E9" s="34"/>
      <c r="F9" s="35" t="str">
        <f t="array" ref="F9">IF(E9="","",IF(INDEX(A:A,MAX(IF(ISNUMBER($A$36:$A$55),ROW($A$36:$A$55),"")))&lt;&gt;E9,"Corrigez : révolution incorrecte","OK"))</f>
        <v/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>
      <c r="A10" s="30" t="s">
        <v>17</v>
      </c>
      <c r="B10" s="31" t="s">
        <v>18</v>
      </c>
      <c r="C10" s="32">
        <v>3.9408284023668638E-2</v>
      </c>
      <c r="D10" s="33">
        <f t="shared" si="0"/>
        <v>0.22856804733727809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30" t="s">
        <v>19</v>
      </c>
      <c r="B11" s="31" t="s">
        <v>20</v>
      </c>
      <c r="C11" s="32">
        <v>0.15905325443786983</v>
      </c>
      <c r="D11" s="33">
        <f t="shared" si="0"/>
        <v>0.92250887573964502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A12" s="30" t="s">
        <v>21</v>
      </c>
      <c r="B12" s="31" t="s">
        <v>22</v>
      </c>
      <c r="C12" s="32">
        <v>3.502958579881657E-2</v>
      </c>
      <c r="D12" s="33">
        <f t="shared" si="0"/>
        <v>0.20317159763313611</v>
      </c>
      <c r="E12" s="34">
        <v>109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30" t="s">
        <v>23</v>
      </c>
      <c r="B13" s="31" t="s">
        <v>24</v>
      </c>
      <c r="C13" s="32">
        <v>7.1597633136094671E-2</v>
      </c>
      <c r="D13" s="33">
        <f t="shared" si="0"/>
        <v>0.41526627218934908</v>
      </c>
      <c r="E13" s="34">
        <v>69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30" t="s">
        <v>25</v>
      </c>
      <c r="B14" s="31" t="s">
        <v>26</v>
      </c>
      <c r="C14" s="32">
        <v>0.11834319526627218</v>
      </c>
      <c r="D14" s="33">
        <f t="shared" si="0"/>
        <v>0.68639053254437865</v>
      </c>
      <c r="E14" s="34">
        <v>150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30" t="s">
        <v>27</v>
      </c>
      <c r="B15" s="31" t="s">
        <v>28</v>
      </c>
      <c r="C15" s="32">
        <v>0.3</v>
      </c>
      <c r="D15" s="33">
        <f t="shared" si="0"/>
        <v>1.74</v>
      </c>
      <c r="E15" s="34">
        <v>150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30" t="s">
        <v>29</v>
      </c>
      <c r="B16" s="31" t="s">
        <v>30</v>
      </c>
      <c r="C16" s="32">
        <v>0.1</v>
      </c>
      <c r="D16" s="33">
        <f t="shared" si="0"/>
        <v>0.57999999999999996</v>
      </c>
      <c r="E16" s="34">
        <v>45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>
      <c r="A17" s="30" t="s">
        <v>31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>
      <c r="A18" s="30" t="s">
        <v>32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>
      <c r="A19" s="78"/>
      <c r="B19" s="36" t="s">
        <v>33</v>
      </c>
      <c r="C19" s="37">
        <f>SUM(C9:C18)</f>
        <v>0.82343195266272184</v>
      </c>
      <c r="D19" s="38">
        <f>SUM(D9:D18)</f>
        <v>4.7759053254437873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>
      <c r="A22" s="267" t="s">
        <v>34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>
      <c r="A24" s="41" t="s">
        <v>35</v>
      </c>
      <c r="B24" s="42" t="s">
        <v>36</v>
      </c>
      <c r="C24" s="43">
        <v>0</v>
      </c>
      <c r="D24" s="44" t="s">
        <v>37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>
      <c r="A25" s="41" t="s">
        <v>38</v>
      </c>
      <c r="B25" s="42" t="s">
        <v>39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>
      <c r="A26" s="41" t="s">
        <v>40</v>
      </c>
      <c r="B26" s="42" t="s">
        <v>41</v>
      </c>
      <c r="C26" s="43">
        <v>0.05</v>
      </c>
      <c r="D26" s="44" t="s">
        <v>42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>
      <c r="A27" s="41" t="s">
        <v>43</v>
      </c>
      <c r="B27" s="42" t="s">
        <v>44</v>
      </c>
      <c r="C27" s="43">
        <v>0.1</v>
      </c>
      <c r="D27" s="44" t="s">
        <v>45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>
      <c r="A30" s="268" t="s">
        <v>46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>
      <c r="A32" s="46" t="s">
        <v>15</v>
      </c>
      <c r="B32" s="47" t="str">
        <f>IF(B9="","",B9)</f>
        <v/>
      </c>
      <c r="D32" s="229" t="s">
        <v>47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>
      <c r="A34" s="4"/>
      <c r="B34" s="85" t="s">
        <v>48</v>
      </c>
      <c r="C34" s="260" t="s">
        <v>49</v>
      </c>
      <c r="D34" s="260"/>
      <c r="E34" s="261" t="s">
        <v>50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15">
      <c r="A35" s="36" t="s">
        <v>51</v>
      </c>
      <c r="B35" s="36" t="s">
        <v>52</v>
      </c>
      <c r="C35" s="48" t="s">
        <v>53</v>
      </c>
      <c r="D35" s="48" t="s">
        <v>54</v>
      </c>
      <c r="E35" s="36" t="s">
        <v>55</v>
      </c>
      <c r="F35" s="36" t="s">
        <v>56</v>
      </c>
      <c r="G35" s="36" t="s">
        <v>57</v>
      </c>
      <c r="H35" s="36" t="s">
        <v>58</v>
      </c>
      <c r="I35" s="48" t="s">
        <v>59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>
      <c r="A36" s="50"/>
      <c r="B36" s="60"/>
      <c r="C36" s="60"/>
      <c r="D36" s="60"/>
      <c r="E36" s="51"/>
      <c r="F36" s="51"/>
      <c r="G36" s="51"/>
      <c r="H36" s="51"/>
      <c r="I36" s="49" t="str">
        <f>IFERROR(B36/A36,"")</f>
        <v/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>
      <c r="A37" s="50"/>
      <c r="B37" s="60"/>
      <c r="C37" s="60"/>
      <c r="D37" s="60"/>
      <c r="E37" s="51"/>
      <c r="F37" s="51"/>
      <c r="G37" s="51"/>
      <c r="H37" s="51"/>
      <c r="I37" s="53" t="str">
        <f t="shared" ref="I37:I55" si="1">IF(A37&lt;&gt;0,(B37-(B36-D36))/(A37-A36),"")</f>
        <v/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>
      <c r="A38" s="50"/>
      <c r="B38" s="60"/>
      <c r="C38" s="60"/>
      <c r="D38" s="60"/>
      <c r="E38" s="51"/>
      <c r="F38" s="51"/>
      <c r="G38" s="51"/>
      <c r="H38" s="51"/>
      <c r="I38" s="53" t="str">
        <f t="shared" si="1"/>
        <v/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>
      <c r="A58" s="46" t="s">
        <v>17</v>
      </c>
      <c r="B58" s="52" t="str">
        <f>IF(B10="","",B10)</f>
        <v>Erable champêtre</v>
      </c>
      <c r="D58" s="229" t="s">
        <v>47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>
      <c r="A60" s="4"/>
      <c r="B60" s="85" t="s">
        <v>48</v>
      </c>
      <c r="C60" s="260" t="s">
        <v>49</v>
      </c>
      <c r="D60" s="260"/>
      <c r="E60" s="261" t="s">
        <v>50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15">
      <c r="A61" s="36" t="s">
        <v>51</v>
      </c>
      <c r="B61" s="36" t="s">
        <v>52</v>
      </c>
      <c r="C61" s="48" t="s">
        <v>53</v>
      </c>
      <c r="D61" s="48" t="s">
        <v>54</v>
      </c>
      <c r="E61" s="36" t="s">
        <v>55</v>
      </c>
      <c r="F61" s="36" t="s">
        <v>56</v>
      </c>
      <c r="G61" s="36" t="s">
        <v>57</v>
      </c>
      <c r="H61" s="36" t="s">
        <v>58</v>
      </c>
      <c r="I61" s="48" t="s">
        <v>59</v>
      </c>
      <c r="J61" s="23" t="s">
        <v>60</v>
      </c>
      <c r="K61" s="224" t="s">
        <v>61</v>
      </c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>
      <c r="A62" s="50">
        <v>15</v>
      </c>
      <c r="B62" s="60">
        <v>37</v>
      </c>
      <c r="C62" s="60"/>
      <c r="D62" s="60"/>
      <c r="E62" s="51"/>
      <c r="F62" s="51"/>
      <c r="G62" s="51"/>
      <c r="H62" s="51"/>
      <c r="I62" s="53">
        <f>IFERROR(B62/A62,"")</f>
        <v>2.4666666666666668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>
      <c r="A63" s="50">
        <v>20</v>
      </c>
      <c r="B63" s="60">
        <v>95</v>
      </c>
      <c r="C63" s="60">
        <v>1</v>
      </c>
      <c r="D63" s="60">
        <f>15+28</f>
        <v>43</v>
      </c>
      <c r="E63" s="51"/>
      <c r="F63" s="51"/>
      <c r="G63" s="51"/>
      <c r="H63" s="51">
        <v>1</v>
      </c>
      <c r="I63" s="49">
        <f>IF(A63&lt;&gt;0,(B63-(B62-D62))/(A63-A62),"")</f>
        <v>11.6</v>
      </c>
      <c r="J63" s="23" t="s">
        <v>62</v>
      </c>
      <c r="K63" s="257" t="s">
        <v>63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>
      <c r="A64" s="50">
        <v>25</v>
      </c>
      <c r="B64" s="60">
        <v>115</v>
      </c>
      <c r="C64" s="60"/>
      <c r="D64" s="60"/>
      <c r="E64" s="51"/>
      <c r="F64" s="51"/>
      <c r="G64" s="51"/>
      <c r="H64" s="51"/>
      <c r="I64" s="49">
        <f>IF(A64&lt;&gt;0,(B64-(B63-D63))/(A64-A63),"")</f>
        <v>12.6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>
      <c r="A65" s="50">
        <v>30</v>
      </c>
      <c r="B65" s="60">
        <v>175</v>
      </c>
      <c r="C65" s="60">
        <v>2</v>
      </c>
      <c r="D65" s="60">
        <f>28+28</f>
        <v>56</v>
      </c>
      <c r="E65" s="51"/>
      <c r="F65" s="51"/>
      <c r="G65" s="51"/>
      <c r="H65" s="51">
        <v>1</v>
      </c>
      <c r="I65" s="49">
        <f>IF(A65&lt;&gt;0,(B65-(B64-D64))/(A65-A64),"")</f>
        <v>12</v>
      </c>
      <c r="J65" s="23" t="s">
        <v>64</v>
      </c>
      <c r="K65" s="257" t="s">
        <v>65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>
      <c r="A66" s="50">
        <v>35</v>
      </c>
      <c r="B66" s="60">
        <v>172</v>
      </c>
      <c r="C66" s="60"/>
      <c r="D66" s="60"/>
      <c r="E66" s="51"/>
      <c r="F66" s="51"/>
      <c r="G66" s="51"/>
      <c r="H66" s="51"/>
      <c r="I66" s="49">
        <f t="shared" ref="I66:I81" si="2">IF(A66&lt;&gt;0,(B66-(B65-D65))/(A66-A65),"")</f>
        <v>10.6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>
      <c r="A67" s="50">
        <v>40</v>
      </c>
      <c r="B67" s="60">
        <v>220</v>
      </c>
      <c r="C67" s="60">
        <v>3</v>
      </c>
      <c r="D67" s="60">
        <f>28+28</f>
        <v>56</v>
      </c>
      <c r="E67" s="51"/>
      <c r="F67" s="51"/>
      <c r="G67" s="51"/>
      <c r="H67" s="51"/>
      <c r="I67" s="49">
        <f t="shared" si="2"/>
        <v>9.6</v>
      </c>
      <c r="J67" s="23" t="s">
        <v>66</v>
      </c>
      <c r="K67" s="257" t="s">
        <v>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>
      <c r="A68" s="50">
        <v>45</v>
      </c>
      <c r="B68" s="60">
        <v>205</v>
      </c>
      <c r="C68" s="60"/>
      <c r="D68" s="60"/>
      <c r="E68" s="51"/>
      <c r="F68" s="51"/>
      <c r="G68" s="51"/>
      <c r="H68" s="51"/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>
      <c r="A69" s="50">
        <v>50</v>
      </c>
      <c r="B69" s="50">
        <v>240</v>
      </c>
      <c r="C69" s="50">
        <v>4</v>
      </c>
      <c r="D69" s="50">
        <f>22+17</f>
        <v>39</v>
      </c>
      <c r="E69" s="51"/>
      <c r="F69" s="51"/>
      <c r="G69" s="51"/>
      <c r="H69" s="51"/>
      <c r="I69" s="49">
        <f t="shared" si="2"/>
        <v>7</v>
      </c>
      <c r="J69" s="23" t="s">
        <v>67</v>
      </c>
      <c r="K69" s="257" t="s">
        <v>68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>
      <c r="A70" s="50">
        <v>55</v>
      </c>
      <c r="B70" s="50">
        <v>233</v>
      </c>
      <c r="C70" s="50"/>
      <c r="D70" s="50"/>
      <c r="E70" s="51"/>
      <c r="F70" s="51"/>
      <c r="G70" s="51"/>
      <c r="H70" s="51"/>
      <c r="I70" s="49">
        <f t="shared" si="2"/>
        <v>6.4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>
      <c r="A71" s="50">
        <v>60</v>
      </c>
      <c r="B71" s="50">
        <v>258</v>
      </c>
      <c r="C71" s="50">
        <v>5</v>
      </c>
      <c r="D71" s="50">
        <f>13+12</f>
        <v>25</v>
      </c>
      <c r="E71" s="51"/>
      <c r="F71" s="51"/>
      <c r="G71" s="51"/>
      <c r="H71" s="51"/>
      <c r="I71" s="49">
        <f t="shared" si="2"/>
        <v>5</v>
      </c>
      <c r="J71" s="23" t="s">
        <v>69</v>
      </c>
      <c r="K71" s="257" t="s">
        <v>70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>
      <c r="A72" s="50">
        <v>65</v>
      </c>
      <c r="B72" s="50">
        <v>255</v>
      </c>
      <c r="C72" s="50"/>
      <c r="D72" s="50"/>
      <c r="E72" s="51"/>
      <c r="F72" s="51"/>
      <c r="G72" s="51"/>
      <c r="H72" s="51"/>
      <c r="I72" s="49">
        <f t="shared" si="2"/>
        <v>4.4000000000000004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>
      <c r="A73" s="50">
        <v>70</v>
      </c>
      <c r="B73" s="50">
        <v>274</v>
      </c>
      <c r="C73" s="50">
        <v>6</v>
      </c>
      <c r="D73" s="50">
        <f>10+11</f>
        <v>21</v>
      </c>
      <c r="E73" s="51"/>
      <c r="F73" s="51"/>
      <c r="G73" s="51"/>
      <c r="H73" s="51"/>
      <c r="I73" s="49">
        <f t="shared" si="2"/>
        <v>3.8</v>
      </c>
      <c r="J73" s="23" t="s">
        <v>71</v>
      </c>
      <c r="K73" s="257" t="s">
        <v>72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>
      <c r="A74" s="50">
        <v>75</v>
      </c>
      <c r="B74" s="50">
        <v>270</v>
      </c>
      <c r="C74" s="50">
        <v>7</v>
      </c>
      <c r="D74" s="50">
        <v>9</v>
      </c>
      <c r="E74" s="51"/>
      <c r="F74" s="51"/>
      <c r="G74" s="51"/>
      <c r="H74" s="51"/>
      <c r="I74" s="49">
        <f t="shared" si="2"/>
        <v>3.4</v>
      </c>
      <c r="K74" s="257" t="s">
        <v>73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>
      <c r="A75" s="50">
        <v>80</v>
      </c>
      <c r="B75" s="50">
        <v>276</v>
      </c>
      <c r="C75" s="50">
        <v>8</v>
      </c>
      <c r="D75" s="50">
        <f>B75</f>
        <v>276</v>
      </c>
      <c r="E75" s="51"/>
      <c r="F75" s="51"/>
      <c r="G75" s="51"/>
      <c r="H75" s="51"/>
      <c r="I75" s="49">
        <f t="shared" si="2"/>
        <v>3</v>
      </c>
      <c r="K75" s="257" t="s">
        <v>74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>
      <c r="A84" s="46" t="s">
        <v>19</v>
      </c>
      <c r="B84" s="52" t="str">
        <f>IF(B11="","",B11)</f>
        <v>Charme</v>
      </c>
      <c r="D84" s="229" t="s">
        <v>47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>
      <c r="A86" s="4"/>
      <c r="B86" s="85" t="s">
        <v>48</v>
      </c>
      <c r="C86" s="260" t="s">
        <v>49</v>
      </c>
      <c r="D86" s="260"/>
      <c r="E86" s="261" t="s">
        <v>50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15">
      <c r="A87" s="36" t="s">
        <v>51</v>
      </c>
      <c r="B87" s="36" t="s">
        <v>52</v>
      </c>
      <c r="C87" s="48" t="s">
        <v>53</v>
      </c>
      <c r="D87" s="48" t="s">
        <v>54</v>
      </c>
      <c r="E87" s="36" t="s">
        <v>55</v>
      </c>
      <c r="F87" s="36" t="s">
        <v>56</v>
      </c>
      <c r="G87" s="36" t="s">
        <v>57</v>
      </c>
      <c r="H87" s="36" t="s">
        <v>58</v>
      </c>
      <c r="I87" s="48" t="s">
        <v>59</v>
      </c>
      <c r="J87" s="23" t="s">
        <v>60</v>
      </c>
      <c r="K87" s="23" t="s">
        <v>61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>
      <c r="A88" s="50">
        <v>15</v>
      </c>
      <c r="B88" s="60">
        <f>53/1.56</f>
        <v>33.974358974358971</v>
      </c>
      <c r="C88" s="60"/>
      <c r="D88" s="60"/>
      <c r="E88" s="51"/>
      <c r="F88" s="51"/>
      <c r="G88" s="51"/>
      <c r="H88" s="87"/>
      <c r="I88" s="53">
        <f>IFERROR(B88/A88,"")</f>
        <v>2.2649572649572649</v>
      </c>
      <c r="J88" s="257" t="s">
        <v>75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>
      <c r="A89" s="50">
        <v>20</v>
      </c>
      <c r="B89" s="60">
        <f>(89+10)/1.56</f>
        <v>63.46153846153846</v>
      </c>
      <c r="C89" s="60"/>
      <c r="D89" s="60"/>
      <c r="E89" s="51"/>
      <c r="F89" s="51"/>
      <c r="G89" s="51"/>
      <c r="H89" s="87"/>
      <c r="I89" s="53">
        <f t="shared" ref="I89:I107" si="3">IF(A89&lt;&gt;0,(B89-(B88-D88))/(A89-A88),"")</f>
        <v>5.8974358974358978</v>
      </c>
      <c r="J89" s="257" t="s">
        <v>76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>
      <c r="A90" s="50">
        <v>25</v>
      </c>
      <c r="B90" s="60">
        <f>(123+10+14)/1.56</f>
        <v>94.230769230769226</v>
      </c>
      <c r="C90" s="60">
        <v>1</v>
      </c>
      <c r="D90" s="60">
        <f>(10+14+18)/1.56</f>
        <v>26.923076923076923</v>
      </c>
      <c r="E90" s="87"/>
      <c r="F90" s="87"/>
      <c r="G90" s="87"/>
      <c r="H90" s="87">
        <v>1</v>
      </c>
      <c r="I90" s="53">
        <f t="shared" si="3"/>
        <v>6.1538461538461533</v>
      </c>
      <c r="J90" s="257" t="s">
        <v>77</v>
      </c>
      <c r="K90" s="257" t="s">
        <v>78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>
      <c r="A91" s="50">
        <v>30</v>
      </c>
      <c r="B91" s="60">
        <f>(154)/1.56</f>
        <v>98.717948717948715</v>
      </c>
      <c r="C91" s="60"/>
      <c r="D91" s="60"/>
      <c r="E91" s="87"/>
      <c r="F91" s="87"/>
      <c r="G91" s="87"/>
      <c r="H91" s="87"/>
      <c r="I91" s="53">
        <f t="shared" si="3"/>
        <v>6.2820512820512819</v>
      </c>
      <c r="J91" s="257" t="s">
        <v>79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>
      <c r="A92" s="50">
        <v>35</v>
      </c>
      <c r="B92" s="60">
        <f>(182+20)/1.56</f>
        <v>129.48717948717947</v>
      </c>
      <c r="C92" s="60">
        <v>2</v>
      </c>
      <c r="D92" s="60">
        <f>(20+21)/1.56</f>
        <v>26.282051282051281</v>
      </c>
      <c r="E92" s="87"/>
      <c r="F92" s="87"/>
      <c r="G92" s="87"/>
      <c r="H92" s="87"/>
      <c r="I92" s="53">
        <f t="shared" si="3"/>
        <v>6.1538461538461515</v>
      </c>
      <c r="J92" s="257" t="s">
        <v>80</v>
      </c>
      <c r="K92" s="257" t="s">
        <v>81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>
      <c r="A93" s="50">
        <v>40</v>
      </c>
      <c r="B93" s="60">
        <f>(206)/1.56</f>
        <v>132.05128205128204</v>
      </c>
      <c r="C93" s="60"/>
      <c r="D93" s="60"/>
      <c r="E93" s="87"/>
      <c r="F93" s="87"/>
      <c r="G93" s="87"/>
      <c r="H93" s="87"/>
      <c r="I93" s="53">
        <f t="shared" si="3"/>
        <v>5.7692307692307709</v>
      </c>
      <c r="J93" s="257" t="s">
        <v>82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>
      <c r="A94" s="50">
        <v>45</v>
      </c>
      <c r="B94" s="60">
        <f>(228+22)/1.56</f>
        <v>160.25641025641025</v>
      </c>
      <c r="C94" s="60">
        <v>3</v>
      </c>
      <c r="D94" s="60">
        <f>(22+22)/1.56</f>
        <v>28.205128205128204</v>
      </c>
      <c r="E94" s="87"/>
      <c r="F94" s="87"/>
      <c r="G94" s="87"/>
      <c r="H94" s="87"/>
      <c r="I94" s="53">
        <f t="shared" si="3"/>
        <v>5.6410256410256405</v>
      </c>
      <c r="J94" s="257" t="s">
        <v>83</v>
      </c>
      <c r="K94" s="257" t="s">
        <v>84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>
      <c r="A95" s="60">
        <v>50</v>
      </c>
      <c r="B95" s="60">
        <f>(247)/1.56</f>
        <v>158.33333333333331</v>
      </c>
      <c r="C95" s="60"/>
      <c r="D95" s="60"/>
      <c r="E95" s="87"/>
      <c r="F95" s="87"/>
      <c r="G95" s="87"/>
      <c r="H95" s="87"/>
      <c r="I95" s="53">
        <f t="shared" si="3"/>
        <v>5.2564102564102537</v>
      </c>
      <c r="J95" s="257" t="s">
        <v>85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>
      <c r="A96" s="60">
        <v>55</v>
      </c>
      <c r="B96" s="60">
        <f>(263+22)/1.56</f>
        <v>182.69230769230768</v>
      </c>
      <c r="C96" s="60">
        <v>4</v>
      </c>
      <c r="D96" s="60">
        <f>(22+22)/1.56</f>
        <v>28.205128205128204</v>
      </c>
      <c r="E96" s="87"/>
      <c r="F96" s="87"/>
      <c r="G96" s="87"/>
      <c r="H96" s="87"/>
      <c r="I96" s="53">
        <f t="shared" si="3"/>
        <v>4.8717948717948731</v>
      </c>
      <c r="J96" s="257" t="s">
        <v>86</v>
      </c>
      <c r="K96" s="23" t="s">
        <v>84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>
      <c r="A97" s="60">
        <v>60</v>
      </c>
      <c r="B97" s="60">
        <f>(278)/1.56</f>
        <v>178.2051282051282</v>
      </c>
      <c r="C97" s="60"/>
      <c r="D97" s="60"/>
      <c r="E97" s="87"/>
      <c r="F97" s="87"/>
      <c r="G97" s="87"/>
      <c r="H97" s="87"/>
      <c r="I97" s="53">
        <f t="shared" si="3"/>
        <v>4.7435897435897463</v>
      </c>
      <c r="J97" s="257" t="s">
        <v>87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>
      <c r="A98" s="60">
        <v>65</v>
      </c>
      <c r="B98" s="60">
        <f>(291+22)/1.56</f>
        <v>200.64102564102564</v>
      </c>
      <c r="C98" s="60">
        <v>5</v>
      </c>
      <c r="D98" s="60">
        <f>(22+22)/1.56</f>
        <v>28.205128205128204</v>
      </c>
      <c r="E98" s="87"/>
      <c r="F98" s="87"/>
      <c r="G98" s="87"/>
      <c r="H98" s="87"/>
      <c r="I98" s="53">
        <f t="shared" si="3"/>
        <v>4.4871794871794863</v>
      </c>
      <c r="J98" s="257" t="s">
        <v>88</v>
      </c>
      <c r="K98" s="23" t="s">
        <v>84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>
      <c r="A99" s="60">
        <v>70</v>
      </c>
      <c r="B99" s="60">
        <f>(303)/1.56</f>
        <v>194.23076923076923</v>
      </c>
      <c r="C99" s="60"/>
      <c r="D99" s="60"/>
      <c r="E99" s="87"/>
      <c r="F99" s="87"/>
      <c r="G99" s="87"/>
      <c r="H99" s="87"/>
      <c r="I99" s="53">
        <f t="shared" si="3"/>
        <v>4.3589743589743595</v>
      </c>
      <c r="J99" s="257" t="s">
        <v>89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>
      <c r="A100" s="60">
        <v>75</v>
      </c>
      <c r="B100" s="60">
        <f>(313+21)/1.56</f>
        <v>214.10256410256409</v>
      </c>
      <c r="C100" s="60">
        <v>6</v>
      </c>
      <c r="D100" s="60">
        <f>(21+21)/1.56</f>
        <v>26.923076923076923</v>
      </c>
      <c r="E100" s="65"/>
      <c r="F100" s="65"/>
      <c r="G100" s="65"/>
      <c r="H100" s="65"/>
      <c r="I100" s="53">
        <f t="shared" si="3"/>
        <v>3.9743589743589722</v>
      </c>
      <c r="J100" s="257" t="s">
        <v>90</v>
      </c>
      <c r="K100" s="257" t="s">
        <v>91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>
      <c r="A101" s="60">
        <v>80</v>
      </c>
      <c r="B101" s="60">
        <f>(322)/1.56</f>
        <v>206.41025641025641</v>
      </c>
      <c r="C101" s="60"/>
      <c r="D101" s="60"/>
      <c r="E101" s="65"/>
      <c r="F101" s="65"/>
      <c r="G101" s="65"/>
      <c r="H101" s="65"/>
      <c r="I101" s="53">
        <f t="shared" si="3"/>
        <v>3.8461538461538511</v>
      </c>
      <c r="J101" s="257" t="s">
        <v>92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>
      <c r="A102" s="60">
        <v>85</v>
      </c>
      <c r="B102" s="50">
        <v>225</v>
      </c>
      <c r="C102" s="60">
        <v>7</v>
      </c>
      <c r="D102" s="50">
        <v>25.641025641025639</v>
      </c>
      <c r="E102" s="54"/>
      <c r="F102" s="54"/>
      <c r="G102" s="54"/>
      <c r="H102" s="54"/>
      <c r="I102" s="53">
        <f t="shared" si="3"/>
        <v>3.7179487179487181</v>
      </c>
      <c r="J102" s="257" t="s">
        <v>93</v>
      </c>
      <c r="K102" s="257" t="s">
        <v>94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>
      <c r="A103" s="60">
        <v>90</v>
      </c>
      <c r="B103" s="50">
        <v>217.30769230000001</v>
      </c>
      <c r="C103" s="60"/>
      <c r="D103" s="50"/>
      <c r="E103" s="54"/>
      <c r="F103" s="54"/>
      <c r="G103" s="54"/>
      <c r="H103" s="54"/>
      <c r="I103" s="53">
        <f t="shared" si="3"/>
        <v>3.5897435882051298</v>
      </c>
      <c r="J103" s="257" t="s">
        <v>95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>
      <c r="A104" s="60">
        <v>95</v>
      </c>
      <c r="B104" s="50">
        <v>233.97435897435898</v>
      </c>
      <c r="C104" s="60">
        <v>8</v>
      </c>
      <c r="D104" s="50">
        <v>23.717948717948715</v>
      </c>
      <c r="E104" s="54"/>
      <c r="F104" s="54"/>
      <c r="G104" s="54"/>
      <c r="H104" s="54"/>
      <c r="I104" s="53">
        <f t="shared" si="3"/>
        <v>3.3333333348717931</v>
      </c>
      <c r="J104" s="257" t="s">
        <v>96</v>
      </c>
      <c r="K104" s="257" t="s">
        <v>97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>
      <c r="A105" s="50">
        <v>100</v>
      </c>
      <c r="B105" s="50">
        <v>226.28205128205127</v>
      </c>
      <c r="C105" s="50"/>
      <c r="D105" s="50"/>
      <c r="E105" s="54"/>
      <c r="F105" s="54"/>
      <c r="G105" s="54"/>
      <c r="H105" s="54"/>
      <c r="I105" s="53">
        <f t="shared" si="3"/>
        <v>3.2051282051281986</v>
      </c>
      <c r="J105" s="257" t="s">
        <v>98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>
      <c r="A106" s="50">
        <v>110</v>
      </c>
      <c r="B106" s="50">
        <v>245.51282051000001</v>
      </c>
      <c r="C106" s="50">
        <v>9</v>
      </c>
      <c r="D106" s="50">
        <v>21.794871789999998</v>
      </c>
      <c r="E106" s="54"/>
      <c r="F106" s="54"/>
      <c r="G106" s="54"/>
      <c r="H106" s="54"/>
      <c r="I106" s="53">
        <f t="shared" si="3"/>
        <v>1.9230769227948741</v>
      </c>
      <c r="J106" s="257" t="s">
        <v>99</v>
      </c>
      <c r="K106" s="257" t="s">
        <v>100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>
      <c r="A107" s="50">
        <v>120</v>
      </c>
      <c r="B107" s="50">
        <v>241.02564102560001</v>
      </c>
      <c r="C107" s="50">
        <v>10</v>
      </c>
      <c r="D107" s="50">
        <v>241.02564102560001</v>
      </c>
      <c r="E107" s="54"/>
      <c r="F107" s="54"/>
      <c r="G107" s="54"/>
      <c r="H107" s="54"/>
      <c r="I107" s="53">
        <f t="shared" si="3"/>
        <v>1.73076923056</v>
      </c>
      <c r="J107" s="257" t="s">
        <v>101</v>
      </c>
      <c r="K107" s="23" t="s">
        <v>101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>
      <c r="A110" s="46" t="s">
        <v>21</v>
      </c>
      <c r="B110" s="52" t="str">
        <f>IF(B12="","",B12)</f>
        <v>Cèdre de l'Atlas</v>
      </c>
      <c r="D110" s="229" t="s">
        <v>47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>
      <c r="A112" s="4"/>
      <c r="B112" s="85" t="s">
        <v>48</v>
      </c>
      <c r="C112" s="260" t="s">
        <v>49</v>
      </c>
      <c r="D112" s="260"/>
      <c r="E112" s="261" t="s">
        <v>50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15">
      <c r="A113" s="36" t="s">
        <v>51</v>
      </c>
      <c r="B113" s="36" t="s">
        <v>52</v>
      </c>
      <c r="C113" s="48" t="s">
        <v>53</v>
      </c>
      <c r="D113" s="48" t="s">
        <v>54</v>
      </c>
      <c r="E113" s="36" t="s">
        <v>55</v>
      </c>
      <c r="F113" s="36" t="s">
        <v>56</v>
      </c>
      <c r="G113" s="36" t="s">
        <v>57</v>
      </c>
      <c r="H113" s="36" t="s">
        <v>58</v>
      </c>
      <c r="I113" s="48" t="s">
        <v>59</v>
      </c>
      <c r="J113" s="23" t="s">
        <v>60</v>
      </c>
      <c r="K113" s="23" t="s">
        <v>61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>
      <c r="A114" s="50">
        <v>30</v>
      </c>
      <c r="B114" s="60">
        <f>134/1.3</f>
        <v>103.07692307692308</v>
      </c>
      <c r="C114" s="50"/>
      <c r="D114" s="60"/>
      <c r="E114" s="51"/>
      <c r="F114" s="51"/>
      <c r="G114" s="51"/>
      <c r="H114" s="51"/>
      <c r="I114" s="53">
        <f>IFERROR(B114/A114,"")</f>
        <v>3.4358974358974361</v>
      </c>
      <c r="J114" s="257" t="s">
        <v>102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>
      <c r="A115" s="50">
        <v>51</v>
      </c>
      <c r="B115" s="60">
        <f>418/1.3</f>
        <v>321.53846153846155</v>
      </c>
      <c r="C115" s="50">
        <v>1</v>
      </c>
      <c r="D115" s="60">
        <v>100.30769230769231</v>
      </c>
      <c r="E115" s="51"/>
      <c r="F115" s="51"/>
      <c r="G115" s="51"/>
      <c r="H115" s="51"/>
      <c r="I115" s="53">
        <f t="shared" ref="I115:I124" si="4">IF(A115&lt;&gt;0,(B115-(B114-D114))/(A115-A114),"")</f>
        <v>10.402930402930403</v>
      </c>
      <c r="J115" s="257" t="s">
        <v>103</v>
      </c>
      <c r="K115" s="257" t="s">
        <v>104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>
      <c r="A116" s="50">
        <v>63</v>
      </c>
      <c r="B116" s="60">
        <f>456/1.3</f>
        <v>350.76923076923077</v>
      </c>
      <c r="C116" s="50">
        <v>2</v>
      </c>
      <c r="D116" s="60">
        <v>108.08461538461538</v>
      </c>
      <c r="E116" s="51"/>
      <c r="F116" s="51"/>
      <c r="G116" s="51"/>
      <c r="H116" s="51"/>
      <c r="I116" s="53">
        <f t="shared" si="4"/>
        <v>10.794871794871796</v>
      </c>
      <c r="J116" s="257" t="s">
        <v>105</v>
      </c>
      <c r="K116" s="257" t="s">
        <v>106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>
      <c r="A117" s="50">
        <v>75</v>
      </c>
      <c r="B117" s="60">
        <f>469/1.3</f>
        <v>360.76923076923077</v>
      </c>
      <c r="C117" s="50">
        <v>3</v>
      </c>
      <c r="D117" s="60">
        <v>85.361538461538458</v>
      </c>
      <c r="E117" s="51"/>
      <c r="F117" s="51"/>
      <c r="G117" s="51"/>
      <c r="H117" s="51"/>
      <c r="I117" s="53">
        <f t="shared" si="4"/>
        <v>9.8403846153846146</v>
      </c>
      <c r="J117" s="257" t="s">
        <v>107</v>
      </c>
      <c r="K117" s="257" t="s">
        <v>108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>
      <c r="A118" s="50">
        <v>87</v>
      </c>
      <c r="B118" s="60">
        <f>498/1.3</f>
        <v>383.07692307692304</v>
      </c>
      <c r="C118" s="50">
        <v>4</v>
      </c>
      <c r="D118" s="60">
        <v>82.938461538461524</v>
      </c>
      <c r="E118" s="51"/>
      <c r="F118" s="51"/>
      <c r="G118" s="51"/>
      <c r="H118" s="51"/>
      <c r="I118" s="53">
        <f t="shared" si="4"/>
        <v>8.9724358974358953</v>
      </c>
      <c r="J118" s="257" t="s">
        <v>109</v>
      </c>
      <c r="K118" s="257" t="s">
        <v>110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>
      <c r="A119" s="50">
        <v>99</v>
      </c>
      <c r="B119" s="60">
        <f>517/1.3</f>
        <v>397.69230769230768</v>
      </c>
      <c r="C119" s="50">
        <v>5</v>
      </c>
      <c r="D119" s="60">
        <v>198.32307692307691</v>
      </c>
      <c r="E119" s="51"/>
      <c r="F119" s="51"/>
      <c r="G119" s="51"/>
      <c r="H119" s="51"/>
      <c r="I119" s="53">
        <f t="shared" si="4"/>
        <v>8.1294871794871799</v>
      </c>
      <c r="J119" s="257" t="s">
        <v>111</v>
      </c>
      <c r="K119" s="257" t="s">
        <v>112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>
      <c r="A120" s="60">
        <v>109</v>
      </c>
      <c r="B120" s="60">
        <f>333/1.3</f>
        <v>256.15384615384613</v>
      </c>
      <c r="C120" s="60">
        <v>6</v>
      </c>
      <c r="D120" s="60">
        <v>256.09230769230771</v>
      </c>
      <c r="E120" s="87"/>
      <c r="F120" s="87"/>
      <c r="G120" s="87"/>
      <c r="H120" s="87"/>
      <c r="I120" s="53">
        <f t="shared" si="4"/>
        <v>5.6784615384615362</v>
      </c>
      <c r="J120" s="257" t="s">
        <v>113</v>
      </c>
      <c r="K120" s="257" t="s">
        <v>113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J121" s="257"/>
      <c r="K121" s="257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J122" s="257"/>
      <c r="K122" s="257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J123" s="257"/>
      <c r="K123" s="257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J124" s="257"/>
      <c r="K124" s="257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>
      <c r="A125" s="60"/>
      <c r="B125" s="60"/>
      <c r="C125" s="60"/>
      <c r="D125" s="60"/>
      <c r="E125" s="87"/>
      <c r="F125" s="87"/>
      <c r="G125" s="87"/>
      <c r="H125" s="87"/>
      <c r="I125" s="53" t="str">
        <f t="shared" ref="I125:I133" si="5">IF(A125&lt;&gt;0,(B125-(B124-D124))/(A125-A124),"")</f>
        <v/>
      </c>
      <c r="J125" s="257"/>
      <c r="K125" s="257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J126" s="257"/>
      <c r="K126" s="257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J127" s="257"/>
      <c r="K127" s="257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J128" s="257"/>
      <c r="K128" s="257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J129" s="257"/>
      <c r="K129" s="257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J130" s="257"/>
      <c r="K130" s="257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J131" s="257"/>
      <c r="K131" s="257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J132" s="257"/>
      <c r="K132" s="257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J133" s="257"/>
      <c r="K133" s="257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>
      <c r="A136" s="46" t="s">
        <v>23</v>
      </c>
      <c r="B136" s="52" t="str">
        <f>IF(B13="","",B13)</f>
        <v>Merisier</v>
      </c>
      <c r="D136" s="229" t="s">
        <v>47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>
      <c r="A138" s="4"/>
      <c r="B138" s="85" t="s">
        <v>48</v>
      </c>
      <c r="C138" s="260" t="s">
        <v>49</v>
      </c>
      <c r="D138" s="260"/>
      <c r="E138" s="261" t="s">
        <v>50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15">
      <c r="A139" s="36" t="s">
        <v>51</v>
      </c>
      <c r="B139" s="36" t="s">
        <v>52</v>
      </c>
      <c r="C139" s="48" t="s">
        <v>53</v>
      </c>
      <c r="D139" s="48" t="s">
        <v>54</v>
      </c>
      <c r="E139" s="36" t="s">
        <v>55</v>
      </c>
      <c r="F139" s="36" t="s">
        <v>56</v>
      </c>
      <c r="G139" s="36" t="s">
        <v>57</v>
      </c>
      <c r="H139" s="36" t="s">
        <v>58</v>
      </c>
      <c r="I139" s="48" t="s">
        <v>59</v>
      </c>
      <c r="J139" s="23" t="s">
        <v>60</v>
      </c>
      <c r="K139" s="23" t="s">
        <v>61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>
      <c r="A140" s="50">
        <v>15</v>
      </c>
      <c r="B140" s="60">
        <v>40</v>
      </c>
      <c r="C140" s="50"/>
      <c r="D140" s="60"/>
      <c r="E140" s="51"/>
      <c r="F140" s="51"/>
      <c r="G140" s="51"/>
      <c r="H140" s="51"/>
      <c r="I140" s="57">
        <f>IFERROR(B140/A140,"")</f>
        <v>2.6666666666666665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>
      <c r="A141" s="50">
        <v>20</v>
      </c>
      <c r="B141" s="60">
        <f>85+3</f>
        <v>88</v>
      </c>
      <c r="C141" s="50"/>
      <c r="D141" s="60"/>
      <c r="E141" s="51"/>
      <c r="F141" s="51"/>
      <c r="G141" s="51"/>
      <c r="H141" s="51"/>
      <c r="I141" s="57">
        <f t="shared" ref="I141:I159" si="6">IF(A141&lt;&gt;0,(B141-(B140-D140))/(A141-A140),"")</f>
        <v>9.6</v>
      </c>
      <c r="J141" s="257" t="s">
        <v>114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>
      <c r="A142" s="50">
        <v>25</v>
      </c>
      <c r="B142" s="60">
        <f>113+3+25</f>
        <v>141</v>
      </c>
      <c r="C142" s="50">
        <v>1</v>
      </c>
      <c r="D142" s="60">
        <f>3+25+27</f>
        <v>55</v>
      </c>
      <c r="E142" s="51"/>
      <c r="F142" s="51"/>
      <c r="G142" s="51"/>
      <c r="H142" s="51">
        <v>1</v>
      </c>
      <c r="I142" s="57">
        <f t="shared" si="6"/>
        <v>10.6</v>
      </c>
      <c r="J142" s="257" t="s">
        <v>115</v>
      </c>
      <c r="K142" s="257" t="s">
        <v>116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>
      <c r="A143" s="50">
        <v>31</v>
      </c>
      <c r="B143" s="60">
        <v>155</v>
      </c>
      <c r="C143" s="50">
        <v>2</v>
      </c>
      <c r="D143" s="60">
        <v>36</v>
      </c>
      <c r="E143" s="51"/>
      <c r="F143" s="51"/>
      <c r="G143" s="51"/>
      <c r="H143" s="51"/>
      <c r="I143" s="57">
        <f t="shared" si="6"/>
        <v>11.5</v>
      </c>
      <c r="J143" s="257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>
      <c r="A144" s="50">
        <v>37</v>
      </c>
      <c r="B144" s="60">
        <v>188</v>
      </c>
      <c r="C144" s="50">
        <v>3</v>
      </c>
      <c r="D144" s="60">
        <v>36</v>
      </c>
      <c r="E144" s="51"/>
      <c r="F144" s="51"/>
      <c r="G144" s="51"/>
      <c r="H144" s="51"/>
      <c r="I144" s="57">
        <f t="shared" si="6"/>
        <v>11.5</v>
      </c>
      <c r="J144" s="257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>
      <c r="A145" s="50">
        <v>44</v>
      </c>
      <c r="B145" s="60">
        <v>230</v>
      </c>
      <c r="C145" s="50">
        <v>4</v>
      </c>
      <c r="D145" s="60">
        <v>43</v>
      </c>
      <c r="E145" s="51"/>
      <c r="F145" s="51"/>
      <c r="G145" s="51"/>
      <c r="H145" s="51"/>
      <c r="I145" s="57">
        <f t="shared" si="6"/>
        <v>11.142857142857142</v>
      </c>
      <c r="J145" s="257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>
      <c r="A146" s="60">
        <v>52</v>
      </c>
      <c r="B146" s="60">
        <v>270</v>
      </c>
      <c r="C146" s="60">
        <v>5</v>
      </c>
      <c r="D146" s="60">
        <v>48</v>
      </c>
      <c r="E146" s="87"/>
      <c r="F146" s="87"/>
      <c r="G146" s="87"/>
      <c r="H146" s="87"/>
      <c r="I146" s="57">
        <f t="shared" si="6"/>
        <v>10.375</v>
      </c>
      <c r="J146" s="257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>
      <c r="A147" s="60">
        <v>60</v>
      </c>
      <c r="B147" s="60">
        <v>297</v>
      </c>
      <c r="C147" s="60">
        <v>6</v>
      </c>
      <c r="D147" s="60">
        <v>47</v>
      </c>
      <c r="E147" s="87"/>
      <c r="F147" s="87"/>
      <c r="G147" s="87"/>
      <c r="H147" s="87"/>
      <c r="I147" s="57">
        <f>IF(A147&lt;&gt;0,(B147-(B146-D146))/(A147-A146),"")</f>
        <v>9.375</v>
      </c>
      <c r="J147" s="257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>
      <c r="A148" s="60">
        <v>69</v>
      </c>
      <c r="B148" s="60">
        <v>328</v>
      </c>
      <c r="C148" s="60">
        <v>7</v>
      </c>
      <c r="D148" s="60">
        <f>B148</f>
        <v>328</v>
      </c>
      <c r="E148" s="87"/>
      <c r="F148" s="87"/>
      <c r="G148" s="87"/>
      <c r="H148" s="87"/>
      <c r="I148" s="57">
        <f t="shared" si="6"/>
        <v>8.6666666666666661</v>
      </c>
      <c r="J148" s="257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J149" s="257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>
      <c r="A162" s="46" t="s">
        <v>25</v>
      </c>
      <c r="B162" s="52" t="str">
        <f>IF(B14="","",B14)</f>
        <v>Chêne pubescent</v>
      </c>
      <c r="D162" s="229" t="s">
        <v>47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>
      <c r="A164" s="4"/>
      <c r="B164" s="85" t="s">
        <v>48</v>
      </c>
      <c r="C164" s="260" t="s">
        <v>49</v>
      </c>
      <c r="D164" s="260"/>
      <c r="E164" s="261" t="s">
        <v>50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15">
      <c r="A165" s="36" t="s">
        <v>51</v>
      </c>
      <c r="B165" s="36" t="s">
        <v>52</v>
      </c>
      <c r="C165" s="48" t="s">
        <v>53</v>
      </c>
      <c r="D165" s="48" t="s">
        <v>54</v>
      </c>
      <c r="E165" s="36" t="s">
        <v>55</v>
      </c>
      <c r="F165" s="36" t="s">
        <v>56</v>
      </c>
      <c r="G165" s="36" t="s">
        <v>57</v>
      </c>
      <c r="H165" s="36" t="s">
        <v>58</v>
      </c>
      <c r="I165" s="48" t="s">
        <v>59</v>
      </c>
      <c r="J165" s="23" t="s">
        <v>60</v>
      </c>
      <c r="K165" s="23" t="s">
        <v>61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>
      <c r="A166" s="50">
        <v>20</v>
      </c>
      <c r="B166" s="60">
        <v>42</v>
      </c>
      <c r="C166" s="60"/>
      <c r="D166" s="60"/>
      <c r="E166" s="51"/>
      <c r="F166" s="51"/>
      <c r="G166" s="51"/>
      <c r="H166" s="51"/>
      <c r="I166" s="49">
        <f>IFERROR(B166/A166,"")</f>
        <v>2.1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>
      <c r="A167" s="50">
        <v>25</v>
      </c>
      <c r="B167" s="60">
        <v>70</v>
      </c>
      <c r="C167" s="60"/>
      <c r="D167" s="60"/>
      <c r="E167" s="51"/>
      <c r="F167" s="51"/>
      <c r="G167" s="51"/>
      <c r="H167" s="51"/>
      <c r="I167" s="49">
        <f t="shared" ref="I167:I185" si="7">IF(A167&lt;&gt;0,(B167-(B166-D166))/(A167-A166),"")</f>
        <v>5.6</v>
      </c>
      <c r="J167" s="257" t="s">
        <v>117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>
      <c r="A168" s="50">
        <v>30</v>
      </c>
      <c r="B168" s="60">
        <v>105</v>
      </c>
      <c r="C168" s="60">
        <v>1</v>
      </c>
      <c r="D168" s="60">
        <v>29</v>
      </c>
      <c r="E168" s="51"/>
      <c r="F168" s="51"/>
      <c r="G168" s="51"/>
      <c r="H168" s="51">
        <v>1</v>
      </c>
      <c r="I168" s="49">
        <f t="shared" si="7"/>
        <v>7</v>
      </c>
      <c r="J168" s="257" t="s">
        <v>118</v>
      </c>
      <c r="K168" s="257" t="s">
        <v>119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>
      <c r="A169" s="50">
        <v>35</v>
      </c>
      <c r="B169" s="60">
        <v>116</v>
      </c>
      <c r="C169" s="60"/>
      <c r="D169" s="60"/>
      <c r="E169" s="51"/>
      <c r="F169" s="51"/>
      <c r="G169" s="51"/>
      <c r="H169" s="51"/>
      <c r="I169" s="49">
        <f t="shared" si="7"/>
        <v>8</v>
      </c>
      <c r="J169" s="257" t="s">
        <v>120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>
      <c r="A170" s="50">
        <v>40</v>
      </c>
      <c r="B170" s="60">
        <v>158</v>
      </c>
      <c r="C170" s="60">
        <v>2</v>
      </c>
      <c r="D170" s="60">
        <v>42</v>
      </c>
      <c r="E170" s="51"/>
      <c r="F170" s="51"/>
      <c r="G170" s="51"/>
      <c r="H170" s="51"/>
      <c r="I170" s="49">
        <f t="shared" si="7"/>
        <v>8.4</v>
      </c>
      <c r="J170" s="257" t="s">
        <v>121</v>
      </c>
      <c r="K170" s="257" t="s">
        <v>122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>
      <c r="A171" s="50">
        <v>45</v>
      </c>
      <c r="B171" s="60">
        <v>158</v>
      </c>
      <c r="C171" s="60"/>
      <c r="D171" s="60"/>
      <c r="E171" s="51"/>
      <c r="F171" s="51"/>
      <c r="G171" s="51"/>
      <c r="H171" s="51"/>
      <c r="I171" s="49">
        <f t="shared" si="7"/>
        <v>8.4</v>
      </c>
      <c r="J171" s="257" t="s">
        <v>123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>
      <c r="A172" s="50">
        <v>50</v>
      </c>
      <c r="B172" s="60">
        <v>199</v>
      </c>
      <c r="C172" s="60">
        <v>3</v>
      </c>
      <c r="D172" s="60">
        <v>42</v>
      </c>
      <c r="E172" s="51"/>
      <c r="F172" s="51"/>
      <c r="G172" s="51"/>
      <c r="H172" s="51"/>
      <c r="I172" s="49">
        <f t="shared" si="7"/>
        <v>8.1999999999999993</v>
      </c>
      <c r="J172" s="257" t="s">
        <v>124</v>
      </c>
      <c r="K172" s="257" t="s">
        <v>122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>
      <c r="A173" s="50">
        <v>55</v>
      </c>
      <c r="B173" s="50">
        <v>197</v>
      </c>
      <c r="C173" s="50"/>
      <c r="D173" s="50"/>
      <c r="E173" s="51"/>
      <c r="F173" s="51"/>
      <c r="G173" s="51"/>
      <c r="H173" s="51"/>
      <c r="I173" s="49">
        <f t="shared" si="7"/>
        <v>8</v>
      </c>
      <c r="J173" s="257" t="s">
        <v>125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>
      <c r="A174" s="50">
        <v>60</v>
      </c>
      <c r="B174" s="50">
        <v>235</v>
      </c>
      <c r="C174" s="50">
        <v>4</v>
      </c>
      <c r="D174" s="50">
        <v>42</v>
      </c>
      <c r="E174" s="51"/>
      <c r="F174" s="51"/>
      <c r="G174" s="51"/>
      <c r="H174" s="51"/>
      <c r="I174" s="49">
        <f t="shared" si="7"/>
        <v>7.6</v>
      </c>
      <c r="J174" s="257" t="s">
        <v>126</v>
      </c>
      <c r="K174" s="23" t="s">
        <v>122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>
      <c r="A175" s="50">
        <v>65</v>
      </c>
      <c r="B175" s="50">
        <v>229</v>
      </c>
      <c r="C175" s="50"/>
      <c r="D175" s="50"/>
      <c r="E175" s="51"/>
      <c r="F175" s="51"/>
      <c r="G175" s="51"/>
      <c r="H175" s="51"/>
      <c r="I175" s="49">
        <f t="shared" si="7"/>
        <v>7.2</v>
      </c>
      <c r="J175" s="257" t="s">
        <v>127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>
      <c r="A176" s="50">
        <v>70</v>
      </c>
      <c r="B176" s="50">
        <v>263</v>
      </c>
      <c r="C176" s="50">
        <v>5</v>
      </c>
      <c r="D176" s="50">
        <v>42</v>
      </c>
      <c r="E176" s="51"/>
      <c r="F176" s="51"/>
      <c r="G176" s="51"/>
      <c r="H176" s="51"/>
      <c r="I176" s="49">
        <f t="shared" si="7"/>
        <v>6.8</v>
      </c>
      <c r="J176" s="257" t="s">
        <v>128</v>
      </c>
      <c r="K176" s="23" t="s">
        <v>122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>
      <c r="A177" s="50">
        <v>75</v>
      </c>
      <c r="B177" s="50">
        <v>252</v>
      </c>
      <c r="C177" s="50"/>
      <c r="D177" s="50"/>
      <c r="E177" s="51"/>
      <c r="F177" s="51"/>
      <c r="G177" s="51"/>
      <c r="H177" s="51"/>
      <c r="I177" s="49">
        <f t="shared" si="7"/>
        <v>6.2</v>
      </c>
      <c r="J177" s="257" t="s">
        <v>129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>
      <c r="A178" s="50">
        <v>80</v>
      </c>
      <c r="B178" s="50">
        <v>282</v>
      </c>
      <c r="C178" s="50">
        <v>6</v>
      </c>
      <c r="D178" s="50">
        <v>42</v>
      </c>
      <c r="E178" s="51"/>
      <c r="F178" s="51"/>
      <c r="G178" s="51"/>
      <c r="H178" s="51"/>
      <c r="I178" s="49">
        <f t="shared" si="7"/>
        <v>6</v>
      </c>
      <c r="J178" s="257" t="s">
        <v>130</v>
      </c>
      <c r="K178" s="23" t="s">
        <v>122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>
      <c r="A179" s="50">
        <v>90</v>
      </c>
      <c r="B179" s="50">
        <v>296</v>
      </c>
      <c r="C179" s="50">
        <v>7</v>
      </c>
      <c r="D179" s="50">
        <v>42</v>
      </c>
      <c r="E179" s="51"/>
      <c r="F179" s="51"/>
      <c r="G179" s="51"/>
      <c r="H179" s="51"/>
      <c r="I179" s="49">
        <f t="shared" si="7"/>
        <v>5.6</v>
      </c>
      <c r="J179" s="257" t="s">
        <v>131</v>
      </c>
      <c r="K179" s="23" t="s">
        <v>122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>
      <c r="A180" s="50">
        <v>100</v>
      </c>
      <c r="B180" s="50">
        <v>303</v>
      </c>
      <c r="C180" s="50">
        <v>8</v>
      </c>
      <c r="D180" s="50">
        <v>42</v>
      </c>
      <c r="E180" s="51"/>
      <c r="F180" s="51"/>
      <c r="G180" s="51"/>
      <c r="H180" s="51"/>
      <c r="I180" s="49">
        <f t="shared" si="7"/>
        <v>4.9000000000000004</v>
      </c>
      <c r="J180" s="257" t="s">
        <v>132</v>
      </c>
      <c r="K180" s="23" t="s">
        <v>122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>
      <c r="A181" s="50">
        <v>110</v>
      </c>
      <c r="B181" s="50">
        <v>305</v>
      </c>
      <c r="C181" s="50">
        <v>9</v>
      </c>
      <c r="D181" s="50">
        <v>39</v>
      </c>
      <c r="E181" s="51"/>
      <c r="F181" s="51"/>
      <c r="G181" s="51"/>
      <c r="H181" s="51"/>
      <c r="I181" s="49">
        <f t="shared" si="7"/>
        <v>4.4000000000000004</v>
      </c>
      <c r="J181" s="257" t="s">
        <v>133</v>
      </c>
      <c r="K181" s="257" t="s">
        <v>134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>
      <c r="A182" s="50">
        <v>120</v>
      </c>
      <c r="B182" s="50">
        <v>303</v>
      </c>
      <c r="C182" s="50">
        <v>10</v>
      </c>
      <c r="D182" s="50">
        <v>35</v>
      </c>
      <c r="E182" s="51"/>
      <c r="F182" s="51"/>
      <c r="G182" s="51"/>
      <c r="H182" s="51"/>
      <c r="I182" s="49">
        <f t="shared" si="7"/>
        <v>3.7</v>
      </c>
      <c r="J182" s="257" t="s">
        <v>135</v>
      </c>
      <c r="K182" s="257" t="s">
        <v>136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>
      <c r="A183" s="50">
        <v>130</v>
      </c>
      <c r="B183" s="50">
        <v>300</v>
      </c>
      <c r="C183" s="50">
        <v>11</v>
      </c>
      <c r="D183" s="50">
        <v>31</v>
      </c>
      <c r="E183" s="51"/>
      <c r="F183" s="51"/>
      <c r="G183" s="51"/>
      <c r="H183" s="51"/>
      <c r="I183" s="49">
        <f t="shared" si="7"/>
        <v>3.2</v>
      </c>
      <c r="J183" s="257" t="s">
        <v>137</v>
      </c>
      <c r="K183" s="257" t="s">
        <v>138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>
      <c r="A184" s="50">
        <v>140</v>
      </c>
      <c r="B184" s="50">
        <v>296</v>
      </c>
      <c r="C184" s="50">
        <v>12</v>
      </c>
      <c r="D184" s="50">
        <v>27</v>
      </c>
      <c r="E184" s="51"/>
      <c r="F184" s="51"/>
      <c r="G184" s="51"/>
      <c r="H184" s="51"/>
      <c r="I184" s="49">
        <f t="shared" si="7"/>
        <v>2.7</v>
      </c>
      <c r="J184" s="257" t="s">
        <v>139</v>
      </c>
      <c r="K184" s="257" t="s">
        <v>140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>
      <c r="A185" s="50">
        <v>150</v>
      </c>
      <c r="B185" s="50">
        <v>293</v>
      </c>
      <c r="C185" s="50">
        <v>13</v>
      </c>
      <c r="D185" s="50">
        <v>293</v>
      </c>
      <c r="E185" s="51"/>
      <c r="F185" s="51"/>
      <c r="G185" s="51"/>
      <c r="H185" s="51"/>
      <c r="I185" s="49">
        <f t="shared" si="7"/>
        <v>2.4</v>
      </c>
      <c r="J185" s="257" t="s">
        <v>141</v>
      </c>
      <c r="K185" s="257" t="s">
        <v>142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>
      <c r="A188" s="46" t="s">
        <v>27</v>
      </c>
      <c r="B188" s="52" t="str">
        <f>IF(B15="","",B15)</f>
        <v>Chêne sessile</v>
      </c>
      <c r="D188" s="229" t="s">
        <v>47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>
      <c r="A190" s="4"/>
      <c r="B190" s="85" t="s">
        <v>48</v>
      </c>
      <c r="C190" s="260" t="s">
        <v>49</v>
      </c>
      <c r="D190" s="260"/>
      <c r="E190" s="261" t="s">
        <v>50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15">
      <c r="A191" s="36" t="s">
        <v>51</v>
      </c>
      <c r="B191" s="36" t="s">
        <v>52</v>
      </c>
      <c r="C191" s="48" t="s">
        <v>53</v>
      </c>
      <c r="D191" s="48" t="s">
        <v>54</v>
      </c>
      <c r="E191" s="36" t="s">
        <v>55</v>
      </c>
      <c r="F191" s="36" t="s">
        <v>56</v>
      </c>
      <c r="G191" s="36" t="s">
        <v>57</v>
      </c>
      <c r="H191" s="36" t="s">
        <v>58</v>
      </c>
      <c r="I191" s="48" t="s">
        <v>59</v>
      </c>
      <c r="J191" s="23" t="s">
        <v>60</v>
      </c>
      <c r="K191" s="23" t="s">
        <v>61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>
      <c r="A192" s="50">
        <v>20</v>
      </c>
      <c r="B192" s="60">
        <v>42</v>
      </c>
      <c r="C192" s="60"/>
      <c r="D192" s="60"/>
      <c r="E192" s="51"/>
      <c r="F192" s="51"/>
      <c r="G192" s="51"/>
      <c r="H192" s="51"/>
      <c r="I192" s="49">
        <f>IFERROR(B192/A192,"")</f>
        <v>2.1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>
      <c r="A193" s="50">
        <v>25</v>
      </c>
      <c r="B193" s="60">
        <v>70</v>
      </c>
      <c r="C193" s="60"/>
      <c r="D193" s="60"/>
      <c r="E193" s="51"/>
      <c r="F193" s="51"/>
      <c r="G193" s="51"/>
      <c r="H193" s="51"/>
      <c r="I193" s="49">
        <f t="shared" ref="I193:I211" si="8">IF(A193&lt;&gt;0,(B193-(B192-D192))/(A193-A192),"")</f>
        <v>5.6</v>
      </c>
      <c r="J193" s="23" t="s">
        <v>117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>
      <c r="A194" s="50">
        <v>30</v>
      </c>
      <c r="B194" s="60">
        <v>105</v>
      </c>
      <c r="C194" s="60">
        <v>1</v>
      </c>
      <c r="D194" s="60">
        <v>29</v>
      </c>
      <c r="E194" s="51"/>
      <c r="F194" s="51"/>
      <c r="G194" s="51"/>
      <c r="H194" s="51">
        <v>1</v>
      </c>
      <c r="I194" s="49">
        <f t="shared" si="8"/>
        <v>7</v>
      </c>
      <c r="J194" s="23" t="s">
        <v>118</v>
      </c>
      <c r="K194" s="23" t="s">
        <v>119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>
      <c r="A195" s="50">
        <v>35</v>
      </c>
      <c r="B195" s="60">
        <v>116</v>
      </c>
      <c r="C195" s="60"/>
      <c r="D195" s="60"/>
      <c r="E195" s="51"/>
      <c r="F195" s="51"/>
      <c r="G195" s="51"/>
      <c r="H195" s="51"/>
      <c r="I195" s="49">
        <f t="shared" si="8"/>
        <v>8</v>
      </c>
      <c r="J195" s="23" t="s">
        <v>120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>
      <c r="A196" s="50">
        <v>40</v>
      </c>
      <c r="B196" s="60">
        <v>158</v>
      </c>
      <c r="C196" s="60">
        <v>2</v>
      </c>
      <c r="D196" s="60">
        <v>42</v>
      </c>
      <c r="E196" s="51"/>
      <c r="F196" s="51"/>
      <c r="G196" s="51"/>
      <c r="H196" s="51"/>
      <c r="I196" s="49">
        <f t="shared" si="8"/>
        <v>8.4</v>
      </c>
      <c r="J196" s="23" t="s">
        <v>121</v>
      </c>
      <c r="K196" s="23" t="s">
        <v>122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>
      <c r="A197" s="50">
        <v>45</v>
      </c>
      <c r="B197" s="60">
        <v>158</v>
      </c>
      <c r="C197" s="60"/>
      <c r="D197" s="60"/>
      <c r="E197" s="51"/>
      <c r="F197" s="51"/>
      <c r="G197" s="51"/>
      <c r="H197" s="51"/>
      <c r="I197" s="49">
        <f t="shared" si="8"/>
        <v>8.4</v>
      </c>
      <c r="J197" s="23" t="s">
        <v>123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>
      <c r="A198" s="50">
        <v>50</v>
      </c>
      <c r="B198" s="60">
        <v>199</v>
      </c>
      <c r="C198" s="60">
        <v>3</v>
      </c>
      <c r="D198" s="60">
        <v>42</v>
      </c>
      <c r="E198" s="51"/>
      <c r="F198" s="51"/>
      <c r="G198" s="51"/>
      <c r="H198" s="51"/>
      <c r="I198" s="49">
        <f t="shared" si="8"/>
        <v>8.1999999999999993</v>
      </c>
      <c r="J198" s="23" t="s">
        <v>124</v>
      </c>
      <c r="K198" s="23" t="s">
        <v>122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>
      <c r="A199" s="50">
        <v>55</v>
      </c>
      <c r="B199" s="50">
        <v>197</v>
      </c>
      <c r="C199" s="50"/>
      <c r="D199" s="50"/>
      <c r="E199" s="51"/>
      <c r="F199" s="51"/>
      <c r="G199" s="51"/>
      <c r="H199" s="51"/>
      <c r="I199" s="49">
        <f t="shared" si="8"/>
        <v>8</v>
      </c>
      <c r="J199" s="23" t="s">
        <v>125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>
      <c r="A200" s="50">
        <v>60</v>
      </c>
      <c r="B200" s="50">
        <v>235</v>
      </c>
      <c r="C200" s="50">
        <v>4</v>
      </c>
      <c r="D200" s="50">
        <v>42</v>
      </c>
      <c r="E200" s="51"/>
      <c r="F200" s="51"/>
      <c r="G200" s="51"/>
      <c r="H200" s="51"/>
      <c r="I200" s="49">
        <f t="shared" si="8"/>
        <v>7.6</v>
      </c>
      <c r="J200" s="23" t="s">
        <v>126</v>
      </c>
      <c r="K200" s="23" t="s">
        <v>122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>
      <c r="A201" s="50">
        <v>65</v>
      </c>
      <c r="B201" s="50">
        <v>229</v>
      </c>
      <c r="C201" s="50"/>
      <c r="D201" s="50"/>
      <c r="E201" s="51"/>
      <c r="F201" s="51"/>
      <c r="G201" s="51"/>
      <c r="H201" s="51"/>
      <c r="I201" s="49">
        <f t="shared" si="8"/>
        <v>7.2</v>
      </c>
      <c r="J201" s="23" t="s">
        <v>127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>
      <c r="A202" s="50">
        <v>70</v>
      </c>
      <c r="B202" s="50">
        <v>263</v>
      </c>
      <c r="C202" s="50">
        <v>5</v>
      </c>
      <c r="D202" s="50">
        <v>42</v>
      </c>
      <c r="E202" s="51"/>
      <c r="F202" s="51"/>
      <c r="G202" s="51"/>
      <c r="H202" s="51"/>
      <c r="I202" s="49">
        <f t="shared" si="8"/>
        <v>6.8</v>
      </c>
      <c r="J202" s="23" t="s">
        <v>128</v>
      </c>
      <c r="K202" s="23" t="s">
        <v>122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>
      <c r="A203" s="50">
        <v>75</v>
      </c>
      <c r="B203" s="50">
        <v>252</v>
      </c>
      <c r="C203" s="50"/>
      <c r="D203" s="50"/>
      <c r="E203" s="51"/>
      <c r="F203" s="51"/>
      <c r="G203" s="51"/>
      <c r="H203" s="51"/>
      <c r="I203" s="49">
        <f t="shared" si="8"/>
        <v>6.2</v>
      </c>
      <c r="J203" s="23" t="s">
        <v>129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>
      <c r="A204" s="50">
        <v>80</v>
      </c>
      <c r="B204" s="50">
        <v>282</v>
      </c>
      <c r="C204" s="50">
        <v>6</v>
      </c>
      <c r="D204" s="50">
        <v>42</v>
      </c>
      <c r="E204" s="51"/>
      <c r="F204" s="51"/>
      <c r="G204" s="51"/>
      <c r="H204" s="51"/>
      <c r="I204" s="49">
        <f t="shared" si="8"/>
        <v>6</v>
      </c>
      <c r="J204" s="23" t="s">
        <v>130</v>
      </c>
      <c r="K204" s="23" t="s">
        <v>122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>
      <c r="A205" s="50">
        <v>90</v>
      </c>
      <c r="B205" s="50">
        <v>296</v>
      </c>
      <c r="C205" s="50">
        <v>7</v>
      </c>
      <c r="D205" s="50">
        <v>42</v>
      </c>
      <c r="E205" s="51"/>
      <c r="F205" s="51"/>
      <c r="G205" s="51"/>
      <c r="H205" s="51"/>
      <c r="I205" s="49">
        <f t="shared" si="8"/>
        <v>5.6</v>
      </c>
      <c r="J205" s="23" t="s">
        <v>131</v>
      </c>
      <c r="K205" s="23" t="s">
        <v>122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>
      <c r="A206" s="50">
        <v>100</v>
      </c>
      <c r="B206" s="50">
        <v>303</v>
      </c>
      <c r="C206" s="50">
        <v>8</v>
      </c>
      <c r="D206" s="50">
        <v>42</v>
      </c>
      <c r="E206" s="51"/>
      <c r="F206" s="51"/>
      <c r="G206" s="51"/>
      <c r="H206" s="51"/>
      <c r="I206" s="49">
        <f t="shared" si="8"/>
        <v>4.9000000000000004</v>
      </c>
      <c r="J206" s="23" t="s">
        <v>132</v>
      </c>
      <c r="K206" s="23" t="s">
        <v>122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>
      <c r="A207" s="50">
        <v>110</v>
      </c>
      <c r="B207" s="50">
        <v>305</v>
      </c>
      <c r="C207" s="50">
        <v>9</v>
      </c>
      <c r="D207" s="50">
        <v>39</v>
      </c>
      <c r="E207" s="51"/>
      <c r="F207" s="51"/>
      <c r="G207" s="51"/>
      <c r="H207" s="51"/>
      <c r="I207" s="49">
        <f t="shared" si="8"/>
        <v>4.4000000000000004</v>
      </c>
      <c r="J207" s="23" t="s">
        <v>133</v>
      </c>
      <c r="K207" s="23" t="s">
        <v>134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>
      <c r="A208" s="50">
        <v>120</v>
      </c>
      <c r="B208" s="50">
        <v>303</v>
      </c>
      <c r="C208" s="50">
        <v>10</v>
      </c>
      <c r="D208" s="50">
        <v>35</v>
      </c>
      <c r="E208" s="51"/>
      <c r="F208" s="51"/>
      <c r="G208" s="51"/>
      <c r="H208" s="51"/>
      <c r="I208" s="49">
        <f t="shared" si="8"/>
        <v>3.7</v>
      </c>
      <c r="J208" s="23" t="s">
        <v>135</v>
      </c>
      <c r="K208" s="23" t="s">
        <v>136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>
      <c r="A209" s="50">
        <v>130</v>
      </c>
      <c r="B209" s="50">
        <v>300</v>
      </c>
      <c r="C209" s="50">
        <v>11</v>
      </c>
      <c r="D209" s="50">
        <v>31</v>
      </c>
      <c r="E209" s="51"/>
      <c r="F209" s="51"/>
      <c r="G209" s="51"/>
      <c r="H209" s="51"/>
      <c r="I209" s="49">
        <f t="shared" si="8"/>
        <v>3.2</v>
      </c>
      <c r="J209" s="23" t="s">
        <v>137</v>
      </c>
      <c r="K209" s="23" t="s">
        <v>138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>
      <c r="A210" s="50">
        <v>140</v>
      </c>
      <c r="B210" s="50">
        <v>296</v>
      </c>
      <c r="C210" s="50">
        <v>12</v>
      </c>
      <c r="D210" s="50">
        <v>27</v>
      </c>
      <c r="E210" s="51"/>
      <c r="F210" s="51"/>
      <c r="G210" s="51"/>
      <c r="H210" s="51"/>
      <c r="I210" s="49">
        <f t="shared" si="8"/>
        <v>2.7</v>
      </c>
      <c r="J210" s="23" t="s">
        <v>139</v>
      </c>
      <c r="K210" s="23" t="s">
        <v>140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>
      <c r="A211" s="50">
        <v>150</v>
      </c>
      <c r="B211" s="50">
        <v>293</v>
      </c>
      <c r="C211" s="50">
        <v>13</v>
      </c>
      <c r="D211" s="50">
        <v>293</v>
      </c>
      <c r="E211" s="51"/>
      <c r="F211" s="51"/>
      <c r="G211" s="51"/>
      <c r="H211" s="51"/>
      <c r="I211" s="49">
        <f t="shared" si="8"/>
        <v>2.4</v>
      </c>
      <c r="J211" s="23" t="s">
        <v>141</v>
      </c>
      <c r="K211" s="23" t="s">
        <v>142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>
      <c r="A214" s="46" t="s">
        <v>29</v>
      </c>
      <c r="B214" s="52" t="str">
        <f>IF(B16="","",B16)</f>
        <v>Robinier faux-acacia</v>
      </c>
      <c r="D214" s="229" t="s">
        <v>47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>
      <c r="A216" s="4"/>
      <c r="B216" s="85" t="s">
        <v>48</v>
      </c>
      <c r="C216" s="260" t="s">
        <v>49</v>
      </c>
      <c r="D216" s="260"/>
      <c r="E216" s="261" t="s">
        <v>50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15">
      <c r="A217" s="36" t="s">
        <v>51</v>
      </c>
      <c r="B217" s="36" t="s">
        <v>52</v>
      </c>
      <c r="C217" s="48" t="s">
        <v>53</v>
      </c>
      <c r="D217" s="48" t="s">
        <v>54</v>
      </c>
      <c r="E217" s="36" t="s">
        <v>55</v>
      </c>
      <c r="F217" s="36" t="s">
        <v>56</v>
      </c>
      <c r="G217" s="36" t="s">
        <v>57</v>
      </c>
      <c r="H217" s="36" t="s">
        <v>58</v>
      </c>
      <c r="I217" s="48" t="s">
        <v>59</v>
      </c>
      <c r="J217" s="23" t="s">
        <v>60</v>
      </c>
      <c r="K217" s="23" t="s">
        <v>61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>
      <c r="A218" s="50">
        <v>5</v>
      </c>
      <c r="B218" s="60">
        <v>22</v>
      </c>
      <c r="C218" s="60"/>
      <c r="D218" s="60"/>
      <c r="E218" s="51"/>
      <c r="F218" s="51"/>
      <c r="G218" s="51"/>
      <c r="H218" s="51"/>
      <c r="I218" s="53">
        <f>IFERROR(B218/A218,"")</f>
        <v>4.4000000000000004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>
      <c r="A219" s="50">
        <v>10</v>
      </c>
      <c r="B219" s="60">
        <f>62+2</f>
        <v>64</v>
      </c>
      <c r="C219" s="60">
        <v>1</v>
      </c>
      <c r="D219" s="60">
        <f>2+15</f>
        <v>17</v>
      </c>
      <c r="E219" s="51"/>
      <c r="F219" s="51"/>
      <c r="G219" s="51"/>
      <c r="H219" s="51">
        <v>1</v>
      </c>
      <c r="I219" s="53">
        <f t="shared" ref="I219:I237" si="9">IF(A219&lt;&gt;0,(B219-(B218-D218))/(A219-A218),"")</f>
        <v>8.4</v>
      </c>
      <c r="J219" s="257" t="s">
        <v>143</v>
      </c>
      <c r="K219" s="23" t="s">
        <v>144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>
      <c r="A220" s="50">
        <v>15</v>
      </c>
      <c r="B220" s="60">
        <v>89</v>
      </c>
      <c r="C220" s="60">
        <v>2</v>
      </c>
      <c r="D220" s="60">
        <v>13</v>
      </c>
      <c r="E220" s="51"/>
      <c r="F220" s="51"/>
      <c r="G220" s="51"/>
      <c r="H220" s="51">
        <v>1</v>
      </c>
      <c r="I220" s="53">
        <f t="shared" si="9"/>
        <v>8.4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>
      <c r="A221" s="50">
        <v>20</v>
      </c>
      <c r="B221" s="60">
        <v>114</v>
      </c>
      <c r="C221" s="60">
        <v>3</v>
      </c>
      <c r="D221" s="60">
        <v>10</v>
      </c>
      <c r="E221" s="51"/>
      <c r="F221" s="51"/>
      <c r="G221" s="51"/>
      <c r="H221" s="51">
        <v>1</v>
      </c>
      <c r="I221" s="53">
        <f t="shared" si="9"/>
        <v>7.6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>
      <c r="A222" s="50">
        <v>25</v>
      </c>
      <c r="B222" s="60">
        <v>136</v>
      </c>
      <c r="C222" s="60">
        <v>4</v>
      </c>
      <c r="D222" s="60">
        <v>8</v>
      </c>
      <c r="E222" s="51"/>
      <c r="F222" s="51"/>
      <c r="G222" s="51"/>
      <c r="H222" s="51">
        <v>1</v>
      </c>
      <c r="I222" s="53">
        <f t="shared" si="9"/>
        <v>6.4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>
      <c r="A223" s="50">
        <v>30</v>
      </c>
      <c r="B223" s="60">
        <v>154</v>
      </c>
      <c r="C223" s="60">
        <v>5</v>
      </c>
      <c r="D223" s="60">
        <v>6</v>
      </c>
      <c r="E223" s="51"/>
      <c r="F223" s="51"/>
      <c r="G223" s="51"/>
      <c r="H223" s="51">
        <v>1</v>
      </c>
      <c r="I223" s="53">
        <f t="shared" si="9"/>
        <v>5.2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>
      <c r="A224" s="50">
        <v>35</v>
      </c>
      <c r="B224" s="60">
        <v>169</v>
      </c>
      <c r="C224" s="60">
        <v>6</v>
      </c>
      <c r="D224" s="60">
        <v>5</v>
      </c>
      <c r="E224" s="51"/>
      <c r="F224" s="51"/>
      <c r="G224" s="51"/>
      <c r="H224" s="51"/>
      <c r="I224" s="53">
        <f t="shared" si="9"/>
        <v>4.2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>
      <c r="A225" s="50">
        <v>40</v>
      </c>
      <c r="B225" s="60">
        <v>183</v>
      </c>
      <c r="C225" s="60">
        <v>7</v>
      </c>
      <c r="D225" s="60">
        <v>4</v>
      </c>
      <c r="E225" s="51"/>
      <c r="F225" s="51"/>
      <c r="G225" s="51"/>
      <c r="H225" s="51"/>
      <c r="I225" s="53">
        <f t="shared" si="9"/>
        <v>3.8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>
      <c r="A226" s="50">
        <v>45</v>
      </c>
      <c r="B226" s="60">
        <v>198</v>
      </c>
      <c r="C226" s="60">
        <v>8</v>
      </c>
      <c r="D226" s="60">
        <f>B226</f>
        <v>198</v>
      </c>
      <c r="E226" s="51"/>
      <c r="F226" s="51"/>
      <c r="G226" s="51"/>
      <c r="H226" s="51"/>
      <c r="I226" s="53">
        <f t="shared" si="9"/>
        <v>3.8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>
      <c r="A240" s="46" t="s">
        <v>31</v>
      </c>
      <c r="B240" s="52" t="str">
        <f>IF(B17="","",B17)</f>
        <v/>
      </c>
      <c r="D240" s="229" t="s">
        <v>47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>
      <c r="A242" s="4"/>
      <c r="B242" s="85" t="s">
        <v>48</v>
      </c>
      <c r="C242" s="260" t="s">
        <v>49</v>
      </c>
      <c r="D242" s="260"/>
      <c r="E242" s="261" t="s">
        <v>50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15">
      <c r="A243" s="36" t="s">
        <v>51</v>
      </c>
      <c r="B243" s="36" t="s">
        <v>52</v>
      </c>
      <c r="C243" s="48" t="s">
        <v>53</v>
      </c>
      <c r="D243" s="48" t="s">
        <v>54</v>
      </c>
      <c r="E243" s="36" t="s">
        <v>55</v>
      </c>
      <c r="F243" s="36" t="s">
        <v>56</v>
      </c>
      <c r="G243" s="36" t="s">
        <v>57</v>
      </c>
      <c r="H243" s="36" t="s">
        <v>58</v>
      </c>
      <c r="I243" s="48" t="s">
        <v>59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>
      <c r="A266" s="46" t="s">
        <v>32</v>
      </c>
      <c r="B266" s="52" t="str">
        <f>IF(B18="","",B18)</f>
        <v/>
      </c>
      <c r="D266" s="229" t="s">
        <v>47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>
      <c r="A268" s="4"/>
      <c r="B268" s="85" t="s">
        <v>48</v>
      </c>
      <c r="C268" s="260" t="s">
        <v>49</v>
      </c>
      <c r="D268" s="260"/>
      <c r="E268" s="261" t="s">
        <v>50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15">
      <c r="A269" s="36" t="s">
        <v>51</v>
      </c>
      <c r="B269" s="36" t="s">
        <v>52</v>
      </c>
      <c r="C269" s="48" t="s">
        <v>53</v>
      </c>
      <c r="D269" s="48" t="s">
        <v>54</v>
      </c>
      <c r="E269" s="36" t="s">
        <v>55</v>
      </c>
      <c r="F269" s="36" t="s">
        <v>56</v>
      </c>
      <c r="G269" s="36" t="s">
        <v>57</v>
      </c>
      <c r="H269" s="36" t="s">
        <v>58</v>
      </c>
      <c r="I269" s="48" t="s">
        <v>59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phoneticPr fontId="32" type="noConversion"/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6" sqref="C26"/>
    </sheetView>
  </sheetViews>
  <sheetFormatPr defaultColWidth="11.42578125" defaultRowHeight="14.4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" thickBot="1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5" thickBot="1">
      <c r="A2" s="4"/>
      <c r="B2" s="273" t="s">
        <v>145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4"/>
      <c r="B5" s="98" t="s">
        <v>146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>
      <c r="A7" s="99"/>
      <c r="B7" s="26" t="s">
        <v>147</v>
      </c>
      <c r="C7" s="100" t="s">
        <v>148</v>
      </c>
      <c r="D7" s="215"/>
      <c r="E7" s="101"/>
      <c r="F7" s="26" t="s">
        <v>147</v>
      </c>
      <c r="G7" s="100" t="s">
        <v>149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>
      <c r="A8" s="105">
        <v>1</v>
      </c>
      <c r="B8" s="61">
        <v>1</v>
      </c>
      <c r="C8" s="49" t="s">
        <v>150</v>
      </c>
      <c r="D8" s="23"/>
      <c r="E8" s="105">
        <v>4</v>
      </c>
      <c r="F8" s="61">
        <v>0</v>
      </c>
      <c r="G8" s="102" t="s">
        <v>151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>
      <c r="A9" s="105">
        <v>2</v>
      </c>
      <c r="B9" s="61">
        <v>0</v>
      </c>
      <c r="C9" s="108" t="s">
        <v>152</v>
      </c>
      <c r="D9" s="23"/>
      <c r="E9" s="105">
        <v>5</v>
      </c>
      <c r="F9" s="61">
        <v>0</v>
      </c>
      <c r="G9" s="103" t="s">
        <v>153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>
      <c r="A10" s="105">
        <v>3</v>
      </c>
      <c r="B10" s="61">
        <v>0</v>
      </c>
      <c r="C10" s="109" t="s">
        <v>154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>
      <c r="A13" s="216"/>
      <c r="B13" s="107"/>
      <c r="C13" s="98" t="s">
        <v>155</v>
      </c>
      <c r="D13" s="216"/>
      <c r="E13" s="99"/>
      <c r="F13" s="107"/>
      <c r="G13" s="98" t="s">
        <v>156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>
      <c r="A14" s="216"/>
      <c r="B14" s="107"/>
      <c r="C14" s="98" t="s">
        <v>157</v>
      </c>
      <c r="D14" s="216"/>
      <c r="E14" s="99"/>
      <c r="F14" s="107"/>
      <c r="G14" s="98" t="s">
        <v>158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>
      <c r="A15" s="23"/>
      <c r="B15" s="26" t="s">
        <v>147</v>
      </c>
      <c r="C15" s="4"/>
      <c r="D15" s="23"/>
      <c r="E15" s="4"/>
      <c r="F15" s="4"/>
      <c r="G15" s="2" t="s">
        <v>159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>
      <c r="A16" s="23"/>
      <c r="B16" s="61">
        <v>0</v>
      </c>
      <c r="C16" s="110" t="s">
        <v>160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23"/>
      <c r="B17" s="61">
        <v>1</v>
      </c>
      <c r="C17" s="110" t="s">
        <v>161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23"/>
      <c r="B18" s="61">
        <v>0</v>
      </c>
      <c r="C18" s="110" t="s">
        <v>162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>
      <c r="C104" s="4"/>
      <c r="F104" s="4"/>
    </row>
    <row r="105" spans="3:35">
      <c r="C105" s="4"/>
      <c r="F105" s="4"/>
    </row>
    <row r="106" spans="3:35">
      <c r="C106" s="4"/>
      <c r="F106" s="4"/>
    </row>
    <row r="107" spans="3:35">
      <c r="C107" s="4"/>
      <c r="F107" s="4"/>
    </row>
    <row r="108" spans="3:35">
      <c r="C108" s="4"/>
      <c r="F108" s="4"/>
    </row>
    <row r="109" spans="3:35">
      <c r="C109" s="4"/>
      <c r="F109" s="4"/>
    </row>
    <row r="110" spans="3:35">
      <c r="C110" s="4"/>
      <c r="F110" s="4"/>
    </row>
    <row r="111" spans="3:35">
      <c r="C111" s="4"/>
      <c r="F111" s="4"/>
    </row>
    <row r="112" spans="3:35">
      <c r="C112" s="4"/>
      <c r="F112" s="4"/>
    </row>
    <row r="113" spans="3:6">
      <c r="C113" s="4"/>
      <c r="F113" s="4"/>
    </row>
    <row r="114" spans="3:6">
      <c r="C114" s="4"/>
      <c r="F114" s="4"/>
    </row>
    <row r="115" spans="3:6">
      <c r="C115" s="4"/>
      <c r="F115" s="4"/>
    </row>
    <row r="116" spans="3:6">
      <c r="C116" s="4"/>
      <c r="F116" s="4"/>
    </row>
    <row r="117" spans="3:6">
      <c r="C117" s="4"/>
      <c r="F117" s="4"/>
    </row>
    <row r="118" spans="3:6">
      <c r="C118" s="4"/>
      <c r="F118" s="4"/>
    </row>
    <row r="119" spans="3:6">
      <c r="C119" s="4"/>
      <c r="F119" s="4"/>
    </row>
    <row r="120" spans="3:6">
      <c r="C120" s="4"/>
      <c r="F120" s="4"/>
    </row>
    <row r="121" spans="3:6">
      <c r="C121" s="4"/>
      <c r="F121" s="4"/>
    </row>
    <row r="122" spans="3:6">
      <c r="C122" s="4"/>
      <c r="F122" s="4"/>
    </row>
    <row r="123" spans="3:6">
      <c r="C123" s="4"/>
      <c r="F123" s="4"/>
    </row>
    <row r="124" spans="3:6">
      <c r="C124" s="4"/>
      <c r="F124" s="4"/>
    </row>
    <row r="125" spans="3:6">
      <c r="C125" s="4"/>
      <c r="F125" s="4"/>
    </row>
    <row r="126" spans="3:6">
      <c r="C126" s="4"/>
      <c r="F126" s="4"/>
    </row>
    <row r="127" spans="3:6">
      <c r="C127" s="4"/>
      <c r="F127" s="4"/>
    </row>
    <row r="128" spans="3:6">
      <c r="C128" s="4"/>
      <c r="F128" s="4"/>
    </row>
    <row r="129" spans="3:6">
      <c r="C129" s="4"/>
      <c r="F129" s="4"/>
    </row>
    <row r="130" spans="3:6">
      <c r="C130" s="4"/>
      <c r="F130" s="4"/>
    </row>
    <row r="131" spans="3:6">
      <c r="C131" s="4"/>
      <c r="F131" s="4"/>
    </row>
    <row r="132" spans="3:6">
      <c r="F132" s="4"/>
    </row>
    <row r="133" spans="3:6">
      <c r="F133" s="4"/>
    </row>
    <row r="134" spans="3:6">
      <c r="F134" s="4"/>
    </row>
    <row r="135" spans="3:6">
      <c r="F135" s="4"/>
    </row>
    <row r="136" spans="3:6">
      <c r="F136" s="4"/>
    </row>
    <row r="137" spans="3:6">
      <c r="F137" s="4"/>
    </row>
    <row r="138" spans="3:6">
      <c r="F138" s="4"/>
    </row>
    <row r="139" spans="3:6">
      <c r="F139" s="4"/>
    </row>
    <row r="140" spans="3:6">
      <c r="F140" s="4"/>
    </row>
    <row r="141" spans="3:6">
      <c r="F141" s="4"/>
    </row>
    <row r="142" spans="3:6">
      <c r="F142" s="4"/>
    </row>
    <row r="143" spans="3:6">
      <c r="F143" s="4"/>
    </row>
    <row r="144" spans="3:6">
      <c r="F144" s="4"/>
    </row>
    <row r="145" spans="6:6">
      <c r="F145" s="4"/>
    </row>
    <row r="146" spans="6:6">
      <c r="F146" s="4"/>
    </row>
    <row r="147" spans="6:6">
      <c r="F147" s="4"/>
    </row>
    <row r="148" spans="6:6">
      <c r="F148" s="4"/>
    </row>
    <row r="149" spans="6:6">
      <c r="F149" s="4"/>
    </row>
    <row r="150" spans="6:6">
      <c r="F150" s="4"/>
    </row>
    <row r="151" spans="6:6">
      <c r="F151" s="4"/>
    </row>
    <row r="152" spans="6:6">
      <c r="F152" s="4"/>
    </row>
    <row r="153" spans="6:6">
      <c r="F153" s="4"/>
    </row>
    <row r="154" spans="6:6">
      <c r="F154" s="4"/>
    </row>
    <row r="155" spans="6:6">
      <c r="F155" s="4"/>
    </row>
    <row r="156" spans="6:6">
      <c r="F156" s="4"/>
    </row>
    <row r="157" spans="6:6">
      <c r="F157" s="4"/>
    </row>
    <row r="158" spans="6:6">
      <c r="F158" s="4"/>
    </row>
    <row r="159" spans="6:6">
      <c r="F159" s="4"/>
    </row>
    <row r="160" spans="6:6">
      <c r="F160" s="4"/>
    </row>
    <row r="161" spans="6:6">
      <c r="F161" s="4"/>
    </row>
    <row r="162" spans="6:6">
      <c r="F162" s="4"/>
    </row>
    <row r="163" spans="6:6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defaultColWidth="11.42578125" defaultRowHeight="14.4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6.45" thickBot="1">
      <c r="B1" s="279" t="s">
        <v>163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/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Erable champêtre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Charme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Cèdre de l'Atlas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Merisier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>Chêne pubescent</v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>Chêne sessile</v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>Robinier faux-acacia</v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15" thickBot="1">
      <c r="A2" s="71" t="s">
        <v>164</v>
      </c>
      <c r="B2" s="72" t="s">
        <v>165</v>
      </c>
      <c r="C2" s="5" t="s">
        <v>166</v>
      </c>
      <c r="D2" s="5" t="s">
        <v>167</v>
      </c>
      <c r="E2" s="5" t="s">
        <v>168</v>
      </c>
      <c r="F2" s="5" t="s">
        <v>169</v>
      </c>
      <c r="G2" s="5" t="s">
        <v>170</v>
      </c>
      <c r="H2" s="66" t="s">
        <v>171</v>
      </c>
      <c r="I2" s="68" t="s">
        <v>168</v>
      </c>
      <c r="J2" s="69" t="s">
        <v>169</v>
      </c>
      <c r="K2" s="6" t="s">
        <v>172</v>
      </c>
      <c r="L2" s="6" t="s">
        <v>173</v>
      </c>
      <c r="M2" s="6" t="s">
        <v>173</v>
      </c>
      <c r="N2" s="6" t="s">
        <v>174</v>
      </c>
      <c r="O2" s="6" t="s">
        <v>175</v>
      </c>
      <c r="P2" s="6" t="s">
        <v>176</v>
      </c>
      <c r="Q2" s="6" t="s">
        <v>170</v>
      </c>
      <c r="R2" s="6" t="s">
        <v>177</v>
      </c>
      <c r="S2" s="6" t="s">
        <v>178</v>
      </c>
      <c r="T2" s="6" t="s">
        <v>179</v>
      </c>
      <c r="U2" s="7" t="s">
        <v>180</v>
      </c>
      <c r="V2" s="8" t="s">
        <v>181</v>
      </c>
      <c r="W2" s="7" t="s">
        <v>55</v>
      </c>
      <c r="X2" s="7" t="s">
        <v>56</v>
      </c>
      <c r="Y2" s="7" t="s">
        <v>182</v>
      </c>
      <c r="Z2" s="8" t="s">
        <v>183</v>
      </c>
      <c r="AA2" s="8" t="s">
        <v>184</v>
      </c>
      <c r="AB2" s="8" t="s">
        <v>185</v>
      </c>
      <c r="AC2" s="9" t="s">
        <v>186</v>
      </c>
      <c r="AD2" s="69" t="s">
        <v>168</v>
      </c>
      <c r="AE2" s="69" t="s">
        <v>169</v>
      </c>
      <c r="AF2" s="6" t="s">
        <v>172</v>
      </c>
      <c r="AG2" s="6" t="s">
        <v>173</v>
      </c>
      <c r="AH2" s="6" t="s">
        <v>173</v>
      </c>
      <c r="AI2" s="6" t="s">
        <v>174</v>
      </c>
      <c r="AJ2" s="6" t="s">
        <v>175</v>
      </c>
      <c r="AK2" s="6" t="s">
        <v>176</v>
      </c>
      <c r="AL2" s="6" t="s">
        <v>170</v>
      </c>
      <c r="AM2" s="6" t="s">
        <v>177</v>
      </c>
      <c r="AN2" s="6" t="s">
        <v>178</v>
      </c>
      <c r="AO2" s="6" t="s">
        <v>179</v>
      </c>
      <c r="AP2" s="7" t="s">
        <v>180</v>
      </c>
      <c r="AQ2" s="8" t="s">
        <v>181</v>
      </c>
      <c r="AR2" s="7" t="s">
        <v>55</v>
      </c>
      <c r="AS2" s="7" t="s">
        <v>56</v>
      </c>
      <c r="AT2" s="8" t="s">
        <v>187</v>
      </c>
      <c r="AU2" s="8" t="s">
        <v>183</v>
      </c>
      <c r="AV2" s="8" t="s">
        <v>184</v>
      </c>
      <c r="AW2" s="8" t="s">
        <v>185</v>
      </c>
      <c r="AX2" s="8" t="s">
        <v>186</v>
      </c>
      <c r="AY2" s="68" t="s">
        <v>168</v>
      </c>
      <c r="AZ2" s="69" t="s">
        <v>169</v>
      </c>
      <c r="BA2" s="6" t="s">
        <v>172</v>
      </c>
      <c r="BB2" s="6" t="s">
        <v>173</v>
      </c>
      <c r="BC2" s="6" t="s">
        <v>173</v>
      </c>
      <c r="BD2" s="6" t="s">
        <v>174</v>
      </c>
      <c r="BE2" s="6" t="s">
        <v>175</v>
      </c>
      <c r="BF2" s="6" t="s">
        <v>176</v>
      </c>
      <c r="BG2" s="6" t="s">
        <v>170</v>
      </c>
      <c r="BH2" s="6" t="s">
        <v>177</v>
      </c>
      <c r="BI2" s="6" t="s">
        <v>178</v>
      </c>
      <c r="BJ2" s="6" t="s">
        <v>179</v>
      </c>
      <c r="BK2" s="7" t="s">
        <v>180</v>
      </c>
      <c r="BL2" s="8" t="s">
        <v>181</v>
      </c>
      <c r="BM2" s="7" t="s">
        <v>55</v>
      </c>
      <c r="BN2" s="7" t="s">
        <v>56</v>
      </c>
      <c r="BO2" s="8" t="s">
        <v>187</v>
      </c>
      <c r="BP2" s="8" t="s">
        <v>183</v>
      </c>
      <c r="BQ2" s="8" t="s">
        <v>184</v>
      </c>
      <c r="BR2" s="8" t="s">
        <v>185</v>
      </c>
      <c r="BS2" s="9" t="s">
        <v>186</v>
      </c>
      <c r="BT2" s="68" t="s">
        <v>168</v>
      </c>
      <c r="BU2" s="69" t="s">
        <v>169</v>
      </c>
      <c r="BV2" s="6" t="s">
        <v>172</v>
      </c>
      <c r="BW2" s="6" t="s">
        <v>173</v>
      </c>
      <c r="BX2" s="6" t="s">
        <v>173</v>
      </c>
      <c r="BY2" s="6" t="s">
        <v>174</v>
      </c>
      <c r="BZ2" s="6" t="s">
        <v>175</v>
      </c>
      <c r="CA2" s="6" t="s">
        <v>176</v>
      </c>
      <c r="CB2" s="6" t="s">
        <v>170</v>
      </c>
      <c r="CC2" s="6" t="s">
        <v>177</v>
      </c>
      <c r="CD2" s="6" t="s">
        <v>178</v>
      </c>
      <c r="CE2" s="6" t="s">
        <v>179</v>
      </c>
      <c r="CF2" s="7" t="s">
        <v>180</v>
      </c>
      <c r="CG2" s="8" t="s">
        <v>181</v>
      </c>
      <c r="CH2" s="7" t="s">
        <v>55</v>
      </c>
      <c r="CI2" s="7" t="s">
        <v>56</v>
      </c>
      <c r="CJ2" s="8" t="s">
        <v>187</v>
      </c>
      <c r="CK2" s="8" t="s">
        <v>183</v>
      </c>
      <c r="CL2" s="8" t="s">
        <v>184</v>
      </c>
      <c r="CM2" s="8" t="s">
        <v>185</v>
      </c>
      <c r="CN2" s="9" t="s">
        <v>186</v>
      </c>
      <c r="CO2" s="68" t="s">
        <v>168</v>
      </c>
      <c r="CP2" s="69" t="s">
        <v>169</v>
      </c>
      <c r="CQ2" s="6" t="s">
        <v>172</v>
      </c>
      <c r="CR2" s="6" t="s">
        <v>173</v>
      </c>
      <c r="CS2" s="6" t="s">
        <v>173</v>
      </c>
      <c r="CT2" s="6" t="s">
        <v>174</v>
      </c>
      <c r="CU2" s="6" t="s">
        <v>175</v>
      </c>
      <c r="CV2" s="6" t="s">
        <v>176</v>
      </c>
      <c r="CW2" s="6" t="s">
        <v>170</v>
      </c>
      <c r="CX2" s="6" t="s">
        <v>177</v>
      </c>
      <c r="CY2" s="6" t="s">
        <v>178</v>
      </c>
      <c r="CZ2" s="6" t="s">
        <v>179</v>
      </c>
      <c r="DA2" s="7" t="s">
        <v>180</v>
      </c>
      <c r="DB2" s="8" t="s">
        <v>181</v>
      </c>
      <c r="DC2" s="7" t="s">
        <v>55</v>
      </c>
      <c r="DD2" s="7" t="s">
        <v>56</v>
      </c>
      <c r="DE2" s="8" t="s">
        <v>187</v>
      </c>
      <c r="DF2" s="8" t="s">
        <v>183</v>
      </c>
      <c r="DG2" s="8" t="s">
        <v>184</v>
      </c>
      <c r="DH2" s="8" t="s">
        <v>185</v>
      </c>
      <c r="DI2" s="9" t="s">
        <v>186</v>
      </c>
      <c r="DJ2" s="68" t="s">
        <v>168</v>
      </c>
      <c r="DK2" s="69" t="s">
        <v>169</v>
      </c>
      <c r="DL2" s="6" t="s">
        <v>172</v>
      </c>
      <c r="DM2" s="6" t="s">
        <v>173</v>
      </c>
      <c r="DN2" s="6" t="s">
        <v>173</v>
      </c>
      <c r="DO2" s="6" t="s">
        <v>174</v>
      </c>
      <c r="DP2" s="6" t="s">
        <v>175</v>
      </c>
      <c r="DQ2" s="6" t="s">
        <v>176</v>
      </c>
      <c r="DR2" s="6" t="s">
        <v>170</v>
      </c>
      <c r="DS2" s="6" t="s">
        <v>177</v>
      </c>
      <c r="DT2" s="6" t="s">
        <v>178</v>
      </c>
      <c r="DU2" s="6" t="s">
        <v>179</v>
      </c>
      <c r="DV2" s="7" t="s">
        <v>180</v>
      </c>
      <c r="DW2" s="8" t="s">
        <v>181</v>
      </c>
      <c r="DX2" s="7" t="s">
        <v>55</v>
      </c>
      <c r="DY2" s="7" t="s">
        <v>56</v>
      </c>
      <c r="DZ2" s="8" t="s">
        <v>187</v>
      </c>
      <c r="EA2" s="8" t="s">
        <v>183</v>
      </c>
      <c r="EB2" s="8" t="s">
        <v>184</v>
      </c>
      <c r="EC2" s="8" t="s">
        <v>185</v>
      </c>
      <c r="ED2" s="9" t="s">
        <v>186</v>
      </c>
      <c r="EE2" s="68" t="s">
        <v>168</v>
      </c>
      <c r="EF2" s="69" t="s">
        <v>169</v>
      </c>
      <c r="EG2" s="6" t="s">
        <v>172</v>
      </c>
      <c r="EH2" s="6" t="s">
        <v>173</v>
      </c>
      <c r="EI2" s="6" t="s">
        <v>173</v>
      </c>
      <c r="EJ2" s="6" t="s">
        <v>174</v>
      </c>
      <c r="EK2" s="6" t="s">
        <v>175</v>
      </c>
      <c r="EL2" s="6" t="s">
        <v>176</v>
      </c>
      <c r="EM2" s="6" t="s">
        <v>170</v>
      </c>
      <c r="EN2" s="6" t="s">
        <v>177</v>
      </c>
      <c r="EO2" s="6" t="s">
        <v>178</v>
      </c>
      <c r="EP2" s="6" t="s">
        <v>179</v>
      </c>
      <c r="EQ2" s="7" t="s">
        <v>180</v>
      </c>
      <c r="ER2" s="8" t="s">
        <v>181</v>
      </c>
      <c r="ES2" s="7" t="s">
        <v>55</v>
      </c>
      <c r="ET2" s="7" t="s">
        <v>56</v>
      </c>
      <c r="EU2" s="8" t="s">
        <v>187</v>
      </c>
      <c r="EV2" s="8" t="s">
        <v>183</v>
      </c>
      <c r="EW2" s="8" t="s">
        <v>184</v>
      </c>
      <c r="EX2" s="8" t="s">
        <v>185</v>
      </c>
      <c r="EY2" s="9" t="s">
        <v>186</v>
      </c>
      <c r="EZ2" s="68" t="s">
        <v>168</v>
      </c>
      <c r="FA2" s="69" t="s">
        <v>169</v>
      </c>
      <c r="FB2" s="6" t="s">
        <v>172</v>
      </c>
      <c r="FC2" s="6" t="s">
        <v>173</v>
      </c>
      <c r="FD2" s="6" t="s">
        <v>173</v>
      </c>
      <c r="FE2" s="6" t="s">
        <v>174</v>
      </c>
      <c r="FF2" s="6" t="s">
        <v>175</v>
      </c>
      <c r="FG2" s="6" t="s">
        <v>176</v>
      </c>
      <c r="FH2" s="6" t="s">
        <v>170</v>
      </c>
      <c r="FI2" s="6" t="s">
        <v>177</v>
      </c>
      <c r="FJ2" s="6" t="s">
        <v>178</v>
      </c>
      <c r="FK2" s="6" t="s">
        <v>179</v>
      </c>
      <c r="FL2" s="7" t="s">
        <v>180</v>
      </c>
      <c r="FM2" s="8" t="s">
        <v>181</v>
      </c>
      <c r="FN2" s="7" t="s">
        <v>55</v>
      </c>
      <c r="FO2" s="7" t="s">
        <v>56</v>
      </c>
      <c r="FP2" s="8" t="s">
        <v>188</v>
      </c>
      <c r="FQ2" s="8" t="s">
        <v>183</v>
      </c>
      <c r="FR2" s="8" t="s">
        <v>184</v>
      </c>
      <c r="FS2" s="8" t="s">
        <v>185</v>
      </c>
      <c r="FT2" s="9" t="s">
        <v>186</v>
      </c>
      <c r="FU2" s="68" t="s">
        <v>168</v>
      </c>
      <c r="FV2" s="69" t="s">
        <v>169</v>
      </c>
      <c r="FW2" s="6" t="s">
        <v>172</v>
      </c>
      <c r="FX2" s="6" t="s">
        <v>173</v>
      </c>
      <c r="FY2" s="6" t="s">
        <v>173</v>
      </c>
      <c r="FZ2" s="6" t="s">
        <v>174</v>
      </c>
      <c r="GA2" s="6" t="s">
        <v>175</v>
      </c>
      <c r="GB2" s="6" t="s">
        <v>176</v>
      </c>
      <c r="GC2" s="6" t="s">
        <v>170</v>
      </c>
      <c r="GD2" s="6" t="s">
        <v>177</v>
      </c>
      <c r="GE2" s="6" t="s">
        <v>178</v>
      </c>
      <c r="GF2" s="6" t="s">
        <v>179</v>
      </c>
      <c r="GG2" s="7" t="s">
        <v>180</v>
      </c>
      <c r="GH2" s="8" t="s">
        <v>181</v>
      </c>
      <c r="GI2" s="7" t="s">
        <v>55</v>
      </c>
      <c r="GJ2" s="7" t="s">
        <v>56</v>
      </c>
      <c r="GK2" s="8" t="s">
        <v>187</v>
      </c>
      <c r="GL2" s="8" t="s">
        <v>183</v>
      </c>
      <c r="GM2" s="8" t="s">
        <v>184</v>
      </c>
      <c r="GN2" s="8" t="s">
        <v>185</v>
      </c>
      <c r="GO2" s="8" t="s">
        <v>186</v>
      </c>
      <c r="GP2" s="68" t="s">
        <v>168</v>
      </c>
      <c r="GQ2" s="69" t="s">
        <v>169</v>
      </c>
      <c r="GR2" s="6" t="s">
        <v>172</v>
      </c>
      <c r="GS2" s="6" t="s">
        <v>173</v>
      </c>
      <c r="GT2" s="6" t="s">
        <v>173</v>
      </c>
      <c r="GU2" s="6" t="s">
        <v>174</v>
      </c>
      <c r="GV2" s="6" t="s">
        <v>175</v>
      </c>
      <c r="GW2" s="6" t="s">
        <v>176</v>
      </c>
      <c r="GX2" s="6" t="s">
        <v>170</v>
      </c>
      <c r="GY2" s="6" t="s">
        <v>177</v>
      </c>
      <c r="GZ2" s="6" t="s">
        <v>178</v>
      </c>
      <c r="HA2" s="6" t="s">
        <v>179</v>
      </c>
      <c r="HB2" s="7" t="s">
        <v>180</v>
      </c>
      <c r="HC2" s="8" t="s">
        <v>181</v>
      </c>
      <c r="HD2" s="7" t="s">
        <v>55</v>
      </c>
      <c r="HE2" s="7" t="s">
        <v>56</v>
      </c>
      <c r="HF2" s="8" t="s">
        <v>187</v>
      </c>
      <c r="HG2" s="8" t="s">
        <v>183</v>
      </c>
      <c r="HH2" s="8" t="s">
        <v>184</v>
      </c>
      <c r="HI2" s="8" t="s">
        <v>185</v>
      </c>
      <c r="HJ2" s="9" t="s">
        <v>186</v>
      </c>
    </row>
    <row r="3" spans="1:218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 t="e">
        <f>N3*VLOOKUP('Données projet'!$B$9,Paramètres!$A$1:$I$89,3,0)*VLOOKUP('Données projet'!$B$9,Paramètres!$A$1:$I$89,5,0)</f>
        <v>#N/A</v>
      </c>
      <c r="P3" s="12">
        <v>0</v>
      </c>
      <c r="Q3" s="14" t="e">
        <f>(O3+P3)*0.475*44/12</f>
        <v>#N/A</v>
      </c>
      <c r="R3" s="59" t="e">
        <f t="shared" ref="R3:R66" si="0">Q3+(I3+J3)*44/12</f>
        <v>#N/A</v>
      </c>
      <c r="S3" s="59" t="e">
        <f ca="1">AVERAGE(OFFSET($R$3,0,0,'Données projet'!$E$9+1,1))-AVERAGE(OFFSET($H$3,0,0,'Données projet'!$E$9+1,1))</f>
        <v>#N/A</v>
      </c>
      <c r="T3" s="59" t="e">
        <f>IF('Données projet'!E9&gt;30,$R$33-$H$33,LOOKUP('Données projet'!$E$9,$A$3:$A$203,R3:R203)-LOOKUP('Données projet'!$E$9,$A$3:$A$203,$H$3:$H$203))</f>
        <v>#N/A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338.55719679154777</v>
      </c>
      <c r="AO3" s="59">
        <f>IF('Données projet'!E10&gt;30,$AM$33-$H$33,LOOKUP('Données projet'!$E$10,$A$3:$A$203,AM3:AM203)-LOOKUP('Données projet'!$E$10,$A$3:$A$203,$H$3:$H$203))</f>
        <v>371.26234252426531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351.6178679548006</v>
      </c>
      <c r="BJ3" s="59">
        <f>IF('Données projet'!E11&gt;30,$BH$33-$H$33,LOOKUP('Données projet'!$E$11,$A$3:$A$203,BH3:BH203)-LOOKUP('Données projet'!$E$11,$A$3:$A$203,$H$3:$H$203))</f>
        <v>244.7141066773861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246.66630850723385</v>
      </c>
      <c r="CE3" s="59">
        <f>IF('Données projet'!E12&gt;30,$CC$33-$H$33,LOOKUP('Données projet'!$E$12,$A$3:$A$203,CC3:CC203)-LOOKUP('Données projet'!$E$12,$A$3:$A$203,$H$3:$H$203))</f>
        <v>145.34368562171613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292.57482726862594</v>
      </c>
      <c r="CZ3" s="59">
        <f>IF('Données projet'!E13&gt;30,$CX$33-$H$33,LOOKUP('Données projet'!$E$13,$A$3:$A$203,CX3:CX203)-LOOKUP('Données projet'!$E$13,$A$3:$A$203,$H$3:$H$203))</f>
        <v>283.48738729114024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475.47920969424894</v>
      </c>
      <c r="DU3" s="59">
        <f>IF('Données projet'!E14&gt;30,$DS$33-$H$33,LOOKUP('Données projet'!$E$14,$A$3:$A$203,DS3:DS203)-LOOKUP('Données projet'!$E$14,$A$3:$A$203,$H$3:$H$203))</f>
        <v>271.73544012419364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428.8489304403459</v>
      </c>
      <c r="EP3" s="59">
        <f>IF('Données projet'!E15&gt;30,$EN$33-$H$33,LOOKUP('Données projet'!$E$15,$A$3:$A$203,EN3:EN203)-LOOKUP('Données projet'!$E$15,$A$3:$A$203,$H$3:$H$203))</f>
        <v>247.01165577562966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245.25496369542458</v>
      </c>
      <c r="FK3" s="59">
        <f>IF('Données projet'!E16&gt;30,$FI$33-$H$33,LOOKUP('Données projet'!$E$16,$A$3:$A$203,FI3:FI203)-LOOKUP('Données projet'!$E$16,$A$3:$A$203,$H$3:$H$203))</f>
        <v>342.30266518164211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</v>
      </c>
      <c r="N4" s="13">
        <f>IF('Données projet'!$A$36&gt;35,N3+M4-V3,IF(A4&lt;'Données projet'!$A$36,$K$205^A4,IF(A4='Données projet'!$A$36,'Données projet'!$B$36,N3+M4-V3)))</f>
        <v>0</v>
      </c>
      <c r="O4" s="13" t="e">
        <f>N4*VLOOKUP('Données projet'!$B$9,Paramètres!$A$1:$I$89,3,0)*VLOOKUP('Données projet'!$B$9,Paramètres!$A$1:$I$89,5,0)</f>
        <v>#N/A</v>
      </c>
      <c r="P4" s="13" t="e">
        <f>EXP(-1.0587+0.8836*LN(O4)+0.284)</f>
        <v>#N/A</v>
      </c>
      <c r="Q4" s="20" t="e">
        <f t="shared" ref="Q4:Q34" si="2">(O4+P4)*0.475*44/12</f>
        <v>#N/A</v>
      </c>
      <c r="R4" s="59" t="e">
        <f t="shared" si="0"/>
        <v>#N/A</v>
      </c>
      <c r="S4" s="59" t="e">
        <f ca="1">AVERAGE(OFFSET($R$3,0,0,'Données projet'!$E$9+1,1))-AVERAGE(OFFSET($H$3,0,0,'Données projet'!$E$9+1,1))</f>
        <v>#N/A</v>
      </c>
      <c r="T4" s="59" t="e">
        <f>$T$3</f>
        <v>#N/A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 t="e">
        <f>EXP(-LN(2)/35)*Z3+(1-EXP(-LN(2)/35))/(LN(2)/35)*V4*W4*VLOOKUP('Données projet'!$B$9,Paramètres!$A$1:$I$89,3,0)*0.475*44/12</f>
        <v>#N/A</v>
      </c>
      <c r="AA4" s="21" t="e">
        <f>EXP(-LN(2)/25)*AA3+(1-EXP(-LN(2)/25))/(LN(2)/25)*Calculateur!V4*Calculateur!X4*VLOOKUP('Données projet'!$B$9,Paramètres!$A$1:$I$89,3,0)*0.475*44/12</f>
        <v>#N/A</v>
      </c>
      <c r="AB4" s="21" t="e">
        <f>EXP(-LN(2)/2)*AB3+(1-EXP(-LN(2)/2))/(LN(2)/2)*V4*Y4*VLOOKUP('Données projet'!$B$9,Paramètres!$A$1:$I$89,3,0)*0.475*44/12</f>
        <v>#N/A</v>
      </c>
      <c r="AC4" s="22" t="e">
        <f t="shared" ref="AC4:AC67" si="3">SUM(Z4:AB4)</f>
        <v>#N/A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2.4666666666666668</v>
      </c>
      <c r="AI4" s="13">
        <f>IF('Données projet'!$A$62&gt;35,AI3+AH4-AQ3,IF(A4&lt;'Données projet'!$A$62,$AF$205^A4,IF(A4='Données projet'!$A$62,'Données projet'!$B$62,AI3+AH4-AQ3)))</f>
        <v>1.2721747796233518</v>
      </c>
      <c r="AJ4" s="13">
        <f>AI4*VLOOKUP('Données projet'!$B$10,Paramètres!$A$1:$I$89,3,0)*VLOOKUP('Données projet'!$B$10,Paramètres!$A$1:$I$89,5,0)</f>
        <v>1.1113718874789602</v>
      </c>
      <c r="AK4" s="13">
        <f>EXP(-1.0587+0.8836*LN(AJ4)+0.284)</f>
        <v>0.5059102014681881</v>
      </c>
      <c r="AL4" s="20">
        <f t="shared" ref="AL4:AL67" si="4">(AJ4+AK4)*0.475*44/12</f>
        <v>2.8167663049162832</v>
      </c>
      <c r="AM4" s="59">
        <f t="shared" ref="AM4:AM67" si="5">AL4+(AD4+AE4)*44/12</f>
        <v>260.70565519380511</v>
      </c>
      <c r="AN4" s="59">
        <f ca="1">AVERAGE(OFFSET($AM$3,0,0,'Données projet'!$E$10+1,1))-AVERAGE(OFFSET($H$3,0,0,'Données projet'!$E$10+1,1))</f>
        <v>338.55719679154777</v>
      </c>
      <c r="AO4" s="59">
        <f>$AO$3</f>
        <v>371.26234252426531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2.2649572649572649</v>
      </c>
      <c r="BD4" s="12">
        <f>IF('Données projet'!$A$88&gt;35,BD3+BC4-BL3,IF(A4&lt;'Données projet'!$A$88,$BA$205^A4,IF(A4='Données projet'!$A$88,'Données projet'!$B$88,BD3+BC4-BL3)))</f>
        <v>1.2649598798623627</v>
      </c>
      <c r="BE4" s="13">
        <f>BD4*VLOOKUP('Données projet'!$B$11,Paramètres!$A$1:$I$89,3,0)*VLOOKUP('Données projet'!$B$11,Paramètres!$A$1:$I$89,5,0)</f>
        <v>1.2037358216770244</v>
      </c>
      <c r="BF4" s="13">
        <f>EXP(-1.0587+0.8836*LN(BE4)+0.284)</f>
        <v>0.54288697199953284</v>
      </c>
      <c r="BG4" s="20">
        <f t="shared" ref="BG4:BG67" si="7">(BE4+BF4)*0.475*44/12</f>
        <v>3.0420346989866704</v>
      </c>
      <c r="BH4" s="59">
        <f t="shared" ref="BH4:BH67" si="8">BG4+(AY4+AZ4)*44/12</f>
        <v>260.93092358787555</v>
      </c>
      <c r="BI4" s="59">
        <f ca="1">AVERAGE(OFFSET($BH$3,0,0,'Données projet'!$E$11+1,1))-AVERAGE(OFFSET($H$3,0,0,'Données projet'!$E$11+1,1))</f>
        <v>351.6178679548006</v>
      </c>
      <c r="BJ4" s="59">
        <f>$BJ$3</f>
        <v>244.7141066773861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3.4358974358974361</v>
      </c>
      <c r="BY4" s="12">
        <f>IF('Données projet'!$A$114&gt;35,BY3+BX4-CG3,IF(A4&lt;'Données projet'!$A$114,$BV$205^A4,IF(A4='Données projet'!$A$114,'Données projet'!$B$114,BY3+BX4-CG3)))</f>
        <v>1.167092777711815</v>
      </c>
      <c r="BZ4" s="13">
        <f>BY4*VLOOKUP('Données projet'!$B$12,Paramètres!$A$1:$I$89,3,0)*VLOOKUP('Données projet'!$B$12,Paramètres!$A$1:$I$89,5,0)</f>
        <v>0.54619941996912946</v>
      </c>
      <c r="CA4" s="13">
        <f>EXP(-1.0587+0.8836*LN(BZ4)+0.284)</f>
        <v>0.27006954687577245</v>
      </c>
      <c r="CB4" s="20">
        <f t="shared" ref="CB4:CB67" si="10">(BZ4+CA4)*0.475*44/12</f>
        <v>1.4216684505882042</v>
      </c>
      <c r="CC4" s="59">
        <f t="shared" ref="CC4:CC67" si="11">CB4+(BT4+BU4)*44/12</f>
        <v>259.31055733947704</v>
      </c>
      <c r="CD4" s="59">
        <f ca="1">AVERAGE(OFFSET($CC$3,0,0,'Données projet'!$E$12+1,1))-AVERAGE(OFFSET($H$3,0,0,'Données projet'!$E$12+1,1))</f>
        <v>246.66630850723385</v>
      </c>
      <c r="CE4" s="59">
        <f>$CE$3</f>
        <v>145.34368562171613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2.6666666666666665</v>
      </c>
      <c r="CT4" s="12">
        <f>IF('Données projet'!$A$140&gt;35,CT3+CS4-DB3,IF(A4&lt;'Données projet'!$A$140,$CQ$205^A4,IF(A4='Données projet'!$A$140,'Données projet'!$B$140,CT3+CS4-DB3)))</f>
        <v>1.2788040393997409</v>
      </c>
      <c r="CU4" s="17">
        <f>CT4*VLOOKUP('Données projet'!$B$13,Paramètres!$A$1:$I$89,3,0)*VLOOKUP('Données projet'!$B$13,Paramètres!$A$1:$I$89,5,0)</f>
        <v>0.99746715073179792</v>
      </c>
      <c r="CV4" s="13">
        <f>EXP(-1.0587+0.8836*LN(CU4)+0.284)</f>
        <v>0.45981048445793882</v>
      </c>
      <c r="CW4" s="20">
        <f t="shared" ref="CW4:CW67" si="13">(CU4+CV4)*0.475*44/12</f>
        <v>2.5380918812887914</v>
      </c>
      <c r="CX4" s="59">
        <f t="shared" ref="CX4:CX67" si="14">CW4+(CO4+CP4)*44/12</f>
        <v>260.42698077017764</v>
      </c>
      <c r="CY4" s="59">
        <f ca="1">AVERAGE(OFFSET($CX$3,0,0,'Données projet'!$E$13+1,1))-AVERAGE(OFFSET($H$3,0,0,'Données projet'!$E$13+1,1))</f>
        <v>292.57482726862594</v>
      </c>
      <c r="CZ4" s="59">
        <f>$CZ$3</f>
        <v>283.48738729114024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2.1</v>
      </c>
      <c r="DO4" s="12">
        <f>IF('Données projet'!$A$166&gt;35,DO3+DN4-DW3,IF(A4&lt;'Données projet'!$A$166,$DL$205^A4,IF(A4='Données projet'!$A$166,'Données projet'!$B$166,DO3+DN4-DW3)))</f>
        <v>1.2054868146447177</v>
      </c>
      <c r="DP4" s="17">
        <f>DO4*VLOOKUP('Données projet'!$B$14,Paramètres!$A$1:$I$89,3,0)*VLOOKUP('Données projet'!$B$14,Paramètres!$A$1:$I$89,5,0)</f>
        <v>1.2223636300497438</v>
      </c>
      <c r="DQ4" s="13">
        <f>EXP(-1.0587+0.8836*LN(DP4)+0.284)</f>
        <v>0.55030360208821416</v>
      </c>
      <c r="DR4" s="20">
        <f t="shared" ref="DR4:DR67" si="16">(DP4+DQ4)*0.475*44/12</f>
        <v>3.0873954293069432</v>
      </c>
      <c r="DS4" s="59">
        <f t="shared" ref="DS4:DS67" si="17">DR4+(DJ4+DK4)*44/12</f>
        <v>260.97628431819578</v>
      </c>
      <c r="DT4" s="59">
        <f ca="1">AVERAGE(OFFSET($DS$3,0,0,'Données projet'!$E$14+1,1))-AVERAGE(OFFSET($H$3,0,0,'Données projet'!$E$14+1,1))</f>
        <v>475.47920969424894</v>
      </c>
      <c r="DU4" s="59">
        <f>$DU$3</f>
        <v>271.73544012419364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2.1</v>
      </c>
      <c r="EJ4" s="12">
        <f>IF('Données projet'!$A$192&gt;35,EJ3+EI4-ER3,IF(A4&lt;'Données projet'!$A$192,$EG$205^A4,IF(A4='Données projet'!$A$192,'Données projet'!$B$192,EJ3+EI4-ER3)))</f>
        <v>1.2054868146447177</v>
      </c>
      <c r="EK4" s="17">
        <f>EJ4*VLOOKUP('Données projet'!$B$15,Paramètres!$A$1:$I$89,3,0)*VLOOKUP('Données projet'!$B$15,Paramètres!$A$1:$I$89,5,0)</f>
        <v>1.0907244698905405</v>
      </c>
      <c r="EL4" s="13">
        <f>EXP(-1.0587+0.8836*LN(EK4)+0.284)</f>
        <v>0.49759623852608204</v>
      </c>
      <c r="EM4" s="20">
        <f t="shared" ref="EM4:EM67" si="19">(EK4+EL4)*0.475*44/12</f>
        <v>2.7663252338256172</v>
      </c>
      <c r="EN4" s="59">
        <f t="shared" ref="EN4:EN67" si="20">EM4+(EE4+EF4)*44/12</f>
        <v>260.65521412271448</v>
      </c>
      <c r="EO4" s="59">
        <f ca="1">AVERAGE(OFFSET($EN$3,0,0,'Données projet'!$E$15+1,1))-AVERAGE(OFFSET($H$3,0,0,'Données projet'!$E$15+1,1))</f>
        <v>428.8489304403459</v>
      </c>
      <c r="EP4" s="59">
        <f>$EP$3</f>
        <v>247.01165577562966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4.4000000000000004</v>
      </c>
      <c r="FE4" s="12">
        <f>IF('Données projet'!$A$218&gt;35,FE3+FD4-FM3,IF(A4&lt;'Données projet'!$A$218,$FB$205^A4,IF(A4='Données projet'!$A$218,'Données projet'!$B$218,FE3+FD4-FM3)))</f>
        <v>1.8556007362580844</v>
      </c>
      <c r="FF4" s="17">
        <f>FE4*VLOOKUP('Données projet'!$B$16,Paramètres!$A$1:$I$89,3,0)*VLOOKUP('Données projet'!$B$16,Paramètres!$A$1:$I$89,5,0)</f>
        <v>1.6789475461663146</v>
      </c>
      <c r="FG4" s="13">
        <f>EXP(-1.0587+0.8836*LN(FF4)+0.284)</f>
        <v>0.72844182078056119</v>
      </c>
      <c r="FH4" s="20">
        <f t="shared" ref="FH4:FH67" si="22">(FF4+FG4)*0.475*44/12</f>
        <v>4.1928698140991418</v>
      </c>
      <c r="FI4" s="59">
        <f t="shared" ref="FI4:FI67" si="23">FH4+(EZ4+FA4)*44/12</f>
        <v>262.081758702988</v>
      </c>
      <c r="FJ4" s="59">
        <f ca="1">AVERAGE(OFFSET($FI$3,0,0,'Données projet'!$E$16+1,1))-AVERAGE(OFFSET($H$3,0,0,'Données projet'!$E$16+1,1))</f>
        <v>245.25496369542458</v>
      </c>
      <c r="FK4" s="59">
        <f>$FK$3</f>
        <v>342.30266518164211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</v>
      </c>
      <c r="N5" s="13">
        <f>IF('Données projet'!$A$36&gt;35,N4+M5-V4,IF(A5&lt;'Données projet'!$A$36,$K$205^A5,IF(A5='Données projet'!$A$36,'Données projet'!$B$36,N4+M5-V4)))</f>
        <v>0</v>
      </c>
      <c r="O5" s="13" t="e">
        <f>N5*VLOOKUP('Données projet'!$B$9,Paramètres!$A$1:$I$89,3,0)*VLOOKUP('Données projet'!$B$9,Paramètres!$A$1:$I$89,5,0)</f>
        <v>#N/A</v>
      </c>
      <c r="P5" s="13" t="e">
        <f t="shared" ref="P5:P68" si="33">EXP(-1.0587+0.8836*LN(O5)+0.284)</f>
        <v>#N/A</v>
      </c>
      <c r="Q5" s="20" t="e">
        <f t="shared" si="2"/>
        <v>#N/A</v>
      </c>
      <c r="R5" s="59" t="e">
        <f t="shared" si="0"/>
        <v>#N/A</v>
      </c>
      <c r="S5" s="59" t="e">
        <f ca="1">AVERAGE(OFFSET($R$3,0,0,'Données projet'!$E$9+1,1))-AVERAGE(OFFSET($H$3,0,0,'Données projet'!$E$9+1,1))</f>
        <v>#N/A</v>
      </c>
      <c r="T5" s="59" t="e">
        <f t="shared" ref="T5:T68" si="34">$T$3</f>
        <v>#N/A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 t="e">
        <f>EXP(-LN(2)/35)*Z4+(1-EXP(-LN(2)/35))/(LN(2)/35)*V5*W5*VLOOKUP('Données projet'!$B$9,Paramètres!$A$1:$I$89,3,0)*0.475*44/12</f>
        <v>#N/A</v>
      </c>
      <c r="AA5" s="21" t="e">
        <f>EXP(-LN(2)/25)*AA4+(1-EXP(-LN(2)/25))/(LN(2)/25)*Calculateur!V5*Calculateur!X5*VLOOKUP('Données projet'!$B$9,Paramètres!$A$1:$I$89,3,0)*0.475*44/12</f>
        <v>#N/A</v>
      </c>
      <c r="AB5" s="21" t="e">
        <f>EXP(-LN(2)/2)*AB4+(1-EXP(-LN(2)/2))/(LN(2)/2)*V5*Y5*VLOOKUP('Données projet'!$B$9,Paramètres!$A$1:$I$89,3,0)*0.475*44/12</f>
        <v>#N/A</v>
      </c>
      <c r="AC5" s="22" t="e">
        <f t="shared" si="3"/>
        <v>#N/A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2.4666666666666668</v>
      </c>
      <c r="AI5" s="13">
        <f>IF('Données projet'!$A$62&gt;35,AI4+AH5-AQ4,IF(A5&lt;'Données projet'!$A$62,$AF$205^A5,IF(A5='Données projet'!$A$62,'Données projet'!$B$62,AI4+AH5-AQ4)))</f>
        <v>1.6184286699097237</v>
      </c>
      <c r="AJ5" s="13">
        <f>AI5*VLOOKUP('Données projet'!$B$10,Paramètres!$A$1:$I$89,3,0)*VLOOKUP('Données projet'!$B$10,Paramètres!$A$1:$I$89,5,0)</f>
        <v>1.4138592860331347</v>
      </c>
      <c r="AK5" s="13">
        <f t="shared" ref="AK5:AK68" si="35">EXP(-1.0587+0.8836*LN(AJ5)+0.284)</f>
        <v>0.62582221171965613</v>
      </c>
      <c r="AL5" s="20">
        <f t="shared" si="4"/>
        <v>3.5524452752527771</v>
      </c>
      <c r="AM5" s="59">
        <f t="shared" si="5"/>
        <v>262.66355638636389</v>
      </c>
      <c r="AN5" s="59">
        <f ca="1">AVERAGE(OFFSET($AM$3,0,0,'Données projet'!$E$10+1,1))-AVERAGE(OFFSET($H$3,0,0,'Données projet'!$E$10+1,1))</f>
        <v>338.55719679154777</v>
      </c>
      <c r="AO5" s="59">
        <f t="shared" ref="AO5:AO68" si="36">$AO$3</f>
        <v>371.26234252426531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2.2649572649572649</v>
      </c>
      <c r="BD5" s="12">
        <f>IF('Données projet'!$A$88&gt;35,BD4+BC5-BL4,IF(A5&lt;'Données projet'!$A$88,$BA$205^A5,IF(A5='Données projet'!$A$88,'Données projet'!$B$88,BD4+BC5-BL4)))</f>
        <v>1.6001234976614032</v>
      </c>
      <c r="BE5" s="13">
        <f>BD5*VLOOKUP('Données projet'!$B$11,Paramètres!$A$1:$I$89,3,0)*VLOOKUP('Données projet'!$B$11,Paramètres!$A$1:$I$89,5,0)</f>
        <v>1.5226775203745913</v>
      </c>
      <c r="BF5" s="13">
        <f t="shared" ref="BF5:BF68" si="37">EXP(-1.0587+0.8836*LN(BE5)+0.284)</f>
        <v>0.66819687050841592</v>
      </c>
      <c r="BG5" s="20">
        <f t="shared" si="7"/>
        <v>3.8157728974545706</v>
      </c>
      <c r="BH5" s="59">
        <f t="shared" si="8"/>
        <v>262.92688400856571</v>
      </c>
      <c r="BI5" s="59">
        <f ca="1">AVERAGE(OFFSET($BH$3,0,0,'Données projet'!$E$11+1,1))-AVERAGE(OFFSET($H$3,0,0,'Données projet'!$E$11+1,1))</f>
        <v>351.6178679548006</v>
      </c>
      <c r="BJ5" s="59">
        <f t="shared" ref="BJ5:BJ68" si="38">$BJ$3</f>
        <v>244.7141066773861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3.4358974358974361</v>
      </c>
      <c r="BY5" s="12">
        <f>IF('Données projet'!$A$114&gt;35,BY4+BX5-CG4,IF(A5&lt;'Données projet'!$A$114,$BV$205^A5,IF(A5='Données projet'!$A$114,'Données projet'!$B$114,BY4+BX5-CG4)))</f>
        <v>1.3621055517870799</v>
      </c>
      <c r="BZ5" s="13">
        <f>BY5*VLOOKUP('Données projet'!$B$12,Paramètres!$A$1:$I$89,3,0)*VLOOKUP('Données projet'!$B$12,Paramètres!$A$1:$I$89,5,0)</f>
        <v>0.6374653982363534</v>
      </c>
      <c r="CA5" s="13">
        <f t="shared" ref="CA5:CA68" si="39">EXP(-1.0587+0.8836*LN(BZ5)+0.284)</f>
        <v>0.30957788644599227</v>
      </c>
      <c r="CB5" s="20">
        <f t="shared" si="10"/>
        <v>1.6494337208217518</v>
      </c>
      <c r="CC5" s="59">
        <f t="shared" si="11"/>
        <v>260.76054483193292</v>
      </c>
      <c r="CD5" s="59">
        <f ca="1">AVERAGE(OFFSET($CC$3,0,0,'Données projet'!$E$12+1,1))-AVERAGE(OFFSET($H$3,0,0,'Données projet'!$E$12+1,1))</f>
        <v>246.66630850723385</v>
      </c>
      <c r="CE5" s="59">
        <f t="shared" ref="CE5:CE68" si="40">$CE$3</f>
        <v>145.34368562171613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2.6666666666666665</v>
      </c>
      <c r="CT5" s="12">
        <f>IF('Données projet'!$A$140&gt;35,CT4+CS5-DB4,IF(A5&lt;'Données projet'!$A$140,$CQ$205^A5,IF(A5='Données projet'!$A$140,'Données projet'!$B$140,CT4+CS5-DB4)))</f>
        <v>1.6353397711850939</v>
      </c>
      <c r="CU5" s="17">
        <f>CT5*VLOOKUP('Données projet'!$B$13,Paramètres!$A$1:$I$89,3,0)*VLOOKUP('Données projet'!$B$13,Paramètres!$A$1:$I$89,5,0)</f>
        <v>1.2755650215243732</v>
      </c>
      <c r="CV5" s="13">
        <f t="shared" ref="CV5:CV68" si="41">EXP(-1.0587+0.8836*LN(CU5)+0.284)</f>
        <v>0.57141400910743001</v>
      </c>
      <c r="CW5" s="20">
        <f t="shared" si="13"/>
        <v>3.2168218116837237</v>
      </c>
      <c r="CX5" s="59">
        <f t="shared" si="14"/>
        <v>262.32793292279484</v>
      </c>
      <c r="CY5" s="59">
        <f ca="1">AVERAGE(OFFSET($CX$3,0,0,'Données projet'!$E$13+1,1))-AVERAGE(OFFSET($H$3,0,0,'Données projet'!$E$13+1,1))</f>
        <v>292.57482726862594</v>
      </c>
      <c r="CZ5" s="59">
        <f t="shared" ref="CZ5:CZ68" si="42">$CZ$3</f>
        <v>283.48738729114024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2.1</v>
      </c>
      <c r="DO5" s="12">
        <f>IF('Données projet'!$A$166&gt;35,DO4+DN5-DW4,IF(A5&lt;'Données projet'!$A$166,$DL$205^A5,IF(A5='Données projet'!$A$166,'Données projet'!$B$166,DO4+DN5-DW4)))</f>
        <v>1.4531984602822681</v>
      </c>
      <c r="DP5" s="17">
        <f>DO5*VLOOKUP('Données projet'!$B$14,Paramètres!$A$1:$I$89,3,0)*VLOOKUP('Données projet'!$B$14,Paramètres!$A$1:$I$89,5,0)</f>
        <v>1.47354323872622</v>
      </c>
      <c r="DQ5" s="13">
        <f t="shared" ref="DQ5:DQ68" si="43">EXP(-1.0587+0.8836*LN(DP5)+0.284)</f>
        <v>0.64910881835703094</v>
      </c>
      <c r="DR5" s="20">
        <f t="shared" si="16"/>
        <v>3.6969523327533285</v>
      </c>
      <c r="DS5" s="59">
        <f t="shared" si="17"/>
        <v>262.80806344386446</v>
      </c>
      <c r="DT5" s="59">
        <f ca="1">AVERAGE(OFFSET($DS$3,0,0,'Données projet'!$E$14+1,1))-AVERAGE(OFFSET($H$3,0,0,'Données projet'!$E$14+1,1))</f>
        <v>475.47920969424894</v>
      </c>
      <c r="DU5" s="59">
        <f t="shared" ref="DU5:DU68" si="44">$DU$3</f>
        <v>271.73544012419364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2.1</v>
      </c>
      <c r="EJ5" s="12">
        <f>IF('Données projet'!$A$192&gt;35,EJ4+EI5-ER4,IF(A5&lt;'Données projet'!$A$192,$EG$205^A5,IF(A5='Données projet'!$A$192,'Données projet'!$B$192,EJ4+EI5-ER4)))</f>
        <v>1.4531984602822681</v>
      </c>
      <c r="EK5" s="17">
        <f>EJ5*VLOOKUP('Données projet'!$B$15,Paramètres!$A$1:$I$89,3,0)*VLOOKUP('Données projet'!$B$15,Paramètres!$A$1:$I$89,5,0)</f>
        <v>1.3148539668633961</v>
      </c>
      <c r="EL5" s="13">
        <f t="shared" ref="EL5:EL68" si="45">EXP(-1.0587+0.8836*LN(EK5)+0.284)</f>
        <v>0.58693801963664449</v>
      </c>
      <c r="EM5" s="20">
        <f t="shared" si="19"/>
        <v>3.3122877098209038</v>
      </c>
      <c r="EN5" s="59">
        <f t="shared" si="20"/>
        <v>262.42339882093205</v>
      </c>
      <c r="EO5" s="59">
        <f ca="1">AVERAGE(OFFSET($EN$3,0,0,'Données projet'!$E$15+1,1))-AVERAGE(OFFSET($H$3,0,0,'Données projet'!$E$15+1,1))</f>
        <v>428.8489304403459</v>
      </c>
      <c r="EP5" s="59">
        <f t="shared" ref="EP5:EP68" si="46">$EP$3</f>
        <v>247.01165577562966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4.4000000000000004</v>
      </c>
      <c r="FE5" s="12">
        <f>IF('Données projet'!$A$218&gt;35,FE4+FD5-FM4,IF(A5&lt;'Données projet'!$A$218,$FB$205^A5,IF(A5='Données projet'!$A$218,'Données projet'!$B$218,FE4+FD5-FM4)))</f>
        <v>3.4432540924015451</v>
      </c>
      <c r="FF5" s="17">
        <f>FE5*VLOOKUP('Données projet'!$B$16,Paramètres!$A$1:$I$89,3,0)*VLOOKUP('Données projet'!$B$16,Paramètres!$A$1:$I$89,5,0)</f>
        <v>3.115456302804918</v>
      </c>
      <c r="FG5" s="13">
        <f t="shared" ref="FG5:FG68" si="47">EXP(-1.0587+0.8836*LN(FF5)+0.284)</f>
        <v>1.2578469684295466</v>
      </c>
      <c r="FH5" s="20">
        <f t="shared" si="22"/>
        <v>7.6168365307333579</v>
      </c>
      <c r="FI5" s="59">
        <f t="shared" si="23"/>
        <v>266.72794764184448</v>
      </c>
      <c r="FJ5" s="59">
        <f ca="1">AVERAGE(OFFSET($FI$3,0,0,'Données projet'!$E$16+1,1))-AVERAGE(OFFSET($H$3,0,0,'Données projet'!$E$16+1,1))</f>
        <v>245.25496369542458</v>
      </c>
      <c r="FK5" s="59">
        <f t="shared" ref="FK5:FK68" si="48">$FK$3</f>
        <v>342.30266518164211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</v>
      </c>
      <c r="N6" s="13">
        <f>IF('Données projet'!$A$36&gt;35,N5+M6-V5,IF(A6&lt;'Données projet'!$A$36,$K$205^A6,IF(A6='Données projet'!$A$36,'Données projet'!$B$36,N5+M6-V5)))</f>
        <v>0</v>
      </c>
      <c r="O6" s="13" t="e">
        <f>N6*VLOOKUP('Données projet'!$B$9,Paramètres!$A$1:$I$89,3,0)*VLOOKUP('Données projet'!$B$9,Paramètres!$A$1:$I$89,5,0)</f>
        <v>#N/A</v>
      </c>
      <c r="P6" s="13" t="e">
        <f t="shared" si="33"/>
        <v>#N/A</v>
      </c>
      <c r="Q6" s="20" t="e">
        <f t="shared" si="2"/>
        <v>#N/A</v>
      </c>
      <c r="R6" s="59" t="e">
        <f t="shared" si="0"/>
        <v>#N/A</v>
      </c>
      <c r="S6" s="59" t="e">
        <f ca="1">AVERAGE(OFFSET($R$3,0,0,'Données projet'!$E$9+1,1))-AVERAGE(OFFSET($H$3,0,0,'Données projet'!$E$9+1,1))</f>
        <v>#N/A</v>
      </c>
      <c r="T6" s="59" t="e">
        <f t="shared" si="34"/>
        <v>#N/A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 t="e">
        <f>EXP(-LN(2)/35)*Z5+(1-EXP(-LN(2)/35))/(LN(2)/35)*V6*W6*VLOOKUP('Données projet'!$B$9,Paramètres!$A$1:$I$89,3,0)*0.475*44/12</f>
        <v>#N/A</v>
      </c>
      <c r="AA6" s="21" t="e">
        <f>EXP(-LN(2)/25)*AA5+(1-EXP(-LN(2)/25))/(LN(2)/25)*Calculateur!V6*Calculateur!X6*VLOOKUP('Données projet'!$B$9,Paramètres!$A$1:$I$89,3,0)*0.475*44/12</f>
        <v>#N/A</v>
      </c>
      <c r="AB6" s="21" t="e">
        <f>EXP(-LN(2)/2)*AB5+(1-EXP(-LN(2)/2))/(LN(2)/2)*V6*Y6*VLOOKUP('Données projet'!$B$9,Paramètres!$A$1:$I$89,3,0)*0.475*44/12</f>
        <v>#N/A</v>
      </c>
      <c r="AC6" s="22" t="e">
        <f t="shared" si="3"/>
        <v>#N/A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2.4666666666666668</v>
      </c>
      <c r="AI6" s="13">
        <f>IF('Données projet'!$A$62&gt;35,AI5+AH6-AQ5,IF(A6&lt;'Données projet'!$A$62,$AF$205^A6,IF(A6='Données projet'!$A$62,'Données projet'!$B$62,AI5+AH6-AQ5)))</f>
        <v>2.0589241364785171</v>
      </c>
      <c r="AJ6" s="13">
        <f>AI6*VLOOKUP('Données projet'!$B$10,Paramètres!$A$1:$I$89,3,0)*VLOOKUP('Données projet'!$B$10,Paramètres!$A$1:$I$89,5,0)</f>
        <v>1.7986761256276329</v>
      </c>
      <c r="AK6" s="13">
        <f t="shared" si="35"/>
        <v>0.77415604497611523</v>
      </c>
      <c r="AL6" s="20">
        <f t="shared" si="4"/>
        <v>4.4810160304681945</v>
      </c>
      <c r="AM6" s="59">
        <f t="shared" si="5"/>
        <v>264.81434936380151</v>
      </c>
      <c r="AN6" s="59">
        <f ca="1">AVERAGE(OFFSET($AM$3,0,0,'Données projet'!$E$10+1,1))-AVERAGE(OFFSET($H$3,0,0,'Données projet'!$E$10+1,1))</f>
        <v>338.55719679154777</v>
      </c>
      <c r="AO6" s="59">
        <f t="shared" si="36"/>
        <v>371.26234252426531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2.2649572649572649</v>
      </c>
      <c r="BD6" s="12">
        <f>IF('Données projet'!$A$88&gt;35,BD5+BC6-BL5,IF(A6&lt;'Données projet'!$A$88,$BA$205^A6,IF(A6='Données projet'!$A$88,'Données projet'!$B$88,BD5+BC6-BL5)))</f>
        <v>2.024092027366712</v>
      </c>
      <c r="BE6" s="13">
        <f>BD6*VLOOKUP('Données projet'!$B$11,Paramètres!$A$1:$I$89,3,0)*VLOOKUP('Données projet'!$B$11,Paramètres!$A$1:$I$89,5,0)</f>
        <v>1.9261259732421634</v>
      </c>
      <c r="BF6" s="13">
        <f t="shared" si="37"/>
        <v>0.8224309677441014</v>
      </c>
      <c r="BG6" s="20">
        <f t="shared" si="7"/>
        <v>4.7870700055510769</v>
      </c>
      <c r="BH6" s="59">
        <f t="shared" si="8"/>
        <v>265.12040333888439</v>
      </c>
      <c r="BI6" s="59">
        <f ca="1">AVERAGE(OFFSET($BH$3,0,0,'Données projet'!$E$11+1,1))-AVERAGE(OFFSET($H$3,0,0,'Données projet'!$E$11+1,1))</f>
        <v>351.6178679548006</v>
      </c>
      <c r="BJ6" s="59">
        <f t="shared" si="38"/>
        <v>244.7141066773861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3.4358974358974361</v>
      </c>
      <c r="BY6" s="12">
        <f>IF('Données projet'!$A$114&gt;35,BY5+BX6-CG5,IF(A6&lt;'Données projet'!$A$114,$BV$205^A6,IF(A6='Données projet'!$A$114,'Données projet'!$B$114,BY5+BX6-CG5)))</f>
        <v>1.5897035519718676</v>
      </c>
      <c r="BZ6" s="13">
        <f>BY6*VLOOKUP('Données projet'!$B$12,Paramètres!$A$1:$I$89,3,0)*VLOOKUP('Données projet'!$B$12,Paramètres!$A$1:$I$89,5,0)</f>
        <v>0.74398126232283412</v>
      </c>
      <c r="CA6" s="13">
        <f t="shared" si="39"/>
        <v>0.35486588134445163</v>
      </c>
      <c r="CB6" s="20">
        <f t="shared" si="10"/>
        <v>1.9138254418871894</v>
      </c>
      <c r="CC6" s="59">
        <f t="shared" si="11"/>
        <v>262.2471587752205</v>
      </c>
      <c r="CD6" s="59">
        <f ca="1">AVERAGE(OFFSET($CC$3,0,0,'Données projet'!$E$12+1,1))-AVERAGE(OFFSET($H$3,0,0,'Données projet'!$E$12+1,1))</f>
        <v>246.66630850723385</v>
      </c>
      <c r="CE6" s="59">
        <f t="shared" si="40"/>
        <v>145.34368562171613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2.6666666666666665</v>
      </c>
      <c r="CT6" s="12">
        <f>IF('Données projet'!$A$140&gt;35,CT5+CS6-DB5,IF(A6&lt;'Données projet'!$A$140,$CQ$205^A6,IF(A6='Données projet'!$A$140,'Données projet'!$B$140,CT5+CS6-DB5)))</f>
        <v>2.0912791051825459</v>
      </c>
      <c r="CU6" s="17">
        <f>CT6*VLOOKUP('Données projet'!$B$13,Paramètres!$A$1:$I$89,3,0)*VLOOKUP('Données projet'!$B$13,Paramètres!$A$1:$I$89,5,0)</f>
        <v>1.6311977020423858</v>
      </c>
      <c r="CV6" s="13">
        <f t="shared" si="41"/>
        <v>0.71010553443370616</v>
      </c>
      <c r="CW6" s="20">
        <f t="shared" si="13"/>
        <v>4.0777698035291934</v>
      </c>
      <c r="CX6" s="59">
        <f t="shared" si="14"/>
        <v>264.41110313686249</v>
      </c>
      <c r="CY6" s="59">
        <f ca="1">AVERAGE(OFFSET($CX$3,0,0,'Données projet'!$E$13+1,1))-AVERAGE(OFFSET($H$3,0,0,'Données projet'!$E$13+1,1))</f>
        <v>292.57482726862594</v>
      </c>
      <c r="CZ6" s="59">
        <f t="shared" si="42"/>
        <v>283.48738729114024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2.1</v>
      </c>
      <c r="DO6" s="12">
        <f>IF('Données projet'!$A$166&gt;35,DO5+DN6-DW5,IF(A6&lt;'Données projet'!$A$166,$DL$205^A6,IF(A6='Données projet'!$A$166,'Données projet'!$B$166,DO5+DN6-DW5)))</f>
        <v>1.7518115829322798</v>
      </c>
      <c r="DP6" s="17">
        <f>DO6*VLOOKUP('Données projet'!$B$14,Paramètres!$A$1:$I$89,3,0)*VLOOKUP('Données projet'!$B$14,Paramètres!$A$1:$I$89,5,0)</f>
        <v>1.7763369450933317</v>
      </c>
      <c r="DQ6" s="13">
        <f t="shared" si="43"/>
        <v>0.76565418883323866</v>
      </c>
      <c r="DR6" s="20">
        <f t="shared" si="16"/>
        <v>4.4273012249221102</v>
      </c>
      <c r="DS6" s="59">
        <f t="shared" si="17"/>
        <v>264.76063455825545</v>
      </c>
      <c r="DT6" s="59">
        <f ca="1">AVERAGE(OFFSET($DS$3,0,0,'Données projet'!$E$14+1,1))-AVERAGE(OFFSET($H$3,0,0,'Données projet'!$E$14+1,1))</f>
        <v>475.47920969424894</v>
      </c>
      <c r="DU6" s="59">
        <f t="shared" si="44"/>
        <v>271.73544012419364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2.1</v>
      </c>
      <c r="EJ6" s="12">
        <f>IF('Données projet'!$A$192&gt;35,EJ5+EI6-ER5,IF(A6&lt;'Données projet'!$A$192,$EG$205^A6,IF(A6='Données projet'!$A$192,'Données projet'!$B$192,EJ5+EI6-ER5)))</f>
        <v>1.7518115829322798</v>
      </c>
      <c r="EK6" s="17">
        <f>EJ6*VLOOKUP('Données projet'!$B$15,Paramètres!$A$1:$I$89,3,0)*VLOOKUP('Données projet'!$B$15,Paramètres!$A$1:$I$89,5,0)</f>
        <v>1.5850391202371266</v>
      </c>
      <c r="EL6" s="13">
        <f t="shared" si="45"/>
        <v>0.69232082604846479</v>
      </c>
      <c r="EM6" s="20">
        <f t="shared" si="19"/>
        <v>3.966401906447405</v>
      </c>
      <c r="EN6" s="59">
        <f t="shared" si="20"/>
        <v>264.29973523978072</v>
      </c>
      <c r="EO6" s="59">
        <f ca="1">AVERAGE(OFFSET($EN$3,0,0,'Données projet'!$E$15+1,1))-AVERAGE(OFFSET($H$3,0,0,'Données projet'!$E$15+1,1))</f>
        <v>428.8489304403459</v>
      </c>
      <c r="EP6" s="59">
        <f t="shared" si="46"/>
        <v>247.01165577562966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4.4000000000000004</v>
      </c>
      <c r="FE6" s="12">
        <f>IF('Données projet'!$A$218&gt;35,FE5+FD6-FM5,IF(A6&lt;'Données projet'!$A$218,$FB$205^A6,IF(A6='Données projet'!$A$218,'Données projet'!$B$218,FE5+FD6-FM5)))</f>
        <v>6.3893048289839696</v>
      </c>
      <c r="FF6" s="17">
        <f>FE6*VLOOKUP('Données projet'!$B$16,Paramètres!$A$1:$I$89,3,0)*VLOOKUP('Données projet'!$B$16,Paramètres!$A$1:$I$89,5,0)</f>
        <v>5.7810430092646952</v>
      </c>
      <c r="FG6" s="13">
        <f t="shared" si="47"/>
        <v>2.1720046143040199</v>
      </c>
      <c r="FH6" s="20">
        <f t="shared" si="22"/>
        <v>13.851557944382177</v>
      </c>
      <c r="FI6" s="59">
        <f t="shared" si="23"/>
        <v>274.18489127771551</v>
      </c>
      <c r="FJ6" s="59">
        <f ca="1">AVERAGE(OFFSET($FI$3,0,0,'Données projet'!$E$16+1,1))-AVERAGE(OFFSET($H$3,0,0,'Données projet'!$E$16+1,1))</f>
        <v>245.25496369542458</v>
      </c>
      <c r="FK6" s="59">
        <f t="shared" si="48"/>
        <v>342.30266518164211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0</v>
      </c>
      <c r="N7" s="13">
        <f>IF('Données projet'!$A$36&gt;35,N6+M7-V6,IF(A7&lt;'Données projet'!$A$36,$K$205^A7,IF(A7='Données projet'!$A$36,'Données projet'!$B$36,N6+M7-V6)))</f>
        <v>0</v>
      </c>
      <c r="O7" s="13" t="e">
        <f>N7*VLOOKUP('Données projet'!$B$9,Paramètres!$A$1:$I$89,3,0)*VLOOKUP('Données projet'!$B$9,Paramètres!$A$1:$I$89,5,0)</f>
        <v>#N/A</v>
      </c>
      <c r="P7" s="13" t="e">
        <f t="shared" si="33"/>
        <v>#N/A</v>
      </c>
      <c r="Q7" s="20" t="e">
        <f t="shared" si="2"/>
        <v>#N/A</v>
      </c>
      <c r="R7" s="59" t="e">
        <f t="shared" si="0"/>
        <v>#N/A</v>
      </c>
      <c r="S7" s="59" t="e">
        <f ca="1">AVERAGE(OFFSET($R$3,0,0,'Données projet'!$E$9+1,1))-AVERAGE(OFFSET($H$3,0,0,'Données projet'!$E$9+1,1))</f>
        <v>#N/A</v>
      </c>
      <c r="T7" s="59" t="e">
        <f t="shared" si="34"/>
        <v>#N/A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 t="e">
        <f>EXP(-LN(2)/35)*Z6+(1-EXP(-LN(2)/35))/(LN(2)/35)*V7*W7*VLOOKUP('Données projet'!$B$9,Paramètres!$A$1:$I$89,3,0)*0.475*44/12</f>
        <v>#N/A</v>
      </c>
      <c r="AA7" s="21" t="e">
        <f>EXP(-LN(2)/25)*AA6+(1-EXP(-LN(2)/25))/(LN(2)/25)*Calculateur!V7*Calculateur!X7*VLOOKUP('Données projet'!$B$9,Paramètres!$A$1:$I$89,3,0)*0.475*44/12</f>
        <v>#N/A</v>
      </c>
      <c r="AB7" s="21" t="e">
        <f>EXP(-LN(2)/2)*AB6+(1-EXP(-LN(2)/2))/(LN(2)/2)*V7*Y7*VLOOKUP('Données projet'!$B$9,Paramètres!$A$1:$I$89,3,0)*0.475*44/12</f>
        <v>#N/A</v>
      </c>
      <c r="AC7" s="22" t="e">
        <f t="shared" si="3"/>
        <v>#N/A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2.4666666666666668</v>
      </c>
      <c r="AI7" s="13">
        <f>IF('Données projet'!$A$62&gt;35,AI6+AH7-AQ6,IF(A7&lt;'Données projet'!$A$62,$AF$205^A7,IF(A7='Données projet'!$A$62,'Données projet'!$B$62,AI6+AH7-AQ6)))</f>
        <v>2.6193113595857573</v>
      </c>
      <c r="AJ7" s="13">
        <f>AI7*VLOOKUP('Données projet'!$B$10,Paramètres!$A$1:$I$89,3,0)*VLOOKUP('Données projet'!$B$10,Paramètres!$A$1:$I$89,5,0)</f>
        <v>2.2882304037341177</v>
      </c>
      <c r="AK7" s="13">
        <f t="shared" si="35"/>
        <v>0.95764830769786036</v>
      </c>
      <c r="AL7" s="20">
        <f t="shared" si="4"/>
        <v>5.6532387557440282</v>
      </c>
      <c r="AM7" s="59">
        <f t="shared" si="5"/>
        <v>267.20879431129958</v>
      </c>
      <c r="AN7" s="59">
        <f ca="1">AVERAGE(OFFSET($AM$3,0,0,'Données projet'!$E$10+1,1))-AVERAGE(OFFSET($H$3,0,0,'Données projet'!$E$10+1,1))</f>
        <v>338.55719679154777</v>
      </c>
      <c r="AO7" s="59">
        <f t="shared" si="36"/>
        <v>371.26234252426531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2.2649572649572649</v>
      </c>
      <c r="BD7" s="12">
        <f>IF('Données projet'!$A$88&gt;35,BD6+BC7-BL6,IF(A7&lt;'Données projet'!$A$88,$BA$205^A7,IF(A7='Données projet'!$A$88,'Données projet'!$B$88,BD6+BC7-BL6)))</f>
        <v>2.5603952077681624</v>
      </c>
      <c r="BE7" s="13">
        <f>BD7*VLOOKUP('Données projet'!$B$11,Paramètres!$A$1:$I$89,3,0)*VLOOKUP('Données projet'!$B$11,Paramètres!$A$1:$I$89,5,0)</f>
        <v>2.4364720797121833</v>
      </c>
      <c r="BF7" s="13">
        <f t="shared" si="37"/>
        <v>1.0122655860238423</v>
      </c>
      <c r="BG7" s="20">
        <f t="shared" si="7"/>
        <v>6.0065514344902446</v>
      </c>
      <c r="BH7" s="59">
        <f t="shared" si="8"/>
        <v>267.56210699004578</v>
      </c>
      <c r="BI7" s="59">
        <f ca="1">AVERAGE(OFFSET($BH$3,0,0,'Données projet'!$E$11+1,1))-AVERAGE(OFFSET($H$3,0,0,'Données projet'!$E$11+1,1))</f>
        <v>351.6178679548006</v>
      </c>
      <c r="BJ7" s="59">
        <f t="shared" si="38"/>
        <v>244.7141066773861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3.4358974358974361</v>
      </c>
      <c r="BY7" s="12">
        <f>IF('Données projet'!$A$114&gt;35,BY6+BX7-CG6,IF(A7&lt;'Données projet'!$A$114,$BV$205^A7,IF(A7='Données projet'!$A$114,'Données projet'!$B$114,BY6+BX7-CG6)))</f>
        <v>1.8553315342091854</v>
      </c>
      <c r="BZ7" s="13">
        <f>BY7*VLOOKUP('Données projet'!$B$12,Paramètres!$A$1:$I$89,3,0)*VLOOKUP('Données projet'!$B$12,Paramètres!$A$1:$I$89,5,0)</f>
        <v>0.86829515800989876</v>
      </c>
      <c r="CA7" s="13">
        <f t="shared" si="39"/>
        <v>0.4067790344719715</v>
      </c>
      <c r="CB7" s="20">
        <f t="shared" si="10"/>
        <v>2.2207542185725906</v>
      </c>
      <c r="CC7" s="59">
        <f t="shared" si="11"/>
        <v>263.77630977412815</v>
      </c>
      <c r="CD7" s="59">
        <f ca="1">AVERAGE(OFFSET($CC$3,0,0,'Données projet'!$E$12+1,1))-AVERAGE(OFFSET($H$3,0,0,'Données projet'!$E$12+1,1))</f>
        <v>246.66630850723385</v>
      </c>
      <c r="CE7" s="59">
        <f t="shared" si="40"/>
        <v>145.34368562171613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2.6666666666666665</v>
      </c>
      <c r="CT7" s="12">
        <f>IF('Données projet'!$A$140&gt;35,CT6+CS7-DB6,IF(A7&lt;'Données projet'!$A$140,$CQ$205^A7,IF(A7='Données projet'!$A$140,'Données projet'!$B$140,CT6+CS7-DB6)))</f>
        <v>2.6743361672197152</v>
      </c>
      <c r="CU7" s="17">
        <f>CT7*VLOOKUP('Données projet'!$B$13,Paramètres!$A$1:$I$89,3,0)*VLOOKUP('Données projet'!$B$13,Paramètres!$A$1:$I$89,5,0)</f>
        <v>2.0859822104313781</v>
      </c>
      <c r="CV7" s="13">
        <f t="shared" si="41"/>
        <v>0.88245976121767966</v>
      </c>
      <c r="CW7" s="20">
        <f t="shared" si="13"/>
        <v>5.1700364339554419</v>
      </c>
      <c r="CX7" s="59">
        <f t="shared" si="14"/>
        <v>266.72559198951097</v>
      </c>
      <c r="CY7" s="59">
        <f ca="1">AVERAGE(OFFSET($CX$3,0,0,'Données projet'!$E$13+1,1))-AVERAGE(OFFSET($H$3,0,0,'Données projet'!$E$13+1,1))</f>
        <v>292.57482726862594</v>
      </c>
      <c r="CZ7" s="59">
        <f t="shared" si="42"/>
        <v>283.48738729114024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2.1</v>
      </c>
      <c r="DO7" s="12">
        <f>IF('Données projet'!$A$166&gt;35,DO6+DN7-DW6,IF(A7&lt;'Données projet'!$A$166,$DL$205^A7,IF(A7='Données projet'!$A$166,'Données projet'!$B$166,DO6+DN7-DW6)))</f>
        <v>2.1117857649667546</v>
      </c>
      <c r="DP7" s="17">
        <f>DO7*VLOOKUP('Données projet'!$B$14,Paramètres!$A$1:$I$89,3,0)*VLOOKUP('Données projet'!$B$14,Paramètres!$A$1:$I$89,5,0)</f>
        <v>2.1413507656762891</v>
      </c>
      <c r="DQ7" s="13">
        <f t="shared" si="43"/>
        <v>0.9031249003236328</v>
      </c>
      <c r="DR7" s="20">
        <f t="shared" si="16"/>
        <v>5.3024617849498643</v>
      </c>
      <c r="DS7" s="59">
        <f t="shared" si="17"/>
        <v>266.8580173405054</v>
      </c>
      <c r="DT7" s="59">
        <f ca="1">AVERAGE(OFFSET($DS$3,0,0,'Données projet'!$E$14+1,1))-AVERAGE(OFFSET($H$3,0,0,'Données projet'!$E$14+1,1))</f>
        <v>475.47920969424894</v>
      </c>
      <c r="DU7" s="59">
        <f t="shared" si="44"/>
        <v>271.73544012419364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2.1</v>
      </c>
      <c r="EJ7" s="12">
        <f>IF('Données projet'!$A$192&gt;35,EJ6+EI7-ER6,IF(A7&lt;'Données projet'!$A$192,$EG$205^A7,IF(A7='Données projet'!$A$192,'Données projet'!$B$192,EJ6+EI7-ER6)))</f>
        <v>2.1117857649667546</v>
      </c>
      <c r="EK7" s="17">
        <f>EJ7*VLOOKUP('Données projet'!$B$15,Paramètres!$A$1:$I$89,3,0)*VLOOKUP('Données projet'!$B$15,Paramètres!$A$1:$I$89,5,0)</f>
        <v>1.9107437601419195</v>
      </c>
      <c r="EL7" s="13">
        <f t="shared" si="45"/>
        <v>0.81662477151702284</v>
      </c>
      <c r="EM7" s="20">
        <f t="shared" si="19"/>
        <v>4.7501668593059909</v>
      </c>
      <c r="EN7" s="59">
        <f t="shared" si="20"/>
        <v>266.30572241486152</v>
      </c>
      <c r="EO7" s="59">
        <f ca="1">AVERAGE(OFFSET($EN$3,0,0,'Données projet'!$E$15+1,1))-AVERAGE(OFFSET($H$3,0,0,'Données projet'!$E$15+1,1))</f>
        <v>428.8489304403459</v>
      </c>
      <c r="EP7" s="59">
        <f t="shared" si="46"/>
        <v>247.01165577562966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4.4000000000000004</v>
      </c>
      <c r="FE7" s="12">
        <f>IF('Données projet'!$A$218&gt;35,FE6+FD7-FM6,IF(A7&lt;'Données projet'!$A$218,$FB$205^A7,IF(A7='Données projet'!$A$218,'Données projet'!$B$218,FE6+FD7-FM6)))</f>
        <v>11.855998744839988</v>
      </c>
      <c r="FF7" s="17">
        <f>FE7*VLOOKUP('Données projet'!$B$16,Paramètres!$A$1:$I$89,3,0)*VLOOKUP('Données projet'!$B$16,Paramètres!$A$1:$I$89,5,0)</f>
        <v>10.727307664331221</v>
      </c>
      <c r="FG7" s="13">
        <f t="shared" si="47"/>
        <v>3.7505389470771635</v>
      </c>
      <c r="FH7" s="20">
        <f t="shared" si="22"/>
        <v>25.215582848202938</v>
      </c>
      <c r="FI7" s="59">
        <f t="shared" si="23"/>
        <v>286.77113840375847</v>
      </c>
      <c r="FJ7" s="59">
        <f ca="1">AVERAGE(OFFSET($FI$3,0,0,'Données projet'!$E$16+1,1))-AVERAGE(OFFSET($H$3,0,0,'Données projet'!$E$16+1,1))</f>
        <v>245.25496369542458</v>
      </c>
      <c r="FK7" s="59">
        <f t="shared" si="48"/>
        <v>342.30266518164211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0</v>
      </c>
      <c r="N8" s="13">
        <f>IF('Données projet'!$A$36&gt;35,N7+M8-V7,IF(A8&lt;'Données projet'!$A$36,$K$205^A8,IF(A8='Données projet'!$A$36,'Données projet'!$B$36,N7+M8-V7)))</f>
        <v>0</v>
      </c>
      <c r="O8" s="13" t="e">
        <f>N8*VLOOKUP('Données projet'!$B$9,Paramètres!$A$1:$I$89,3,0)*VLOOKUP('Données projet'!$B$9,Paramètres!$A$1:$I$89,5,0)</f>
        <v>#N/A</v>
      </c>
      <c r="P8" s="13" t="e">
        <f t="shared" si="33"/>
        <v>#N/A</v>
      </c>
      <c r="Q8" s="20" t="e">
        <f t="shared" si="2"/>
        <v>#N/A</v>
      </c>
      <c r="R8" s="59" t="e">
        <f t="shared" si="0"/>
        <v>#N/A</v>
      </c>
      <c r="S8" s="59" t="e">
        <f ca="1">AVERAGE(OFFSET($R$3,0,0,'Données projet'!$E$9+1,1))-AVERAGE(OFFSET($H$3,0,0,'Données projet'!$E$9+1,1))</f>
        <v>#N/A</v>
      </c>
      <c r="T8" s="59" t="e">
        <f t="shared" si="34"/>
        <v>#N/A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 t="e">
        <f>EXP(-LN(2)/35)*Z7+(1-EXP(-LN(2)/35))/(LN(2)/35)*V8*W8*VLOOKUP('Données projet'!$B$9,Paramètres!$A$1:$I$89,3,0)*0.475*44/12</f>
        <v>#N/A</v>
      </c>
      <c r="AA8" s="21" t="e">
        <f>EXP(-LN(2)/25)*AA7+(1-EXP(-LN(2)/25))/(LN(2)/25)*Calculateur!V8*Calculateur!X8*VLOOKUP('Données projet'!$B$9,Paramètres!$A$1:$I$89,3,0)*0.475*44/12</f>
        <v>#N/A</v>
      </c>
      <c r="AB8" s="21" t="e">
        <f>EXP(-LN(2)/2)*AB7+(1-EXP(-LN(2)/2))/(LN(2)/2)*V8*Y8*VLOOKUP('Données projet'!$B$9,Paramètres!$A$1:$I$89,3,0)*0.475*44/12</f>
        <v>#N/A</v>
      </c>
      <c r="AC8" s="22" t="e">
        <f t="shared" si="3"/>
        <v>#N/A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2.4666666666666668</v>
      </c>
      <c r="AI8" s="13">
        <f>IF('Données projet'!$A$62&gt;35,AI7+AH8-AQ7,IF(A8&lt;'Données projet'!$A$62,$AF$205^A8,IF(A8='Données projet'!$A$62,'Données projet'!$B$62,AI7+AH8-AQ7)))</f>
        <v>3.332221851645953</v>
      </c>
      <c r="AJ8" s="13">
        <f>AI8*VLOOKUP('Données projet'!$B$10,Paramètres!$A$1:$I$89,3,0)*VLOOKUP('Données projet'!$B$10,Paramètres!$A$1:$I$89,5,0)</f>
        <v>2.9110290095979048</v>
      </c>
      <c r="AK8" s="13">
        <f t="shared" si="35"/>
        <v>1.1846323324451606</v>
      </c>
      <c r="AL8" s="20">
        <f t="shared" si="4"/>
        <v>7.133276837391672</v>
      </c>
      <c r="AM8" s="59">
        <f t="shared" si="5"/>
        <v>269.91105461516946</v>
      </c>
      <c r="AN8" s="59">
        <f ca="1">AVERAGE(OFFSET($AM$3,0,0,'Données projet'!$E$10+1,1))-AVERAGE(OFFSET($H$3,0,0,'Données projet'!$E$10+1,1))</f>
        <v>338.55719679154777</v>
      </c>
      <c r="AO8" s="59">
        <f t="shared" si="36"/>
        <v>371.26234252426531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2.2649572649572649</v>
      </c>
      <c r="BD8" s="12">
        <f>IF('Données projet'!$A$88&gt;35,BD7+BC8-BL7,IF(A8&lt;'Données projet'!$A$88,$BA$205^A8,IF(A8='Données projet'!$A$88,'Données projet'!$B$88,BD7+BC8-BL7)))</f>
        <v>3.2387972144185837</v>
      </c>
      <c r="BE8" s="13">
        <f>BD8*VLOOKUP('Données projet'!$B$11,Paramètres!$A$1:$I$89,3,0)*VLOOKUP('Données projet'!$B$11,Paramètres!$A$1:$I$89,5,0)</f>
        <v>3.0820394292407243</v>
      </c>
      <c r="BF8" s="13">
        <f t="shared" si="37"/>
        <v>1.2459180853304419</v>
      </c>
      <c r="BG8" s="20">
        <f t="shared" si="7"/>
        <v>7.5378593378781131</v>
      </c>
      <c r="BH8" s="59">
        <f t="shared" si="8"/>
        <v>270.31563711565587</v>
      </c>
      <c r="BI8" s="59">
        <f ca="1">AVERAGE(OFFSET($BH$3,0,0,'Données projet'!$E$11+1,1))-AVERAGE(OFFSET($H$3,0,0,'Données projet'!$E$11+1,1))</f>
        <v>351.6178679548006</v>
      </c>
      <c r="BJ8" s="59">
        <f t="shared" si="38"/>
        <v>244.7141066773861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3.4358974358974361</v>
      </c>
      <c r="BY8" s="12">
        <f>IF('Données projet'!$A$114&gt;35,BY7+BX8-CG7,IF(A8&lt;'Données projet'!$A$114,$BV$205^A8,IF(A8='Données projet'!$A$114,'Données projet'!$B$114,BY7+BX8-CG7)))</f>
        <v>2.1653440338365213</v>
      </c>
      <c r="BZ8" s="13">
        <f>BY8*VLOOKUP('Données projet'!$B$12,Paramètres!$A$1:$I$89,3,0)*VLOOKUP('Données projet'!$B$12,Paramètres!$A$1:$I$89,5,0)</f>
        <v>1.0133810078354919</v>
      </c>
      <c r="CA8" s="13">
        <f t="shared" si="39"/>
        <v>0.46628653692783789</v>
      </c>
      <c r="CB8" s="20">
        <f t="shared" si="10"/>
        <v>2.5770876404627994</v>
      </c>
      <c r="CC8" s="59">
        <f t="shared" si="11"/>
        <v>265.35486541824059</v>
      </c>
      <c r="CD8" s="59">
        <f ca="1">AVERAGE(OFFSET($CC$3,0,0,'Données projet'!$E$12+1,1))-AVERAGE(OFFSET($H$3,0,0,'Données projet'!$E$12+1,1))</f>
        <v>246.66630850723385</v>
      </c>
      <c r="CE8" s="59">
        <f t="shared" si="40"/>
        <v>145.34368562171613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2.6666666666666665</v>
      </c>
      <c r="CT8" s="12">
        <f>IF('Données projet'!$A$140&gt;35,CT7+CS8-DB7,IF(A8&lt;'Données projet'!$A$140,$CQ$205^A8,IF(A8='Données projet'!$A$140,'Données projet'!$B$140,CT7+CS8-DB7)))</f>
        <v>3.4199518933533928</v>
      </c>
      <c r="CU8" s="17">
        <f>CT8*VLOOKUP('Données projet'!$B$13,Paramètres!$A$1:$I$89,3,0)*VLOOKUP('Données projet'!$B$13,Paramètres!$A$1:$I$89,5,0)</f>
        <v>2.6675624768156463</v>
      </c>
      <c r="CV8" s="13">
        <f t="shared" si="41"/>
        <v>1.0966471776471767</v>
      </c>
      <c r="CW8" s="20">
        <f t="shared" si="13"/>
        <v>6.5559984815227494</v>
      </c>
      <c r="CX8" s="59">
        <f t="shared" si="14"/>
        <v>269.33377625930052</v>
      </c>
      <c r="CY8" s="59">
        <f ca="1">AVERAGE(OFFSET($CX$3,0,0,'Données projet'!$E$13+1,1))-AVERAGE(OFFSET($H$3,0,0,'Données projet'!$E$13+1,1))</f>
        <v>292.57482726862594</v>
      </c>
      <c r="CZ8" s="59">
        <f t="shared" si="42"/>
        <v>283.48738729114024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2.1</v>
      </c>
      <c r="DO8" s="12">
        <f>IF('Données projet'!$A$166&gt;35,DO7+DN8-DW7,IF(A8&lt;'Données projet'!$A$166,$DL$205^A8,IF(A8='Données projet'!$A$166,'Données projet'!$B$166,DO7+DN8-DW7)))</f>
        <v>2.5457298950218314</v>
      </c>
      <c r="DP8" s="17">
        <f>DO8*VLOOKUP('Données projet'!$B$14,Paramètres!$A$1:$I$89,3,0)*VLOOKUP('Données projet'!$B$14,Paramètres!$A$1:$I$89,5,0)</f>
        <v>2.5813701135521372</v>
      </c>
      <c r="DQ8" s="13">
        <f t="shared" si="43"/>
        <v>1.0652780295337991</v>
      </c>
      <c r="DR8" s="20">
        <f t="shared" si="16"/>
        <v>6.3512455158746723</v>
      </c>
      <c r="DS8" s="59">
        <f t="shared" si="17"/>
        <v>269.12902329365244</v>
      </c>
      <c r="DT8" s="59">
        <f ca="1">AVERAGE(OFFSET($DS$3,0,0,'Données projet'!$E$14+1,1))-AVERAGE(OFFSET($H$3,0,0,'Données projet'!$E$14+1,1))</f>
        <v>475.47920969424894</v>
      </c>
      <c r="DU8" s="59">
        <f t="shared" si="44"/>
        <v>271.73544012419364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2.1</v>
      </c>
      <c r="EJ8" s="12">
        <f>IF('Données projet'!$A$192&gt;35,EJ7+EI8-ER7,IF(A8&lt;'Données projet'!$A$192,$EG$205^A8,IF(A8='Données projet'!$A$192,'Données projet'!$B$192,EJ7+EI8-ER7)))</f>
        <v>2.5457298950218314</v>
      </c>
      <c r="EK8" s="17">
        <f>EJ8*VLOOKUP('Données projet'!$B$15,Paramètres!$A$1:$I$89,3,0)*VLOOKUP('Données projet'!$B$15,Paramètres!$A$1:$I$89,5,0)</f>
        <v>2.3033764090157529</v>
      </c>
      <c r="EL8" s="13">
        <f t="shared" si="45"/>
        <v>0.96324708482559218</v>
      </c>
      <c r="EM8" s="20">
        <f t="shared" si="19"/>
        <v>5.6893692517736758</v>
      </c>
      <c r="EN8" s="59">
        <f t="shared" si="20"/>
        <v>268.46714702955143</v>
      </c>
      <c r="EO8" s="59">
        <f ca="1">AVERAGE(OFFSET($EN$3,0,0,'Données projet'!$E$15+1,1))-AVERAGE(OFFSET($H$3,0,0,'Données projet'!$E$15+1,1))</f>
        <v>428.8489304403459</v>
      </c>
      <c r="EP8" s="59">
        <f t="shared" si="46"/>
        <v>247.01165577562966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>
        <f>VLOOKUP(A8,'Données projet'!$A$217:$I$237,2,0)</f>
        <v>22</v>
      </c>
      <c r="FC8" s="12">
        <f>VLOOKUP(A8,'Données projet'!$A$217:$I$237,9,0)</f>
        <v>4.4000000000000004</v>
      </c>
      <c r="FD8" s="12">
        <f t="array" ref="FD8">INDEX(FC:FC,MIN(IF(ISNUMBER(FC8:FC204),ROW(FC8:FC204),"")))</f>
        <v>4.4000000000000004</v>
      </c>
      <c r="FE8" s="12">
        <f>IF('Données projet'!$A$218&gt;35,FE7+FD8-FM7,IF(A8&lt;'Données projet'!$A$218,$FB$205^A8,IF(A8='Données projet'!$A$218,'Données projet'!$B$218,FE7+FD8-FM7)))</f>
        <v>22</v>
      </c>
      <c r="FF8" s="17">
        <f>FE8*VLOOKUP('Données projet'!$B$16,Paramètres!$A$1:$I$89,3,0)*VLOOKUP('Données projet'!$B$16,Paramètres!$A$1:$I$89,5,0)</f>
        <v>19.9056</v>
      </c>
      <c r="FG8" s="13">
        <f t="shared" si="47"/>
        <v>6.4762948940833853</v>
      </c>
      <c r="FH8" s="20">
        <f t="shared" si="22"/>
        <v>45.948466940528562</v>
      </c>
      <c r="FI8" s="59">
        <f t="shared" si="23"/>
        <v>308.72624471830636</v>
      </c>
      <c r="FJ8" s="59">
        <f ca="1">AVERAGE(OFFSET($FI$3,0,0,'Données projet'!$E$16+1,1))-AVERAGE(OFFSET($H$3,0,0,'Données projet'!$E$16+1,1))</f>
        <v>245.25496369542458</v>
      </c>
      <c r="FK8" s="59">
        <f t="shared" si="48"/>
        <v>342.30266518164211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0</v>
      </c>
      <c r="N9" s="13">
        <f>IF('Données projet'!$A$36&gt;35,N8+M9-V8,IF(A9&lt;'Données projet'!$A$36,$K$205^A9,IF(A9='Données projet'!$A$36,'Données projet'!$B$36,N8+M9-V8)))</f>
        <v>0</v>
      </c>
      <c r="O9" s="13" t="e">
        <f>N9*VLOOKUP('Données projet'!$B$9,Paramètres!$A$1:$I$89,3,0)*VLOOKUP('Données projet'!$B$9,Paramètres!$A$1:$I$89,5,0)</f>
        <v>#N/A</v>
      </c>
      <c r="P9" s="13" t="e">
        <f t="shared" si="33"/>
        <v>#N/A</v>
      </c>
      <c r="Q9" s="20" t="e">
        <f t="shared" si="2"/>
        <v>#N/A</v>
      </c>
      <c r="R9" s="59" t="e">
        <f t="shared" si="0"/>
        <v>#N/A</v>
      </c>
      <c r="S9" s="59" t="e">
        <f ca="1">AVERAGE(OFFSET($R$3,0,0,'Données projet'!$E$9+1,1))-AVERAGE(OFFSET($H$3,0,0,'Données projet'!$E$9+1,1))</f>
        <v>#N/A</v>
      </c>
      <c r="T9" s="59" t="e">
        <f t="shared" si="34"/>
        <v>#N/A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 t="e">
        <f>EXP(-LN(2)/35)*Z8+(1-EXP(-LN(2)/35))/(LN(2)/35)*V9*W9*VLOOKUP('Données projet'!$B$9,Paramètres!$A$1:$I$89,3,0)*0.475*44/12</f>
        <v>#N/A</v>
      </c>
      <c r="AA9" s="21" t="e">
        <f>EXP(-LN(2)/25)*AA8+(1-EXP(-LN(2)/25))/(LN(2)/25)*Calculateur!V9*Calculateur!X9*VLOOKUP('Données projet'!$B$9,Paramètres!$A$1:$I$89,3,0)*0.475*44/12</f>
        <v>#N/A</v>
      </c>
      <c r="AB9" s="21" t="e">
        <f>EXP(-LN(2)/2)*AB8+(1-EXP(-LN(2)/2))/(LN(2)/2)*V9*Y9*VLOOKUP('Données projet'!$B$9,Paramètres!$A$1:$I$89,3,0)*0.475*44/12</f>
        <v>#N/A</v>
      </c>
      <c r="AC9" s="22" t="e">
        <f t="shared" si="3"/>
        <v>#N/A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2.4666666666666668</v>
      </c>
      <c r="AI9" s="13">
        <f>IF('Données projet'!$A$62&gt;35,AI8+AH9-AQ8,IF(A9&lt;'Données projet'!$A$62,$AF$205^A9,IF(A9='Données projet'!$A$62,'Données projet'!$B$62,AI8+AH9-AQ8)))</f>
        <v>4.2391685997738069</v>
      </c>
      <c r="AJ9" s="13">
        <f>AI9*VLOOKUP('Données projet'!$B$10,Paramètres!$A$1:$I$89,3,0)*VLOOKUP('Données projet'!$B$10,Paramètres!$A$1:$I$89,5,0)</f>
        <v>3.7033376887623981</v>
      </c>
      <c r="AK9" s="13">
        <f t="shared" si="35"/>
        <v>1.4654166376047331</v>
      </c>
      <c r="AL9" s="20">
        <f t="shared" si="4"/>
        <v>9.002247118422753</v>
      </c>
      <c r="AM9" s="59">
        <f t="shared" si="5"/>
        <v>273.00224711842276</v>
      </c>
      <c r="AN9" s="59">
        <f ca="1">AVERAGE(OFFSET($AM$3,0,0,'Données projet'!$E$10+1,1))-AVERAGE(OFFSET($H$3,0,0,'Données projet'!$E$10+1,1))</f>
        <v>338.55719679154777</v>
      </c>
      <c r="AO9" s="59">
        <f t="shared" si="36"/>
        <v>371.26234252426531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2.2649572649572649</v>
      </c>
      <c r="BD9" s="12">
        <f>IF('Données projet'!$A$88&gt;35,BD8+BC9-BL8,IF(A9&lt;'Données projet'!$A$88,$BA$205^A9,IF(A9='Données projet'!$A$88,'Données projet'!$B$88,BD8+BC9-BL8)))</f>
        <v>4.0969485352494868</v>
      </c>
      <c r="BE9" s="13">
        <f>BD9*VLOOKUP('Données projet'!$B$11,Paramètres!$A$1:$I$89,3,0)*VLOOKUP('Données projet'!$B$11,Paramètres!$A$1:$I$89,5,0)</f>
        <v>3.8986562261434119</v>
      </c>
      <c r="BF9" s="13">
        <f t="shared" si="37"/>
        <v>1.5335025676916687</v>
      </c>
      <c r="BG9" s="20">
        <f t="shared" si="7"/>
        <v>9.4610098992627645</v>
      </c>
      <c r="BH9" s="59">
        <f t="shared" si="8"/>
        <v>273.46100989926276</v>
      </c>
      <c r="BI9" s="59">
        <f ca="1">AVERAGE(OFFSET($BH$3,0,0,'Données projet'!$E$11+1,1))-AVERAGE(OFFSET($H$3,0,0,'Données projet'!$E$11+1,1))</f>
        <v>351.6178679548006</v>
      </c>
      <c r="BJ9" s="59">
        <f t="shared" si="38"/>
        <v>244.7141066773861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3.4358974358974361</v>
      </c>
      <c r="BY9" s="12">
        <f>IF('Données projet'!$A$114&gt;35,BY8+BX9-CG8,IF(A9&lt;'Données projet'!$A$114,$BV$205^A9,IF(A9='Données projet'!$A$114,'Données projet'!$B$114,BY8+BX9-CG8)))</f>
        <v>2.5271573831519722</v>
      </c>
      <c r="BZ9" s="13">
        <f>BY9*VLOOKUP('Données projet'!$B$12,Paramètres!$A$1:$I$89,3,0)*VLOOKUP('Données projet'!$B$12,Paramètres!$A$1:$I$89,5,0)</f>
        <v>1.1827096553151231</v>
      </c>
      <c r="CA9" s="13">
        <f t="shared" si="39"/>
        <v>0.53449936229478223</v>
      </c>
      <c r="CB9" s="20">
        <f t="shared" si="10"/>
        <v>2.990805705670585</v>
      </c>
      <c r="CC9" s="59">
        <f t="shared" si="11"/>
        <v>266.9908057056706</v>
      </c>
      <c r="CD9" s="59">
        <f ca="1">AVERAGE(OFFSET($CC$3,0,0,'Données projet'!$E$12+1,1))-AVERAGE(OFFSET($H$3,0,0,'Données projet'!$E$12+1,1))</f>
        <v>246.66630850723385</v>
      </c>
      <c r="CE9" s="59">
        <f t="shared" si="40"/>
        <v>145.34368562171613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2.6666666666666665</v>
      </c>
      <c r="CT9" s="12">
        <f>IF('Données projet'!$A$140&gt;35,CT8+CS9-DB8,IF(A9&lt;'Données projet'!$A$140,$CQ$205^A9,IF(A9='Données projet'!$A$140,'Données projet'!$B$140,CT8+CS9-DB8)))</f>
        <v>4.3734482957731098</v>
      </c>
      <c r="CU9" s="17">
        <f>CT9*VLOOKUP('Données projet'!$B$13,Paramètres!$A$1:$I$89,3,0)*VLOOKUP('Données projet'!$B$13,Paramètres!$A$1:$I$89,5,0)</f>
        <v>3.4112896707030256</v>
      </c>
      <c r="CV9" s="13">
        <f t="shared" si="41"/>
        <v>1.3628213830192535</v>
      </c>
      <c r="CW9" s="20">
        <f t="shared" si="13"/>
        <v>8.3149100852329703</v>
      </c>
      <c r="CX9" s="59">
        <f t="shared" si="14"/>
        <v>272.31491008523295</v>
      </c>
      <c r="CY9" s="59">
        <f ca="1">AVERAGE(OFFSET($CX$3,0,0,'Données projet'!$E$13+1,1))-AVERAGE(OFFSET($H$3,0,0,'Données projet'!$E$13+1,1))</f>
        <v>292.57482726862594</v>
      </c>
      <c r="CZ9" s="59">
        <f t="shared" si="42"/>
        <v>283.48738729114024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2.1</v>
      </c>
      <c r="DO9" s="12">
        <f>IF('Données projet'!$A$166&gt;35,DO8+DN9-DW8,IF(A9&lt;'Données projet'!$A$166,$DL$205^A9,IF(A9='Données projet'!$A$166,'Données projet'!$B$166,DO8+DN9-DW8)))</f>
        <v>3.0688438220956993</v>
      </c>
      <c r="DP9" s="17">
        <f>DO9*VLOOKUP('Données projet'!$B$14,Paramètres!$A$1:$I$89,3,0)*VLOOKUP('Données projet'!$B$14,Paramètres!$A$1:$I$89,5,0)</f>
        <v>3.111807635605039</v>
      </c>
      <c r="DQ9" s="13">
        <f t="shared" si="43"/>
        <v>1.2565452240335246</v>
      </c>
      <c r="DR9" s="20">
        <f t="shared" si="16"/>
        <v>7.6082145638704972</v>
      </c>
      <c r="DS9" s="59">
        <f t="shared" si="17"/>
        <v>271.60821456387049</v>
      </c>
      <c r="DT9" s="59">
        <f ca="1">AVERAGE(OFFSET($DS$3,0,0,'Données projet'!$E$14+1,1))-AVERAGE(OFFSET($H$3,0,0,'Données projet'!$E$14+1,1))</f>
        <v>475.47920969424894</v>
      </c>
      <c r="DU9" s="59">
        <f t="shared" si="44"/>
        <v>271.73544012419364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2.1</v>
      </c>
      <c r="EJ9" s="12">
        <f>IF('Données projet'!$A$192&gt;35,EJ8+EI9-ER8,IF(A9&lt;'Données projet'!$A$192,$EG$205^A9,IF(A9='Données projet'!$A$192,'Données projet'!$B$192,EJ8+EI9-ER8)))</f>
        <v>3.0688438220956993</v>
      </c>
      <c r="EK9" s="17">
        <f>EJ9*VLOOKUP('Données projet'!$B$15,Paramètres!$A$1:$I$89,3,0)*VLOOKUP('Données projet'!$B$15,Paramètres!$A$1:$I$89,5,0)</f>
        <v>2.7766898902321886</v>
      </c>
      <c r="EL9" s="13">
        <f t="shared" si="45"/>
        <v>1.1361949561012803</v>
      </c>
      <c r="EM9" s="20">
        <f t="shared" si="19"/>
        <v>6.8149411073641248</v>
      </c>
      <c r="EN9" s="59">
        <f t="shared" si="20"/>
        <v>270.81494110736412</v>
      </c>
      <c r="EO9" s="59">
        <f ca="1">AVERAGE(OFFSET($EN$3,0,0,'Données projet'!$E$15+1,1))-AVERAGE(OFFSET($H$3,0,0,'Données projet'!$E$15+1,1))</f>
        <v>428.8489304403459</v>
      </c>
      <c r="EP9" s="59">
        <f t="shared" si="46"/>
        <v>247.01165577562966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8.4</v>
      </c>
      <c r="FE9" s="12">
        <f>IF('Données projet'!$A$218&gt;35,FE8+FD9-FM8,IF(A9&lt;'Données projet'!$A$218,$FB$205^A9,IF(A9='Données projet'!$A$218,'Données projet'!$B$218,FE8+FD9-FM8)))</f>
        <v>30.4</v>
      </c>
      <c r="FF9" s="17">
        <f>FE9*VLOOKUP('Données projet'!$B$16,Paramètres!$A$1:$I$89,3,0)*VLOOKUP('Données projet'!$B$16,Paramètres!$A$1:$I$89,5,0)</f>
        <v>27.505919999999996</v>
      </c>
      <c r="FG9" s="13">
        <f t="shared" si="47"/>
        <v>8.6184473637668919</v>
      </c>
      <c r="FH9" s="20">
        <f t="shared" si="22"/>
        <v>62.916606491893987</v>
      </c>
      <c r="FI9" s="59">
        <f t="shared" si="23"/>
        <v>326.91660649189396</v>
      </c>
      <c r="FJ9" s="59">
        <f ca="1">AVERAGE(OFFSET($FI$3,0,0,'Données projet'!$E$16+1,1))-AVERAGE(OFFSET($H$3,0,0,'Données projet'!$E$16+1,1))</f>
        <v>245.25496369542458</v>
      </c>
      <c r="FK9" s="59">
        <f t="shared" si="48"/>
        <v>342.30266518164211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0</v>
      </c>
      <c r="N10" s="13">
        <f>IF('Données projet'!$A$36&gt;35,N9+M10-V9,IF(A10&lt;'Données projet'!$A$36,$K$205^A10,IF(A10='Données projet'!$A$36,'Données projet'!$B$36,N9+M10-V9)))</f>
        <v>0</v>
      </c>
      <c r="O10" s="13" t="e">
        <f>N10*VLOOKUP('Données projet'!$B$9,Paramètres!$A$1:$I$89,3,0)*VLOOKUP('Données projet'!$B$9,Paramètres!$A$1:$I$89,5,0)</f>
        <v>#N/A</v>
      </c>
      <c r="P10" s="13" t="e">
        <f t="shared" si="33"/>
        <v>#N/A</v>
      </c>
      <c r="Q10" s="20" t="e">
        <f t="shared" si="2"/>
        <v>#N/A</v>
      </c>
      <c r="R10" s="59" t="e">
        <f t="shared" si="0"/>
        <v>#N/A</v>
      </c>
      <c r="S10" s="59" t="e">
        <f ca="1">AVERAGE(OFFSET($R$3,0,0,'Données projet'!$E$9+1,1))-AVERAGE(OFFSET($H$3,0,0,'Données projet'!$E$9+1,1))</f>
        <v>#N/A</v>
      </c>
      <c r="T10" s="59" t="e">
        <f t="shared" si="34"/>
        <v>#N/A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 t="e">
        <f>EXP(-LN(2)/35)*Z9+(1-EXP(-LN(2)/35))/(LN(2)/35)*V10*W10*VLOOKUP('Données projet'!$B$9,Paramètres!$A$1:$I$89,3,0)*0.475*44/12</f>
        <v>#N/A</v>
      </c>
      <c r="AA10" s="21" t="e">
        <f>EXP(-LN(2)/25)*AA9+(1-EXP(-LN(2)/25))/(LN(2)/25)*Calculateur!V10*Calculateur!X10*VLOOKUP('Données projet'!$B$9,Paramètres!$A$1:$I$89,3,0)*0.475*44/12</f>
        <v>#N/A</v>
      </c>
      <c r="AB10" s="21" t="e">
        <f>EXP(-LN(2)/2)*AB9+(1-EXP(-LN(2)/2))/(LN(2)/2)*V10*Y10*VLOOKUP('Données projet'!$B$9,Paramètres!$A$1:$I$89,3,0)*0.475*44/12</f>
        <v>#N/A</v>
      </c>
      <c r="AC10" s="22" t="e">
        <f t="shared" si="3"/>
        <v>#N/A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2.4666666666666668</v>
      </c>
      <c r="AI10" s="13">
        <f>IF('Données projet'!$A$62&gt;35,AI9+AH10-AQ9,IF(A10&lt;'Données projet'!$A$62,$AF$205^A10,IF(A10='Données projet'!$A$62,'Données projet'!$B$62,AI9+AH10-AQ9)))</f>
        <v>5.3929633792034757</v>
      </c>
      <c r="AJ10" s="13">
        <f>AI10*VLOOKUP('Données projet'!$B$10,Paramètres!$A$1:$I$89,3,0)*VLOOKUP('Données projet'!$B$10,Paramètres!$A$1:$I$89,5,0)</f>
        <v>4.711292808072157</v>
      </c>
      <c r="AK10" s="13">
        <f t="shared" si="35"/>
        <v>1.8127530905190552</v>
      </c>
      <c r="AL10" s="20">
        <f t="shared" si="4"/>
        <v>11.362713273379695</v>
      </c>
      <c r="AM10" s="59">
        <f t="shared" si="5"/>
        <v>276.58493549560194</v>
      </c>
      <c r="AN10" s="59">
        <f ca="1">AVERAGE(OFFSET($AM$3,0,0,'Données projet'!$E$10+1,1))-AVERAGE(OFFSET($H$3,0,0,'Données projet'!$E$10+1,1))</f>
        <v>338.55719679154777</v>
      </c>
      <c r="AO10" s="59">
        <f t="shared" si="36"/>
        <v>371.26234252426531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2.2649572649572649</v>
      </c>
      <c r="BD10" s="12">
        <f>IF('Données projet'!$A$88&gt;35,BD9+BC10-BL9,IF(A10&lt;'Données projet'!$A$88,$BA$205^A10,IF(A10='Données projet'!$A$88,'Données projet'!$B$88,BD9+BC10-BL9)))</f>
        <v>5.1824755269514737</v>
      </c>
      <c r="BE10" s="13">
        <f>BD10*VLOOKUP('Données projet'!$B$11,Paramètres!$A$1:$I$89,3,0)*VLOOKUP('Données projet'!$B$11,Paramètres!$A$1:$I$89,5,0)</f>
        <v>4.9316437114470224</v>
      </c>
      <c r="BF10" s="13">
        <f t="shared" si="37"/>
        <v>1.8874676857212829</v>
      </c>
      <c r="BG10" s="20">
        <f t="shared" si="7"/>
        <v>11.876619016734798</v>
      </c>
      <c r="BH10" s="59">
        <f t="shared" si="8"/>
        <v>277.09884123895705</v>
      </c>
      <c r="BI10" s="59">
        <f ca="1">AVERAGE(OFFSET($BH$3,0,0,'Données projet'!$E$11+1,1))-AVERAGE(OFFSET($H$3,0,0,'Données projet'!$E$11+1,1))</f>
        <v>351.6178679548006</v>
      </c>
      <c r="BJ10" s="59">
        <f t="shared" si="38"/>
        <v>244.7141066773861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3.4358974358974361</v>
      </c>
      <c r="BY10" s="12">
        <f>IF('Données projet'!$A$114&gt;35,BY9+BX10-CG9,IF(A10&lt;'Données projet'!$A$114,$BV$205^A10,IF(A10='Données projet'!$A$114,'Données projet'!$B$114,BY9+BX10-CG9)))</f>
        <v>2.9494271300177566</v>
      </c>
      <c r="BZ10" s="13">
        <f>BY10*VLOOKUP('Données projet'!$B$12,Paramètres!$A$1:$I$89,3,0)*VLOOKUP('Données projet'!$B$12,Paramètres!$A$1:$I$89,5,0)</f>
        <v>1.38033189684831</v>
      </c>
      <c r="CA10" s="13">
        <f t="shared" si="39"/>
        <v>0.6126910079279041</v>
      </c>
      <c r="CB10" s="20">
        <f t="shared" si="10"/>
        <v>3.4711815591519066</v>
      </c>
      <c r="CC10" s="59">
        <f t="shared" si="11"/>
        <v>268.69340378137412</v>
      </c>
      <c r="CD10" s="59">
        <f ca="1">AVERAGE(OFFSET($CC$3,0,0,'Données projet'!$E$12+1,1))-AVERAGE(OFFSET($H$3,0,0,'Données projet'!$E$12+1,1))</f>
        <v>246.66630850723385</v>
      </c>
      <c r="CE10" s="59">
        <f t="shared" si="40"/>
        <v>145.34368562171613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2.6666666666666665</v>
      </c>
      <c r="CT10" s="12">
        <f>IF('Données projet'!$A$140&gt;35,CT9+CS10-DB9,IF(A10&lt;'Données projet'!$A$140,$CQ$205^A10,IF(A10='Données projet'!$A$140,'Données projet'!$B$140,CT9+CS10-DB9)))</f>
        <v>5.5927833467405659</v>
      </c>
      <c r="CU10" s="17">
        <f>CT10*VLOOKUP('Données projet'!$B$13,Paramètres!$A$1:$I$89,3,0)*VLOOKUP('Données projet'!$B$13,Paramètres!$A$1:$I$89,5,0)</f>
        <v>4.3623710104576414</v>
      </c>
      <c r="CV10" s="13">
        <f t="shared" si="41"/>
        <v>1.6936004212396314</v>
      </c>
      <c r="CW10" s="20">
        <f t="shared" si="13"/>
        <v>10.54748357687275</v>
      </c>
      <c r="CX10" s="59">
        <f t="shared" si="14"/>
        <v>275.76970579909499</v>
      </c>
      <c r="CY10" s="59">
        <f ca="1">AVERAGE(OFFSET($CX$3,0,0,'Données projet'!$E$13+1,1))-AVERAGE(OFFSET($H$3,0,0,'Données projet'!$E$13+1,1))</f>
        <v>292.57482726862594</v>
      </c>
      <c r="CZ10" s="59">
        <f t="shared" si="42"/>
        <v>283.48738729114024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2.1</v>
      </c>
      <c r="DO10" s="12">
        <f>IF('Données projet'!$A$166&gt;35,DO9+DN10-DW9,IF(A10&lt;'Données projet'!$A$166,$DL$205^A10,IF(A10='Données projet'!$A$166,'Données projet'!$B$166,DO9+DN10-DW9)))</f>
        <v>3.6994507637402658</v>
      </c>
      <c r="DP10" s="17">
        <f>DO10*VLOOKUP('Données projet'!$B$14,Paramètres!$A$1:$I$89,3,0)*VLOOKUP('Données projet'!$B$14,Paramètres!$A$1:$I$89,5,0)</f>
        <v>3.7512430744326299</v>
      </c>
      <c r="DQ10" s="13">
        <f t="shared" si="43"/>
        <v>1.4821538192545303</v>
      </c>
      <c r="DR10" s="20">
        <f t="shared" si="16"/>
        <v>9.1148329231718037</v>
      </c>
      <c r="DS10" s="59">
        <f t="shared" si="17"/>
        <v>274.33705514539406</v>
      </c>
      <c r="DT10" s="59">
        <f ca="1">AVERAGE(OFFSET($DS$3,0,0,'Données projet'!$E$14+1,1))-AVERAGE(OFFSET($H$3,0,0,'Données projet'!$E$14+1,1))</f>
        <v>475.47920969424894</v>
      </c>
      <c r="DU10" s="59">
        <f t="shared" si="44"/>
        <v>271.73544012419364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2.1</v>
      </c>
      <c r="EJ10" s="12">
        <f>IF('Données projet'!$A$192&gt;35,EJ9+EI10-ER9,IF(A10&lt;'Données projet'!$A$192,$EG$205^A10,IF(A10='Données projet'!$A$192,'Données projet'!$B$192,EJ9+EI10-ER9)))</f>
        <v>3.6994507637402658</v>
      </c>
      <c r="EK10" s="17">
        <f>EJ10*VLOOKUP('Données projet'!$B$15,Paramètres!$A$1:$I$89,3,0)*VLOOKUP('Données projet'!$B$15,Paramètres!$A$1:$I$89,5,0)</f>
        <v>3.3472630510321921</v>
      </c>
      <c r="EL10" s="13">
        <f t="shared" si="45"/>
        <v>1.34019505338418</v>
      </c>
      <c r="EM10" s="20">
        <f t="shared" si="19"/>
        <v>8.1639895318585136</v>
      </c>
      <c r="EN10" s="59">
        <f t="shared" si="20"/>
        <v>273.38621175408076</v>
      </c>
      <c r="EO10" s="59">
        <f ca="1">AVERAGE(OFFSET($EN$3,0,0,'Données projet'!$E$15+1,1))-AVERAGE(OFFSET($H$3,0,0,'Données projet'!$E$15+1,1))</f>
        <v>428.8489304403459</v>
      </c>
      <c r="EP10" s="59">
        <f t="shared" si="46"/>
        <v>247.01165577562966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8.4</v>
      </c>
      <c r="FE10" s="12">
        <f>IF('Données projet'!$A$218&gt;35,FE9+FD10-FM9,IF(A10&lt;'Données projet'!$A$218,$FB$205^A10,IF(A10='Données projet'!$A$218,'Données projet'!$B$218,FE9+FD10-FM9)))</f>
        <v>38.799999999999997</v>
      </c>
      <c r="FF10" s="17">
        <f>FE10*VLOOKUP('Données projet'!$B$16,Paramètres!$A$1:$I$89,3,0)*VLOOKUP('Données projet'!$B$16,Paramètres!$A$1:$I$89,5,0)</f>
        <v>35.10624</v>
      </c>
      <c r="FG10" s="13">
        <f t="shared" si="47"/>
        <v>10.691869463144661</v>
      </c>
      <c r="FH10" s="20">
        <f t="shared" si="22"/>
        <v>79.76504064831029</v>
      </c>
      <c r="FI10" s="59">
        <f t="shared" si="23"/>
        <v>344.9872628705325</v>
      </c>
      <c r="FJ10" s="59">
        <f ca="1">AVERAGE(OFFSET($FI$3,0,0,'Données projet'!$E$16+1,1))-AVERAGE(OFFSET($H$3,0,0,'Données projet'!$E$16+1,1))</f>
        <v>245.25496369542458</v>
      </c>
      <c r="FK10" s="59">
        <f t="shared" si="48"/>
        <v>342.30266518164211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0</v>
      </c>
      <c r="N11" s="13">
        <f>IF('Données projet'!$A$36&gt;35,N10+M11-V10,IF(A11&lt;'Données projet'!$A$36,$K$205^A11,IF(A11='Données projet'!$A$36,'Données projet'!$B$36,N10+M11-V10)))</f>
        <v>0</v>
      </c>
      <c r="O11" s="13" t="e">
        <f>N11*VLOOKUP('Données projet'!$B$9,Paramètres!$A$1:$I$89,3,0)*VLOOKUP('Données projet'!$B$9,Paramètres!$A$1:$I$89,5,0)</f>
        <v>#N/A</v>
      </c>
      <c r="P11" s="13" t="e">
        <f t="shared" si="33"/>
        <v>#N/A</v>
      </c>
      <c r="Q11" s="20" t="e">
        <f t="shared" si="2"/>
        <v>#N/A</v>
      </c>
      <c r="R11" s="59" t="e">
        <f t="shared" si="0"/>
        <v>#N/A</v>
      </c>
      <c r="S11" s="59" t="e">
        <f ca="1">AVERAGE(OFFSET($R$3,0,0,'Données projet'!$E$9+1,1))-AVERAGE(OFFSET($H$3,0,0,'Données projet'!$E$9+1,1))</f>
        <v>#N/A</v>
      </c>
      <c r="T11" s="59" t="e">
        <f t="shared" si="34"/>
        <v>#N/A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 t="e">
        <f>EXP(-LN(2)/35)*Z10+(1-EXP(-LN(2)/35))/(LN(2)/35)*V11*W11*VLOOKUP('Données projet'!$B$9,Paramètres!$A$1:$I$89,3,0)*0.475*44/12</f>
        <v>#N/A</v>
      </c>
      <c r="AA11" s="21" t="e">
        <f>EXP(-LN(2)/25)*AA10+(1-EXP(-LN(2)/25))/(LN(2)/25)*Calculateur!V11*Calculateur!X11*VLOOKUP('Données projet'!$B$9,Paramètres!$A$1:$I$89,3,0)*0.475*44/12</f>
        <v>#N/A</v>
      </c>
      <c r="AB11" s="21" t="e">
        <f>EXP(-LN(2)/2)*AB10+(1-EXP(-LN(2)/2))/(LN(2)/2)*V11*Y11*VLOOKUP('Données projet'!$B$9,Paramètres!$A$1:$I$89,3,0)*0.475*44/12</f>
        <v>#N/A</v>
      </c>
      <c r="AC11" s="22" t="e">
        <f t="shared" si="3"/>
        <v>#N/A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2.4666666666666668</v>
      </c>
      <c r="AI11" s="13">
        <f>IF('Données projet'!$A$62&gt;35,AI10+AH11-AQ10,IF(A11&lt;'Données projet'!$A$62,$AF$205^A11,IF(A11='Données projet'!$A$62,'Données projet'!$B$62,AI10+AH11-AQ10)))</f>
        <v>6.8607919984549888</v>
      </c>
      <c r="AJ11" s="13">
        <f>AI11*VLOOKUP('Données projet'!$B$10,Paramètres!$A$1:$I$89,3,0)*VLOOKUP('Données projet'!$B$10,Paramètres!$A$1:$I$89,5,0)</f>
        <v>5.9935878898502795</v>
      </c>
      <c r="AK11" s="13">
        <f t="shared" si="35"/>
        <v>2.2424160357272664</v>
      </c>
      <c r="AL11" s="20">
        <f t="shared" si="4"/>
        <v>14.344373503714223</v>
      </c>
      <c r="AM11" s="59">
        <f t="shared" si="5"/>
        <v>280.78881794815868</v>
      </c>
      <c r="AN11" s="59">
        <f ca="1">AVERAGE(OFFSET($AM$3,0,0,'Données projet'!$E$10+1,1))-AVERAGE(OFFSET($H$3,0,0,'Données projet'!$E$10+1,1))</f>
        <v>338.55719679154777</v>
      </c>
      <c r="AO11" s="59">
        <f t="shared" si="36"/>
        <v>371.26234252426531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2.2649572649572649</v>
      </c>
      <c r="BD11" s="12">
        <f>IF('Données projet'!$A$88&gt;35,BD10+BC11-BL10,IF(A11&lt;'Données projet'!$A$88,$BA$205^A11,IF(A11='Données projet'!$A$88,'Données projet'!$B$88,BD10+BC11-BL10)))</f>
        <v>6.555623619962172</v>
      </c>
      <c r="BE11" s="13">
        <f>BD11*VLOOKUP('Données projet'!$B$11,Paramètres!$A$1:$I$89,3,0)*VLOOKUP('Données projet'!$B$11,Paramètres!$A$1:$I$89,5,0)</f>
        <v>6.2383314367560025</v>
      </c>
      <c r="BF11" s="13">
        <f t="shared" si="37"/>
        <v>2.3231355067142938</v>
      </c>
      <c r="BG11" s="20">
        <f t="shared" si="7"/>
        <v>14.911221593210763</v>
      </c>
      <c r="BH11" s="59">
        <f t="shared" si="8"/>
        <v>281.35566603765523</v>
      </c>
      <c r="BI11" s="59">
        <f ca="1">AVERAGE(OFFSET($BH$3,0,0,'Données projet'!$E$11+1,1))-AVERAGE(OFFSET($H$3,0,0,'Données projet'!$E$11+1,1))</f>
        <v>351.6178679548006</v>
      </c>
      <c r="BJ11" s="59">
        <f t="shared" si="38"/>
        <v>244.7141066773861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3.4358974358974361</v>
      </c>
      <c r="BY11" s="12">
        <f>IF('Données projet'!$A$114&gt;35,BY10+BX11-CG10,IF(A11&lt;'Données projet'!$A$114,$BV$205^A11,IF(A11='Données projet'!$A$114,'Données projet'!$B$114,BY10+BX11-CG10)))</f>
        <v>3.4422551018310097</v>
      </c>
      <c r="BZ11" s="13">
        <f>BY11*VLOOKUP('Données projet'!$B$12,Paramètres!$A$1:$I$89,3,0)*VLOOKUP('Données projet'!$B$12,Paramètres!$A$1:$I$89,5,0)</f>
        <v>1.6109753876569124</v>
      </c>
      <c r="CA11" s="13">
        <f t="shared" si="39"/>
        <v>0.70232127047642601</v>
      </c>
      <c r="CB11" s="20">
        <f t="shared" si="10"/>
        <v>4.0289916795822309</v>
      </c>
      <c r="CC11" s="59">
        <f t="shared" si="11"/>
        <v>270.4734361240267</v>
      </c>
      <c r="CD11" s="59">
        <f ca="1">AVERAGE(OFFSET($CC$3,0,0,'Données projet'!$E$12+1,1))-AVERAGE(OFFSET($H$3,0,0,'Données projet'!$E$12+1,1))</f>
        <v>246.66630850723385</v>
      </c>
      <c r="CE11" s="59">
        <f t="shared" si="40"/>
        <v>145.34368562171613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2.6666666666666665</v>
      </c>
      <c r="CT11" s="12">
        <f>IF('Données projet'!$A$140&gt;35,CT10+CS11-DB10,IF(A11&lt;'Données projet'!$A$140,$CQ$205^A11,IF(A11='Données projet'!$A$140,'Données projet'!$B$140,CT10+CS11-DB10)))</f>
        <v>7.1520739352994367</v>
      </c>
      <c r="CU11" s="17">
        <f>CT11*VLOOKUP('Données projet'!$B$13,Paramètres!$A$1:$I$89,3,0)*VLOOKUP('Données projet'!$B$13,Paramètres!$A$1:$I$89,5,0)</f>
        <v>5.5786176695335605</v>
      </c>
      <c r="CV11" s="13">
        <f t="shared" si="41"/>
        <v>2.1046649418345189</v>
      </c>
      <c r="CW11" s="20">
        <f t="shared" si="13"/>
        <v>13.381717214799407</v>
      </c>
      <c r="CX11" s="59">
        <f t="shared" si="14"/>
        <v>279.82616165924384</v>
      </c>
      <c r="CY11" s="59">
        <f ca="1">AVERAGE(OFFSET($CX$3,0,0,'Données projet'!$E$13+1,1))-AVERAGE(OFFSET($H$3,0,0,'Données projet'!$E$13+1,1))</f>
        <v>292.57482726862594</v>
      </c>
      <c r="CZ11" s="59">
        <f t="shared" si="42"/>
        <v>283.48738729114024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2.1</v>
      </c>
      <c r="DO11" s="12">
        <f>IF('Données projet'!$A$166&gt;35,DO10+DN11-DW10,IF(A11&lt;'Données projet'!$A$166,$DL$205^A11,IF(A11='Données projet'!$A$166,'Données projet'!$B$166,DO10+DN11-DW10)))</f>
        <v>4.4596391171162209</v>
      </c>
      <c r="DP11" s="17">
        <f>DO11*VLOOKUP('Données projet'!$B$14,Paramètres!$A$1:$I$89,3,0)*VLOOKUP('Données projet'!$B$14,Paramètres!$A$1:$I$89,5,0)</f>
        <v>4.5220740647558486</v>
      </c>
      <c r="DQ11" s="13">
        <f t="shared" si="43"/>
        <v>1.7482697016499746</v>
      </c>
      <c r="DR11" s="20">
        <f t="shared" si="16"/>
        <v>10.92084872649014</v>
      </c>
      <c r="DS11" s="59">
        <f t="shared" si="17"/>
        <v>277.36529317093459</v>
      </c>
      <c r="DT11" s="59">
        <f ca="1">AVERAGE(OFFSET($DS$3,0,0,'Données projet'!$E$14+1,1))-AVERAGE(OFFSET($H$3,0,0,'Données projet'!$E$14+1,1))</f>
        <v>475.47920969424894</v>
      </c>
      <c r="DU11" s="59">
        <f t="shared" si="44"/>
        <v>271.73544012419364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2.1</v>
      </c>
      <c r="EJ11" s="12">
        <f>IF('Données projet'!$A$192&gt;35,EJ10+EI11-ER10,IF(A11&lt;'Données projet'!$A$192,$EG$205^A11,IF(A11='Données projet'!$A$192,'Données projet'!$B$192,EJ10+EI11-ER10)))</f>
        <v>4.4596391171162209</v>
      </c>
      <c r="EK11" s="17">
        <f>EJ11*VLOOKUP('Données projet'!$B$15,Paramètres!$A$1:$I$89,3,0)*VLOOKUP('Données projet'!$B$15,Paramètres!$A$1:$I$89,5,0)</f>
        <v>4.0350814731667564</v>
      </c>
      <c r="EL11" s="13">
        <f t="shared" si="45"/>
        <v>1.5808227025391921</v>
      </c>
      <c r="EM11" s="20">
        <f t="shared" si="19"/>
        <v>9.7810331060211926</v>
      </c>
      <c r="EN11" s="59">
        <f t="shared" si="20"/>
        <v>276.22547755046565</v>
      </c>
      <c r="EO11" s="59">
        <f ca="1">AVERAGE(OFFSET($EN$3,0,0,'Données projet'!$E$15+1,1))-AVERAGE(OFFSET($H$3,0,0,'Données projet'!$E$15+1,1))</f>
        <v>428.8489304403459</v>
      </c>
      <c r="EP11" s="59">
        <f t="shared" si="46"/>
        <v>247.01165577562966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8.4</v>
      </c>
      <c r="FE11" s="12">
        <f>IF('Données projet'!$A$218&gt;35,FE10+FD11-FM10,IF(A11&lt;'Données projet'!$A$218,$FB$205^A11,IF(A11='Données projet'!$A$218,'Données projet'!$B$218,FE10+FD11-FM10)))</f>
        <v>47.199999999999996</v>
      </c>
      <c r="FF11" s="17">
        <f>FE11*VLOOKUP('Données projet'!$B$16,Paramètres!$A$1:$I$89,3,0)*VLOOKUP('Données projet'!$B$16,Paramètres!$A$1:$I$89,5,0)</f>
        <v>42.706559999999989</v>
      </c>
      <c r="FG11" s="13">
        <f t="shared" si="47"/>
        <v>12.713264572642883</v>
      </c>
      <c r="FH11" s="20">
        <f t="shared" si="22"/>
        <v>96.522861130686337</v>
      </c>
      <c r="FI11" s="59">
        <f t="shared" si="23"/>
        <v>362.96730557513081</v>
      </c>
      <c r="FJ11" s="59">
        <f ca="1">AVERAGE(OFFSET($FI$3,0,0,'Données projet'!$E$16+1,1))-AVERAGE(OFFSET($H$3,0,0,'Données projet'!$E$16+1,1))</f>
        <v>245.25496369542458</v>
      </c>
      <c r="FK11" s="59">
        <f t="shared" si="48"/>
        <v>342.30266518164211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0</v>
      </c>
      <c r="N12" s="13">
        <f>IF('Données projet'!$A$36&gt;35,N11+M12-V11,IF(A12&lt;'Données projet'!$A$36,$K$205^A12,IF(A12='Données projet'!$A$36,'Données projet'!$B$36,N11+M12-V11)))</f>
        <v>0</v>
      </c>
      <c r="O12" s="13" t="e">
        <f>N12*VLOOKUP('Données projet'!$B$9,Paramètres!$A$1:$I$89,3,0)*VLOOKUP('Données projet'!$B$9,Paramètres!$A$1:$I$89,5,0)</f>
        <v>#N/A</v>
      </c>
      <c r="P12" s="13" t="e">
        <f t="shared" si="33"/>
        <v>#N/A</v>
      </c>
      <c r="Q12" s="20" t="e">
        <f t="shared" si="2"/>
        <v>#N/A</v>
      </c>
      <c r="R12" s="59" t="e">
        <f t="shared" si="0"/>
        <v>#N/A</v>
      </c>
      <c r="S12" s="59" t="e">
        <f ca="1">AVERAGE(OFFSET($R$3,0,0,'Données projet'!$E$9+1,1))-AVERAGE(OFFSET($H$3,0,0,'Données projet'!$E$9+1,1))</f>
        <v>#N/A</v>
      </c>
      <c r="T12" s="59" t="e">
        <f t="shared" si="34"/>
        <v>#N/A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 t="e">
        <f>EXP(-LN(2)/35)*Z11+(1-EXP(-LN(2)/35))/(LN(2)/35)*V12*W12*VLOOKUP('Données projet'!$B$9,Paramètres!$A$1:$I$89,3,0)*0.475*44/12</f>
        <v>#N/A</v>
      </c>
      <c r="AA12" s="21" t="e">
        <f>EXP(-LN(2)/25)*AA11+(1-EXP(-LN(2)/25))/(LN(2)/25)*Calculateur!V12*Calculateur!X12*VLOOKUP('Données projet'!$B$9,Paramètres!$A$1:$I$89,3,0)*0.475*44/12</f>
        <v>#N/A</v>
      </c>
      <c r="AB12" s="21" t="e">
        <f>EXP(-LN(2)/2)*AB11+(1-EXP(-LN(2)/2))/(LN(2)/2)*V12*Y12*VLOOKUP('Données projet'!$B$9,Paramètres!$A$1:$I$89,3,0)*0.475*44/12</f>
        <v>#N/A</v>
      </c>
      <c r="AC12" s="22" t="e">
        <f t="shared" si="3"/>
        <v>#N/A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2.4666666666666668</v>
      </c>
      <c r="AI12" s="13">
        <f>IF('Données projet'!$A$62&gt;35,AI11+AH12-AQ11,IF(A12&lt;'Données projet'!$A$62,$AF$205^A12,IF(A12='Données projet'!$A$62,'Données projet'!$B$62,AI11+AH12-AQ11)))</f>
        <v>8.7281265486761299</v>
      </c>
      <c r="AJ12" s="13">
        <f>AI12*VLOOKUP('Données projet'!$B$10,Paramètres!$A$1:$I$89,3,0)*VLOOKUP('Données projet'!$B$10,Paramètres!$A$1:$I$89,5,0)</f>
        <v>7.6248913529234681</v>
      </c>
      <c r="AK12" s="13">
        <f t="shared" si="35"/>
        <v>2.7739186895259813</v>
      </c>
      <c r="AL12" s="20">
        <f t="shared" si="4"/>
        <v>18.111260823932788</v>
      </c>
      <c r="AM12" s="59">
        <f t="shared" si="5"/>
        <v>285.7779274905995</v>
      </c>
      <c r="AN12" s="59">
        <f ca="1">AVERAGE(OFFSET($AM$3,0,0,'Données projet'!$E$10+1,1))-AVERAGE(OFFSET($H$3,0,0,'Données projet'!$E$10+1,1))</f>
        <v>338.55719679154777</v>
      </c>
      <c r="AO12" s="59">
        <f t="shared" si="36"/>
        <v>371.26234252426531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2.2649572649572649</v>
      </c>
      <c r="BD12" s="12">
        <f>IF('Données projet'!$A$88&gt;35,BD11+BC12-BL11,IF(A12&lt;'Données projet'!$A$88,$BA$205^A12,IF(A12='Données projet'!$A$88,'Données projet'!$B$88,BD11+BC12-BL11)))</f>
        <v>8.2926008667302167</v>
      </c>
      <c r="BE12" s="13">
        <f>BD12*VLOOKUP('Données projet'!$B$11,Paramètres!$A$1:$I$89,3,0)*VLOOKUP('Données projet'!$B$11,Paramètres!$A$1:$I$89,5,0)</f>
        <v>7.8912389847804736</v>
      </c>
      <c r="BF12" s="13">
        <f t="shared" si="37"/>
        <v>2.8593647580749275</v>
      </c>
      <c r="BG12" s="20">
        <f t="shared" si="7"/>
        <v>18.723968185473154</v>
      </c>
      <c r="BH12" s="59">
        <f t="shared" si="8"/>
        <v>286.39063485213984</v>
      </c>
      <c r="BI12" s="59">
        <f ca="1">AVERAGE(OFFSET($BH$3,0,0,'Données projet'!$E$11+1,1))-AVERAGE(OFFSET($H$3,0,0,'Données projet'!$E$11+1,1))</f>
        <v>351.6178679548006</v>
      </c>
      <c r="BJ12" s="59">
        <f t="shared" si="38"/>
        <v>244.7141066773861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3.4358974358974361</v>
      </c>
      <c r="BY12" s="12">
        <f>IF('Données projet'!$A$114&gt;35,BY11+BX12-CG11,IF(A12&lt;'Données projet'!$A$114,$BV$205^A12,IF(A12='Données projet'!$A$114,'Données projet'!$B$114,BY11+BX12-CG11)))</f>
        <v>4.0174310683886194</v>
      </c>
      <c r="BZ12" s="13">
        <f>BY12*VLOOKUP('Données projet'!$B$12,Paramètres!$A$1:$I$89,3,0)*VLOOKUP('Données projet'!$B$12,Paramètres!$A$1:$I$89,5,0)</f>
        <v>1.8801577400058738</v>
      </c>
      <c r="CA12" s="13">
        <f t="shared" si="39"/>
        <v>0.80506349951468992</v>
      </c>
      <c r="CB12" s="20">
        <f t="shared" si="10"/>
        <v>4.6767603254983152</v>
      </c>
      <c r="CC12" s="59">
        <f t="shared" si="11"/>
        <v>272.34342699216501</v>
      </c>
      <c r="CD12" s="59">
        <f ca="1">AVERAGE(OFFSET($CC$3,0,0,'Données projet'!$E$12+1,1))-AVERAGE(OFFSET($H$3,0,0,'Données projet'!$E$12+1,1))</f>
        <v>246.66630850723385</v>
      </c>
      <c r="CE12" s="59">
        <f t="shared" si="40"/>
        <v>145.34368562171613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2.6666666666666665</v>
      </c>
      <c r="CT12" s="12">
        <f>IF('Données projet'!$A$140&gt;35,CT11+CS12-DB11,IF(A12&lt;'Données projet'!$A$140,$CQ$205^A12,IF(A12='Données projet'!$A$140,'Données projet'!$B$140,CT11+CS12-DB11)))</f>
        <v>9.1461010385465205</v>
      </c>
      <c r="CU12" s="17">
        <f>CT12*VLOOKUP('Données projet'!$B$13,Paramètres!$A$1:$I$89,3,0)*VLOOKUP('Données projet'!$B$13,Paramètres!$A$1:$I$89,5,0)</f>
        <v>7.1339588100662858</v>
      </c>
      <c r="CV12" s="13">
        <f t="shared" si="41"/>
        <v>2.6155015444227643</v>
      </c>
      <c r="CW12" s="20">
        <f t="shared" si="13"/>
        <v>16.980310117401761</v>
      </c>
      <c r="CX12" s="59">
        <f t="shared" si="14"/>
        <v>284.64697678406844</v>
      </c>
      <c r="CY12" s="59">
        <f ca="1">AVERAGE(OFFSET($CX$3,0,0,'Données projet'!$E$13+1,1))-AVERAGE(OFFSET($H$3,0,0,'Données projet'!$E$13+1,1))</f>
        <v>292.57482726862594</v>
      </c>
      <c r="CZ12" s="59">
        <f t="shared" si="42"/>
        <v>283.48738729114024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2.1</v>
      </c>
      <c r="DO12" s="12">
        <f>IF('Données projet'!$A$166&gt;35,DO11+DN12-DW11,IF(A12&lt;'Données projet'!$A$166,$DL$205^A12,IF(A12='Données projet'!$A$166,'Données projet'!$B$166,DO11+DN12-DW11)))</f>
        <v>5.3760361537574148</v>
      </c>
      <c r="DP12" s="17">
        <f>DO12*VLOOKUP('Données projet'!$B$14,Paramètres!$A$1:$I$89,3,0)*VLOOKUP('Données projet'!$B$14,Paramètres!$A$1:$I$89,5,0)</f>
        <v>5.4513006599100189</v>
      </c>
      <c r="DQ12" s="13">
        <f t="shared" si="43"/>
        <v>2.062165822468125</v>
      </c>
      <c r="DR12" s="20">
        <f t="shared" si="16"/>
        <v>13.085954123475267</v>
      </c>
      <c r="DS12" s="59">
        <f t="shared" si="17"/>
        <v>280.75262079014198</v>
      </c>
      <c r="DT12" s="59">
        <f ca="1">AVERAGE(OFFSET($DS$3,0,0,'Données projet'!$E$14+1,1))-AVERAGE(OFFSET($H$3,0,0,'Données projet'!$E$14+1,1))</f>
        <v>475.47920969424894</v>
      </c>
      <c r="DU12" s="59">
        <f t="shared" si="44"/>
        <v>271.73544012419364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2.1</v>
      </c>
      <c r="EJ12" s="12">
        <f>IF('Données projet'!$A$192&gt;35,EJ11+EI12-ER11,IF(A12&lt;'Données projet'!$A$192,$EG$205^A12,IF(A12='Données projet'!$A$192,'Données projet'!$B$192,EJ11+EI12-ER11)))</f>
        <v>5.3760361537574148</v>
      </c>
      <c r="EK12" s="17">
        <f>EJ12*VLOOKUP('Données projet'!$B$15,Paramètres!$A$1:$I$89,3,0)*VLOOKUP('Données projet'!$B$15,Paramètres!$A$1:$I$89,5,0)</f>
        <v>4.8642375119197085</v>
      </c>
      <c r="EL12" s="13">
        <f t="shared" si="45"/>
        <v>1.8646542609995393</v>
      </c>
      <c r="EM12" s="20">
        <f t="shared" si="19"/>
        <v>11.719486504501022</v>
      </c>
      <c r="EN12" s="59">
        <f t="shared" si="20"/>
        <v>279.38615317116773</v>
      </c>
      <c r="EO12" s="59">
        <f ca="1">AVERAGE(OFFSET($EN$3,0,0,'Données projet'!$E$15+1,1))-AVERAGE(OFFSET($H$3,0,0,'Données projet'!$E$15+1,1))</f>
        <v>428.8489304403459</v>
      </c>
      <c r="EP12" s="59">
        <f t="shared" si="46"/>
        <v>247.01165577562966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8.4</v>
      </c>
      <c r="FE12" s="12">
        <f>IF('Données projet'!$A$218&gt;35,FE11+FD12-FM11,IF(A12&lt;'Données projet'!$A$218,$FB$205^A12,IF(A12='Données projet'!$A$218,'Données projet'!$B$218,FE11+FD12-FM11)))</f>
        <v>55.599999999999994</v>
      </c>
      <c r="FF12" s="17">
        <f>FE12*VLOOKUP('Données projet'!$B$16,Paramètres!$A$1:$I$89,3,0)*VLOOKUP('Données projet'!$B$16,Paramètres!$A$1:$I$89,5,0)</f>
        <v>50.30688</v>
      </c>
      <c r="FG12" s="13">
        <f t="shared" si="47"/>
        <v>14.692984516272311</v>
      </c>
      <c r="FH12" s="20">
        <f t="shared" si="22"/>
        <v>113.20809736584094</v>
      </c>
      <c r="FI12" s="59">
        <f t="shared" si="23"/>
        <v>380.87476403250764</v>
      </c>
      <c r="FJ12" s="59">
        <f ca="1">AVERAGE(OFFSET($FI$3,0,0,'Données projet'!$E$16+1,1))-AVERAGE(OFFSET($H$3,0,0,'Données projet'!$E$16+1,1))</f>
        <v>245.25496369542458</v>
      </c>
      <c r="FK12" s="59">
        <f t="shared" si="48"/>
        <v>342.30266518164211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0</v>
      </c>
      <c r="N13" s="13">
        <f>IF('Données projet'!$A$36&gt;35,N12+M13-V12,IF(A13&lt;'Données projet'!$A$36,$K$205^A13,IF(A13='Données projet'!$A$36,'Données projet'!$B$36,N12+M13-V12)))</f>
        <v>0</v>
      </c>
      <c r="O13" s="13" t="e">
        <f>N13*VLOOKUP('Données projet'!$B$9,Paramètres!$A$1:$I$89,3,0)*VLOOKUP('Données projet'!$B$9,Paramètres!$A$1:$I$89,5,0)</f>
        <v>#N/A</v>
      </c>
      <c r="P13" s="13" t="e">
        <f t="shared" si="33"/>
        <v>#N/A</v>
      </c>
      <c r="Q13" s="20" t="e">
        <f t="shared" si="2"/>
        <v>#N/A</v>
      </c>
      <c r="R13" s="59" t="e">
        <f t="shared" si="0"/>
        <v>#N/A</v>
      </c>
      <c r="S13" s="59" t="e">
        <f ca="1">AVERAGE(OFFSET($R$3,0,0,'Données projet'!$E$9+1,1))-AVERAGE(OFFSET($H$3,0,0,'Données projet'!$E$9+1,1))</f>
        <v>#N/A</v>
      </c>
      <c r="T13" s="59" t="e">
        <f t="shared" si="34"/>
        <v>#N/A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 t="e">
        <f>EXP(-LN(2)/35)*Z12+(1-EXP(-LN(2)/35))/(LN(2)/35)*V13*W13*VLOOKUP('Données projet'!$B$9,Paramètres!$A$1:$I$89,3,0)*0.475*44/12</f>
        <v>#N/A</v>
      </c>
      <c r="AA13" s="21" t="e">
        <f>EXP(-LN(2)/25)*AA12+(1-EXP(-LN(2)/25))/(LN(2)/25)*Calculateur!V13*Calculateur!X13*VLOOKUP('Données projet'!$B$9,Paramètres!$A$1:$I$89,3,0)*0.475*44/12</f>
        <v>#N/A</v>
      </c>
      <c r="AB13" s="21" t="e">
        <f>EXP(-LN(2)/2)*AB12+(1-EXP(-LN(2)/2))/(LN(2)/2)*V13*Y13*VLOOKUP('Données projet'!$B$9,Paramètres!$A$1:$I$89,3,0)*0.475*44/12</f>
        <v>#N/A</v>
      </c>
      <c r="AC13" s="22" t="e">
        <f t="shared" si="3"/>
        <v>#N/A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2.4666666666666668</v>
      </c>
      <c r="AI13" s="13">
        <f>IF('Données projet'!$A$62&gt;35,AI12+AH13-AQ12,IF(A13&lt;'Données projet'!$A$62,$AF$205^A13,IF(A13='Données projet'!$A$62,'Données projet'!$B$62,AI12+AH13-AQ12)))</f>
        <v>11.103702468586782</v>
      </c>
      <c r="AJ13" s="13">
        <f>AI13*VLOOKUP('Données projet'!$B$10,Paramètres!$A$1:$I$89,3,0)*VLOOKUP('Données projet'!$B$10,Paramètres!$A$1:$I$89,5,0)</f>
        <v>9.7001944765574137</v>
      </c>
      <c r="AK13" s="13">
        <f t="shared" si="35"/>
        <v>3.4313993360317685</v>
      </c>
      <c r="AL13" s="20">
        <f t="shared" si="4"/>
        <v>22.870859223592827</v>
      </c>
      <c r="AM13" s="59">
        <f t="shared" si="5"/>
        <v>291.7597481124817</v>
      </c>
      <c r="AN13" s="59">
        <f ca="1">AVERAGE(OFFSET($AM$3,0,0,'Données projet'!$E$10+1,1))-AVERAGE(OFFSET($H$3,0,0,'Données projet'!$E$10+1,1))</f>
        <v>338.55719679154777</v>
      </c>
      <c r="AO13" s="59">
        <f t="shared" si="36"/>
        <v>371.26234252426531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2.2649572649572649</v>
      </c>
      <c r="BD13" s="12">
        <f>IF('Données projet'!$A$88&gt;35,BD12+BC13-BL12,IF(A13&lt;'Données projet'!$A$88,$BA$205^A13,IF(A13='Données projet'!$A$88,'Données projet'!$B$88,BD12+BC13-BL12)))</f>
        <v>10.489807396125579</v>
      </c>
      <c r="BE13" s="13">
        <f>BD13*VLOOKUP('Données projet'!$B$11,Paramètres!$A$1:$I$89,3,0)*VLOOKUP('Données projet'!$B$11,Paramètres!$A$1:$I$89,5,0)</f>
        <v>9.9821007181531005</v>
      </c>
      <c r="BF13" s="13">
        <f t="shared" si="37"/>
        <v>3.5193671639432234</v>
      </c>
      <c r="BG13" s="20">
        <f t="shared" si="7"/>
        <v>23.515056561317763</v>
      </c>
      <c r="BH13" s="59">
        <f t="shared" si="8"/>
        <v>292.40394545020661</v>
      </c>
      <c r="BI13" s="59">
        <f ca="1">AVERAGE(OFFSET($BH$3,0,0,'Données projet'!$E$11+1,1))-AVERAGE(OFFSET($H$3,0,0,'Données projet'!$E$11+1,1))</f>
        <v>351.6178679548006</v>
      </c>
      <c r="BJ13" s="59">
        <f t="shared" si="38"/>
        <v>244.7141066773861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3.4358974358974361</v>
      </c>
      <c r="BY13" s="12">
        <f>IF('Données projet'!$A$114&gt;35,BY12+BX13-CG12,IF(A13&lt;'Données projet'!$A$114,$BV$205^A13,IF(A13='Données projet'!$A$114,'Données projet'!$B$114,BY12+BX13-CG12)))</f>
        <v>4.6887147848714186</v>
      </c>
      <c r="BZ13" s="13">
        <f>BY13*VLOOKUP('Données projet'!$B$12,Paramètres!$A$1:$I$89,3,0)*VLOOKUP('Données projet'!$B$12,Paramètres!$A$1:$I$89,5,0)</f>
        <v>2.194318519319824</v>
      </c>
      <c r="CA13" s="13">
        <f t="shared" si="39"/>
        <v>0.9228358380932653</v>
      </c>
      <c r="CB13" s="20">
        <f t="shared" si="10"/>
        <v>5.4290438391611309</v>
      </c>
      <c r="CC13" s="59">
        <f t="shared" si="11"/>
        <v>274.31793272804998</v>
      </c>
      <c r="CD13" s="59">
        <f ca="1">AVERAGE(OFFSET($CC$3,0,0,'Données projet'!$E$12+1,1))-AVERAGE(OFFSET($H$3,0,0,'Données projet'!$E$12+1,1))</f>
        <v>246.66630850723385</v>
      </c>
      <c r="CE13" s="59">
        <f t="shared" si="40"/>
        <v>145.34368562171613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2.6666666666666665</v>
      </c>
      <c r="CT13" s="12">
        <f>IF('Données projet'!$A$140&gt;35,CT12+CS13-DB12,IF(A13&lt;'Données projet'!$A$140,$CQ$205^A13,IF(A13='Données projet'!$A$140,'Données projet'!$B$140,CT12+CS13-DB12)))</f>
        <v>11.696070952851455</v>
      </c>
      <c r="CU13" s="17">
        <f>CT13*VLOOKUP('Données projet'!$B$13,Paramètres!$A$1:$I$89,3,0)*VLOOKUP('Données projet'!$B$13,Paramètres!$A$1:$I$89,5,0)</f>
        <v>9.1229353432241354</v>
      </c>
      <c r="CV13" s="13">
        <f t="shared" si="41"/>
        <v>3.2503265450485803</v>
      </c>
      <c r="CW13" s="20">
        <f t="shared" si="13"/>
        <v>21.550097788741649</v>
      </c>
      <c r="CX13" s="59">
        <f t="shared" si="14"/>
        <v>290.43898667763051</v>
      </c>
      <c r="CY13" s="59">
        <f ca="1">AVERAGE(OFFSET($CX$3,0,0,'Données projet'!$E$13+1,1))-AVERAGE(OFFSET($H$3,0,0,'Données projet'!$E$13+1,1))</f>
        <v>292.57482726862594</v>
      </c>
      <c r="CZ13" s="59">
        <f t="shared" si="42"/>
        <v>283.48738729114024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2.1</v>
      </c>
      <c r="DO13" s="12">
        <f>IF('Données projet'!$A$166&gt;35,DO12+DN13-DW12,IF(A13&lt;'Données projet'!$A$166,$DL$205^A13,IF(A13='Données projet'!$A$166,'Données projet'!$B$166,DO12+DN13-DW12)))</f>
        <v>6.4807406984078657</v>
      </c>
      <c r="DP13" s="17">
        <f>DO13*VLOOKUP('Données projet'!$B$14,Paramètres!$A$1:$I$89,3,0)*VLOOKUP('Données projet'!$B$14,Paramètres!$A$1:$I$89,5,0)</f>
        <v>6.5714710681855761</v>
      </c>
      <c r="DQ13" s="13">
        <f t="shared" si="43"/>
        <v>2.4324209676242781</v>
      </c>
      <c r="DR13" s="20">
        <f t="shared" si="16"/>
        <v>15.681778629035497</v>
      </c>
      <c r="DS13" s="59">
        <f t="shared" si="17"/>
        <v>284.57066751792433</v>
      </c>
      <c r="DT13" s="59">
        <f ca="1">AVERAGE(OFFSET($DS$3,0,0,'Données projet'!$E$14+1,1))-AVERAGE(OFFSET($H$3,0,0,'Données projet'!$E$14+1,1))</f>
        <v>475.47920969424894</v>
      </c>
      <c r="DU13" s="59">
        <f t="shared" si="44"/>
        <v>271.73544012419364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2.1</v>
      </c>
      <c r="EJ13" s="12">
        <f>IF('Données projet'!$A$192&gt;35,EJ12+EI13-ER12,IF(A13&lt;'Données projet'!$A$192,$EG$205^A13,IF(A13='Données projet'!$A$192,'Données projet'!$B$192,EJ12+EI13-ER12)))</f>
        <v>6.4807406984078657</v>
      </c>
      <c r="EK13" s="17">
        <f>EJ13*VLOOKUP('Données projet'!$B$15,Paramètres!$A$1:$I$89,3,0)*VLOOKUP('Données projet'!$B$15,Paramètres!$A$1:$I$89,5,0)</f>
        <v>5.8637741839194364</v>
      </c>
      <c r="EL13" s="13">
        <f t="shared" si="45"/>
        <v>2.1994468497187687</v>
      </c>
      <c r="EM13" s="20">
        <f t="shared" si="19"/>
        <v>14.043443300253207</v>
      </c>
      <c r="EN13" s="59">
        <f t="shared" si="20"/>
        <v>282.93233218914207</v>
      </c>
      <c r="EO13" s="59">
        <f ca="1">AVERAGE(OFFSET($EN$3,0,0,'Données projet'!$E$15+1,1))-AVERAGE(OFFSET($H$3,0,0,'Données projet'!$E$15+1,1))</f>
        <v>428.8489304403459</v>
      </c>
      <c r="EP13" s="59">
        <f t="shared" si="46"/>
        <v>247.01165577562966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64</v>
      </c>
      <c r="FC13" s="12">
        <f>VLOOKUP(A13,'Données projet'!$A$217:$I$237,9,0)</f>
        <v>8.4</v>
      </c>
      <c r="FD13" s="12">
        <f t="array" ref="FD13">INDEX(FC:FC,MIN(IF(ISNUMBER(FC13:FC209),ROW(FC13:FC209),"")))</f>
        <v>8.4</v>
      </c>
      <c r="FE13" s="12">
        <f>IF('Données projet'!$A$218&gt;35,FE12+FD13-FM12,IF(A13&lt;'Données projet'!$A$218,$FB$205^A13,IF(A13='Données projet'!$A$218,'Données projet'!$B$218,FE12+FD13-FM12)))</f>
        <v>63.999999999999993</v>
      </c>
      <c r="FF13" s="17">
        <f>FE13*VLOOKUP('Données projet'!$B$16,Paramètres!$A$1:$I$89,3,0)*VLOOKUP('Données projet'!$B$16,Paramètres!$A$1:$I$89,5,0)</f>
        <v>57.907199999999989</v>
      </c>
      <c r="FG13" s="13">
        <f t="shared" si="47"/>
        <v>16.638055172385986</v>
      </c>
      <c r="FH13" s="20">
        <f t="shared" si="22"/>
        <v>129.83298609190555</v>
      </c>
      <c r="FI13" s="59">
        <f t="shared" si="23"/>
        <v>398.72187498079438</v>
      </c>
      <c r="FJ13" s="59">
        <f ca="1">AVERAGE(OFFSET($FI$3,0,0,'Données projet'!$E$16+1,1))-AVERAGE(OFFSET($H$3,0,0,'Données projet'!$E$16+1,1))</f>
        <v>245.25496369542458</v>
      </c>
      <c r="FK13" s="59">
        <f t="shared" si="48"/>
        <v>342.30266518164211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17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0</v>
      </c>
      <c r="N14" s="13">
        <f>IF('Données projet'!$A$36&gt;35,N13+M14-V13,IF(A14&lt;'Données projet'!$A$36,$K$205^A14,IF(A14='Données projet'!$A$36,'Données projet'!$B$36,N13+M14-V13)))</f>
        <v>0</v>
      </c>
      <c r="O14" s="13" t="e">
        <f>N14*VLOOKUP('Données projet'!$B$9,Paramètres!$A$1:$I$89,3,0)*VLOOKUP('Données projet'!$B$9,Paramètres!$A$1:$I$89,5,0)</f>
        <v>#N/A</v>
      </c>
      <c r="P14" s="13" t="e">
        <f t="shared" si="33"/>
        <v>#N/A</v>
      </c>
      <c r="Q14" s="20" t="e">
        <f t="shared" si="2"/>
        <v>#N/A</v>
      </c>
      <c r="R14" s="59" t="e">
        <f t="shared" si="0"/>
        <v>#N/A</v>
      </c>
      <c r="S14" s="59" t="e">
        <f ca="1">AVERAGE(OFFSET($R$3,0,0,'Données projet'!$E$9+1,1))-AVERAGE(OFFSET($H$3,0,0,'Données projet'!$E$9+1,1))</f>
        <v>#N/A</v>
      </c>
      <c r="T14" s="59" t="e">
        <f t="shared" si="34"/>
        <v>#N/A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 t="e">
        <f>EXP(-LN(2)/35)*Z13+(1-EXP(-LN(2)/35))/(LN(2)/35)*V14*W14*VLOOKUP('Données projet'!$B$9,Paramètres!$A$1:$I$89,3,0)*0.475*44/12</f>
        <v>#N/A</v>
      </c>
      <c r="AA14" s="21" t="e">
        <f>EXP(-LN(2)/25)*AA13+(1-EXP(-LN(2)/25))/(LN(2)/25)*Calculateur!V14*Calculateur!X14*VLOOKUP('Données projet'!$B$9,Paramètres!$A$1:$I$89,3,0)*0.475*44/12</f>
        <v>#N/A</v>
      </c>
      <c r="AB14" s="21" t="e">
        <f>EXP(-LN(2)/2)*AB13+(1-EXP(-LN(2)/2))/(LN(2)/2)*V14*Y14*VLOOKUP('Données projet'!$B$9,Paramètres!$A$1:$I$89,3,0)*0.475*44/12</f>
        <v>#N/A</v>
      </c>
      <c r="AC14" s="22" t="e">
        <f t="shared" si="3"/>
        <v>#N/A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2.4666666666666668</v>
      </c>
      <c r="AI14" s="13">
        <f>IF('Données projet'!$A$62&gt;35,AI13+AH14-AQ13,IF(A14&lt;'Données projet'!$A$62,$AF$205^A14,IF(A14='Données projet'!$A$62,'Données projet'!$B$62,AI13+AH14-AQ13)))</f>
        <v>14.125850240977657</v>
      </c>
      <c r="AJ14" s="13">
        <f>AI14*VLOOKUP('Données projet'!$B$10,Paramètres!$A$1:$I$89,3,0)*VLOOKUP('Données projet'!$B$10,Paramètres!$A$1:$I$89,5,0)</f>
        <v>12.340342770518083</v>
      </c>
      <c r="AK14" s="13">
        <f t="shared" si="35"/>
        <v>4.2447175714913801</v>
      </c>
      <c r="AL14" s="20">
        <f t="shared" si="4"/>
        <v>28.885646762333149</v>
      </c>
      <c r="AM14" s="59">
        <f t="shared" si="5"/>
        <v>298.99675787344427</v>
      </c>
      <c r="AN14" s="59">
        <f ca="1">AVERAGE(OFFSET($AM$3,0,0,'Données projet'!$E$10+1,1))-AVERAGE(OFFSET($H$3,0,0,'Données projet'!$E$10+1,1))</f>
        <v>338.55719679154777</v>
      </c>
      <c r="AO14" s="59">
        <f t="shared" si="36"/>
        <v>371.26234252426531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2.2649572649572649</v>
      </c>
      <c r="BD14" s="12">
        <f>IF('Données projet'!$A$88&gt;35,BD13+BC14-BL13,IF(A14&lt;'Données projet'!$A$88,$BA$205^A14,IF(A14='Données projet'!$A$88,'Données projet'!$B$88,BD13+BC14-BL13)))</f>
        <v>13.269185503582337</v>
      </c>
      <c r="BE14" s="13">
        <f>BD14*VLOOKUP('Données projet'!$B$11,Paramètres!$A$1:$I$89,3,0)*VLOOKUP('Données projet'!$B$11,Paramètres!$A$1:$I$89,5,0)</f>
        <v>12.626956925208951</v>
      </c>
      <c r="BF14" s="13">
        <f t="shared" si="37"/>
        <v>4.3317122097359233</v>
      </c>
      <c r="BG14" s="20">
        <f t="shared" si="7"/>
        <v>29.536348743362321</v>
      </c>
      <c r="BH14" s="59">
        <f t="shared" si="8"/>
        <v>299.64745985447348</v>
      </c>
      <c r="BI14" s="59">
        <f ca="1">AVERAGE(OFFSET($BH$3,0,0,'Données projet'!$E$11+1,1))-AVERAGE(OFFSET($H$3,0,0,'Données projet'!$E$11+1,1))</f>
        <v>351.6178679548006</v>
      </c>
      <c r="BJ14" s="59">
        <f t="shared" si="38"/>
        <v>244.7141066773861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3.4358974358974361</v>
      </c>
      <c r="BY14" s="12">
        <f>IF('Données projet'!$A$114&gt;35,BY13+BX14-CG13,IF(A14&lt;'Données projet'!$A$114,$BV$205^A14,IF(A14='Données projet'!$A$114,'Données projet'!$B$114,BY13+BX14-CG13)))</f>
        <v>5.472165162174039</v>
      </c>
      <c r="BZ14" s="13">
        <f>BY14*VLOOKUP('Données projet'!$B$12,Paramètres!$A$1:$I$89,3,0)*VLOOKUP('Données projet'!$B$12,Paramètres!$A$1:$I$89,5,0)</f>
        <v>2.5609732958974503</v>
      </c>
      <c r="CA14" s="13">
        <f t="shared" si="39"/>
        <v>1.0578370334547251</v>
      </c>
      <c r="CB14" s="20">
        <f t="shared" si="10"/>
        <v>6.3027613236217057</v>
      </c>
      <c r="CC14" s="59">
        <f t="shared" si="11"/>
        <v>276.41387243473287</v>
      </c>
      <c r="CD14" s="59">
        <f ca="1">AVERAGE(OFFSET($CC$3,0,0,'Données projet'!$E$12+1,1))-AVERAGE(OFFSET($H$3,0,0,'Données projet'!$E$12+1,1))</f>
        <v>246.66630850723385</v>
      </c>
      <c r="CE14" s="59">
        <f t="shared" si="40"/>
        <v>145.34368562171613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2.6666666666666665</v>
      </c>
      <c r="CT14" s="12">
        <f>IF('Données projet'!$A$140&gt;35,CT13+CS14-DB13,IF(A14&lt;'Données projet'!$A$140,$CQ$205^A14,IF(A14='Données projet'!$A$140,'Données projet'!$B$140,CT13+CS14-DB13)))</f>
        <v>14.956982779612416</v>
      </c>
      <c r="CU14" s="17">
        <f>CT14*VLOOKUP('Données projet'!$B$13,Paramètres!$A$1:$I$89,3,0)*VLOOKUP('Données projet'!$B$13,Paramètres!$A$1:$I$89,5,0)</f>
        <v>11.666446568097685</v>
      </c>
      <c r="CV14" s="13">
        <f t="shared" si="41"/>
        <v>4.0392339557111736</v>
      </c>
      <c r="CW14" s="20">
        <f t="shared" si="13"/>
        <v>27.354060245633761</v>
      </c>
      <c r="CX14" s="59">
        <f t="shared" si="14"/>
        <v>297.46517135674492</v>
      </c>
      <c r="CY14" s="59">
        <f ca="1">AVERAGE(OFFSET($CX$3,0,0,'Données projet'!$E$13+1,1))-AVERAGE(OFFSET($H$3,0,0,'Données projet'!$E$13+1,1))</f>
        <v>292.57482726862594</v>
      </c>
      <c r="CZ14" s="59">
        <f t="shared" si="42"/>
        <v>283.48738729114024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2.1</v>
      </c>
      <c r="DO14" s="12">
        <f>IF('Données projet'!$A$166&gt;35,DO13+DN14-DW13,IF(A14&lt;'Données projet'!$A$166,$DL$205^A14,IF(A14='Données projet'!$A$166,'Données projet'!$B$166,DO13+DN14-DW13)))</f>
        <v>7.8124474610620815</v>
      </c>
      <c r="DP14" s="17">
        <f>DO14*VLOOKUP('Données projet'!$B$14,Paramètres!$A$1:$I$89,3,0)*VLOOKUP('Données projet'!$B$14,Paramètres!$A$1:$I$89,5,0)</f>
        <v>7.921821725516951</v>
      </c>
      <c r="DQ14" s="13">
        <f t="shared" si="43"/>
        <v>2.869154216054651</v>
      </c>
      <c r="DR14" s="20">
        <f t="shared" si="16"/>
        <v>18.794283098237205</v>
      </c>
      <c r="DS14" s="59">
        <f t="shared" si="17"/>
        <v>288.90539420934834</v>
      </c>
      <c r="DT14" s="59">
        <f ca="1">AVERAGE(OFFSET($DS$3,0,0,'Données projet'!$E$14+1,1))-AVERAGE(OFFSET($H$3,0,0,'Données projet'!$E$14+1,1))</f>
        <v>475.47920969424894</v>
      </c>
      <c r="DU14" s="59">
        <f t="shared" si="44"/>
        <v>271.73544012419364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2.1</v>
      </c>
      <c r="EJ14" s="12">
        <f>IF('Données projet'!$A$192&gt;35,EJ13+EI14-ER13,IF(A14&lt;'Données projet'!$A$192,$EG$205^A14,IF(A14='Données projet'!$A$192,'Données projet'!$B$192,EJ13+EI14-ER13)))</f>
        <v>7.8124474610620815</v>
      </c>
      <c r="EK14" s="17">
        <f>EJ14*VLOOKUP('Données projet'!$B$15,Paramètres!$A$1:$I$89,3,0)*VLOOKUP('Données projet'!$B$15,Paramètres!$A$1:$I$89,5,0)</f>
        <v>7.0687024627689707</v>
      </c>
      <c r="EL14" s="13">
        <f t="shared" si="45"/>
        <v>2.5943503554083325</v>
      </c>
      <c r="EM14" s="20">
        <f t="shared" si="19"/>
        <v>16.829816991658799</v>
      </c>
      <c r="EN14" s="59">
        <f t="shared" si="20"/>
        <v>286.94092810276993</v>
      </c>
      <c r="EO14" s="59">
        <f ca="1">AVERAGE(OFFSET($EN$3,0,0,'Données projet'!$E$15+1,1))-AVERAGE(OFFSET($H$3,0,0,'Données projet'!$E$15+1,1))</f>
        <v>428.8489304403459</v>
      </c>
      <c r="EP14" s="59">
        <f t="shared" si="46"/>
        <v>247.01165577562966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8.4</v>
      </c>
      <c r="FE14" s="12">
        <f>IF('Données projet'!$A$218&gt;35,FE13+FD14-FM13,IF(A14&lt;'Données projet'!$A$218,$FB$205^A14,IF(A14='Données projet'!$A$218,'Données projet'!$B$218,FE13+FD14-FM13)))</f>
        <v>55.399999999999991</v>
      </c>
      <c r="FF14" s="17">
        <f>FE14*VLOOKUP('Données projet'!$B$16,Paramètres!$A$1:$I$89,3,0)*VLOOKUP('Données projet'!$B$16,Paramètres!$A$1:$I$89,5,0)</f>
        <v>50.125919999999986</v>
      </c>
      <c r="FG14" s="13">
        <f t="shared" si="47"/>
        <v>14.646274290627822</v>
      </c>
      <c r="FH14" s="20">
        <f t="shared" si="22"/>
        <v>112.81157172284342</v>
      </c>
      <c r="FI14" s="59">
        <f t="shared" si="23"/>
        <v>382.92268283395458</v>
      </c>
      <c r="FJ14" s="59">
        <f ca="1">AVERAGE(OFFSET($FI$3,0,0,'Données projet'!$E$16+1,1))-AVERAGE(OFFSET($H$3,0,0,'Données projet'!$E$16+1,1))</f>
        <v>245.25496369542458</v>
      </c>
      <c r="FK14" s="59">
        <f t="shared" si="48"/>
        <v>342.30266518164211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0</v>
      </c>
      <c r="N15" s="13">
        <f>IF('Données projet'!$A$36&gt;35,N14+M15-V14,IF(A15&lt;'Données projet'!$A$36,$K$205^A15,IF(A15='Données projet'!$A$36,'Données projet'!$B$36,N14+M15-V14)))</f>
        <v>0</v>
      </c>
      <c r="O15" s="13" t="e">
        <f>N15*VLOOKUP('Données projet'!$B$9,Paramètres!$A$1:$I$89,3,0)*VLOOKUP('Données projet'!$B$9,Paramètres!$A$1:$I$89,5,0)</f>
        <v>#N/A</v>
      </c>
      <c r="P15" s="13" t="e">
        <f t="shared" si="33"/>
        <v>#N/A</v>
      </c>
      <c r="Q15" s="20" t="e">
        <f t="shared" si="2"/>
        <v>#N/A</v>
      </c>
      <c r="R15" s="59" t="e">
        <f t="shared" si="0"/>
        <v>#N/A</v>
      </c>
      <c r="S15" s="59" t="e">
        <f ca="1">AVERAGE(OFFSET($R$3,0,0,'Données projet'!$E$9+1,1))-AVERAGE(OFFSET($H$3,0,0,'Données projet'!$E$9+1,1))</f>
        <v>#N/A</v>
      </c>
      <c r="T15" s="59" t="e">
        <f t="shared" si="34"/>
        <v>#N/A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 t="e">
        <f>EXP(-LN(2)/35)*Z14+(1-EXP(-LN(2)/35))/(LN(2)/35)*V15*W15*VLOOKUP('Données projet'!$B$9,Paramètres!$A$1:$I$89,3,0)*0.475*44/12</f>
        <v>#N/A</v>
      </c>
      <c r="AA15" s="21" t="e">
        <f>EXP(-LN(2)/25)*AA14+(1-EXP(-LN(2)/25))/(LN(2)/25)*Calculateur!V15*Calculateur!X15*VLOOKUP('Données projet'!$B$9,Paramètres!$A$1:$I$89,3,0)*0.475*44/12</f>
        <v>#N/A</v>
      </c>
      <c r="AB15" s="21" t="e">
        <f>EXP(-LN(2)/2)*AB14+(1-EXP(-LN(2)/2))/(LN(2)/2)*V15*Y15*VLOOKUP('Données projet'!$B$9,Paramètres!$A$1:$I$89,3,0)*0.475*44/12</f>
        <v>#N/A</v>
      </c>
      <c r="AC15" s="22" t="e">
        <f t="shared" si="3"/>
        <v>#N/A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2.4666666666666668</v>
      </c>
      <c r="AI15" s="13">
        <f>IF('Données projet'!$A$62&gt;35,AI14+AH15-AQ14,IF(A15&lt;'Données projet'!$A$62,$AF$205^A15,IF(A15='Données projet'!$A$62,'Données projet'!$B$62,AI14+AH15-AQ14)))</f>
        <v>17.970550417308221</v>
      </c>
      <c r="AJ15" s="13">
        <f>AI15*VLOOKUP('Données projet'!$B$10,Paramètres!$A$1:$I$89,3,0)*VLOOKUP('Données projet'!$B$10,Paramètres!$A$1:$I$89,5,0)</f>
        <v>15.699072844560465</v>
      </c>
      <c r="AK15" s="13">
        <f t="shared" si="35"/>
        <v>5.250810382962916</v>
      </c>
      <c r="AL15" s="20">
        <f t="shared" si="4"/>
        <v>36.48771328793655</v>
      </c>
      <c r="AM15" s="59">
        <f t="shared" si="5"/>
        <v>307.82104662126989</v>
      </c>
      <c r="AN15" s="59">
        <f ca="1">AVERAGE(OFFSET($AM$3,0,0,'Données projet'!$E$10+1,1))-AVERAGE(OFFSET($H$3,0,0,'Données projet'!$E$10+1,1))</f>
        <v>338.55719679154777</v>
      </c>
      <c r="AO15" s="59">
        <f t="shared" si="36"/>
        <v>371.26234252426531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2.2649572649572649</v>
      </c>
      <c r="BD15" s="12">
        <f>IF('Données projet'!$A$88&gt;35,BD14+BC15-BL14,IF(A15&lt;'Données projet'!$A$88,$BA$205^A15,IF(A15='Données projet'!$A$88,'Données projet'!$B$88,BD14+BC15-BL14)))</f>
        <v>16.784987300482918</v>
      </c>
      <c r="BE15" s="13">
        <f>BD15*VLOOKUP('Données projet'!$B$11,Paramètres!$A$1:$I$89,3,0)*VLOOKUP('Données projet'!$B$11,Paramètres!$A$1:$I$89,5,0)</f>
        <v>15.972593915139546</v>
      </c>
      <c r="BF15" s="13">
        <f t="shared" si="37"/>
        <v>5.3315638277853701</v>
      </c>
      <c r="BG15" s="20">
        <f t="shared" si="7"/>
        <v>37.104741402260892</v>
      </c>
      <c r="BH15" s="59">
        <f t="shared" si="8"/>
        <v>308.43807473559423</v>
      </c>
      <c r="BI15" s="59">
        <f ca="1">AVERAGE(OFFSET($BH$3,0,0,'Données projet'!$E$11+1,1))-AVERAGE(OFFSET($H$3,0,0,'Données projet'!$E$11+1,1))</f>
        <v>351.6178679548006</v>
      </c>
      <c r="BJ15" s="59">
        <f t="shared" si="38"/>
        <v>244.7141066773861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3.4358974358974361</v>
      </c>
      <c r="BY15" s="12">
        <f>IF('Données projet'!$A$114&gt;35,BY14+BX15-CG14,IF(A15&lt;'Données projet'!$A$114,$BV$205^A15,IF(A15='Données projet'!$A$114,'Données projet'!$B$114,BY14+BX15-CG14)))</f>
        <v>6.3865244392195226</v>
      </c>
      <c r="BZ15" s="13">
        <f>BY15*VLOOKUP('Données projet'!$B$12,Paramètres!$A$1:$I$89,3,0)*VLOOKUP('Données projet'!$B$12,Paramètres!$A$1:$I$89,5,0)</f>
        <v>2.9888934375547365</v>
      </c>
      <c r="CA15" s="13">
        <f t="shared" si="39"/>
        <v>1.2125874864812094</v>
      </c>
      <c r="CB15" s="20">
        <f t="shared" si="10"/>
        <v>7.3175792760292708</v>
      </c>
      <c r="CC15" s="59">
        <f t="shared" si="11"/>
        <v>278.65091260936259</v>
      </c>
      <c r="CD15" s="59">
        <f ca="1">AVERAGE(OFFSET($CC$3,0,0,'Données projet'!$E$12+1,1))-AVERAGE(OFFSET($H$3,0,0,'Données projet'!$E$12+1,1))</f>
        <v>246.66630850723385</v>
      </c>
      <c r="CE15" s="59">
        <f t="shared" si="40"/>
        <v>145.34368562171613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2.6666666666666665</v>
      </c>
      <c r="CT15" s="12">
        <f>IF('Données projet'!$A$140&gt;35,CT14+CS15-DB14,IF(A15&lt;'Données projet'!$A$140,$CQ$205^A15,IF(A15='Données projet'!$A$140,'Données projet'!$B$140,CT14+CS15-DB14)))</f>
        <v>19.127049995800721</v>
      </c>
      <c r="CU15" s="17">
        <f>CT15*VLOOKUP('Données projet'!$B$13,Paramètres!$A$1:$I$89,3,0)*VLOOKUP('Données projet'!$B$13,Paramètres!$A$1:$I$89,5,0)</f>
        <v>14.919098996724562</v>
      </c>
      <c r="CV15" s="13">
        <f t="shared" si="41"/>
        <v>5.019622097301081</v>
      </c>
      <c r="CW15" s="20">
        <f t="shared" si="13"/>
        <v>34.726605905427995</v>
      </c>
      <c r="CX15" s="59">
        <f t="shared" si="14"/>
        <v>306.05993923876133</v>
      </c>
      <c r="CY15" s="59">
        <f ca="1">AVERAGE(OFFSET($CX$3,0,0,'Données projet'!$E$13+1,1))-AVERAGE(OFFSET($H$3,0,0,'Données projet'!$E$13+1,1))</f>
        <v>292.57482726862594</v>
      </c>
      <c r="CZ15" s="59">
        <f t="shared" si="42"/>
        <v>283.48738729114024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2.1</v>
      </c>
      <c r="DO15" s="12">
        <f>IF('Données projet'!$A$166&gt;35,DO14+DN15-DW14,IF(A15&lt;'Données projet'!$A$166,$DL$205^A15,IF(A15='Données projet'!$A$166,'Données projet'!$B$166,DO14+DN15-DW14)))</f>
        <v>9.4178024044149407</v>
      </c>
      <c r="DP15" s="17">
        <f>DO15*VLOOKUP('Données projet'!$B$14,Paramètres!$A$1:$I$89,3,0)*VLOOKUP('Données projet'!$B$14,Paramètres!$A$1:$I$89,5,0)</f>
        <v>9.5496516380767513</v>
      </c>
      <c r="DQ15" s="13">
        <f t="shared" si="43"/>
        <v>3.3843014943027487</v>
      </c>
      <c r="DR15" s="20">
        <f t="shared" si="16"/>
        <v>22.526635038894295</v>
      </c>
      <c r="DS15" s="59">
        <f t="shared" si="17"/>
        <v>293.85996837222763</v>
      </c>
      <c r="DT15" s="59">
        <f ca="1">AVERAGE(OFFSET($DS$3,0,0,'Données projet'!$E$14+1,1))-AVERAGE(OFFSET($H$3,0,0,'Données projet'!$E$14+1,1))</f>
        <v>475.47920969424894</v>
      </c>
      <c r="DU15" s="59">
        <f t="shared" si="44"/>
        <v>271.73544012419364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2.1</v>
      </c>
      <c r="EJ15" s="12">
        <f>IF('Données projet'!$A$192&gt;35,EJ14+EI15-ER14,IF(A15&lt;'Données projet'!$A$192,$EG$205^A15,IF(A15='Données projet'!$A$192,'Données projet'!$B$192,EJ14+EI15-ER14)))</f>
        <v>9.4178024044149407</v>
      </c>
      <c r="EK15" s="17">
        <f>EJ15*VLOOKUP('Données projet'!$B$15,Paramètres!$A$1:$I$89,3,0)*VLOOKUP('Données projet'!$B$15,Paramètres!$A$1:$I$89,5,0)</f>
        <v>8.521227615514638</v>
      </c>
      <c r="EL15" s="13">
        <f t="shared" si="45"/>
        <v>3.0601574970852128</v>
      </c>
      <c r="EM15" s="20">
        <f t="shared" si="19"/>
        <v>20.170912404444739</v>
      </c>
      <c r="EN15" s="59">
        <f t="shared" si="20"/>
        <v>291.50424573777804</v>
      </c>
      <c r="EO15" s="59">
        <f ca="1">AVERAGE(OFFSET($EN$3,0,0,'Données projet'!$E$15+1,1))-AVERAGE(OFFSET($H$3,0,0,'Données projet'!$E$15+1,1))</f>
        <v>428.8489304403459</v>
      </c>
      <c r="EP15" s="59">
        <f t="shared" si="46"/>
        <v>247.01165577562966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8.4</v>
      </c>
      <c r="FE15" s="12">
        <f>IF('Données projet'!$A$218&gt;35,FE14+FD15-FM14,IF(A15&lt;'Données projet'!$A$218,$FB$205^A15,IF(A15='Données projet'!$A$218,'Données projet'!$B$218,FE14+FD15-FM14)))</f>
        <v>63.79999999999999</v>
      </c>
      <c r="FF15" s="17">
        <f>FE15*VLOOKUP('Données projet'!$B$16,Paramètres!$A$1:$I$89,3,0)*VLOOKUP('Données projet'!$B$16,Paramètres!$A$1:$I$89,5,0)</f>
        <v>57.72623999999999</v>
      </c>
      <c r="FG15" s="13">
        <f t="shared" si="47"/>
        <v>16.59210497713789</v>
      </c>
      <c r="FH15" s="20">
        <f t="shared" si="22"/>
        <v>129.43778416851515</v>
      </c>
      <c r="FI15" s="59">
        <f t="shared" si="23"/>
        <v>400.77111750184849</v>
      </c>
      <c r="FJ15" s="59">
        <f ca="1">AVERAGE(OFFSET($FI$3,0,0,'Données projet'!$E$16+1,1))-AVERAGE(OFFSET($H$3,0,0,'Données projet'!$E$16+1,1))</f>
        <v>245.25496369542458</v>
      </c>
      <c r="FK15" s="59">
        <f t="shared" si="48"/>
        <v>342.30266518164211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0</v>
      </c>
      <c r="N16" s="13">
        <f>IF('Données projet'!$A$36&gt;35,N15+M16-V15,IF(A16&lt;'Données projet'!$A$36,$K$205^A16,IF(A16='Données projet'!$A$36,'Données projet'!$B$36,N15+M16-V15)))</f>
        <v>0</v>
      </c>
      <c r="O16" s="13" t="e">
        <f>N16*VLOOKUP('Données projet'!$B$9,Paramètres!$A$1:$I$89,3,0)*VLOOKUP('Données projet'!$B$9,Paramètres!$A$1:$I$89,5,0)</f>
        <v>#N/A</v>
      </c>
      <c r="P16" s="13" t="e">
        <f t="shared" si="33"/>
        <v>#N/A</v>
      </c>
      <c r="Q16" s="20" t="e">
        <f t="shared" si="2"/>
        <v>#N/A</v>
      </c>
      <c r="R16" s="59" t="e">
        <f t="shared" si="0"/>
        <v>#N/A</v>
      </c>
      <c r="S16" s="59" t="e">
        <f ca="1">AVERAGE(OFFSET($R$3,0,0,'Données projet'!$E$9+1,1))-AVERAGE(OFFSET($H$3,0,0,'Données projet'!$E$9+1,1))</f>
        <v>#N/A</v>
      </c>
      <c r="T16" s="59" t="e">
        <f t="shared" si="34"/>
        <v>#N/A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 t="e">
        <f>EXP(-LN(2)/35)*Z15+(1-EXP(-LN(2)/35))/(LN(2)/35)*V16*W16*VLOOKUP('Données projet'!$B$9,Paramètres!$A$1:$I$89,3,0)*0.475*44/12</f>
        <v>#N/A</v>
      </c>
      <c r="AA16" s="21" t="e">
        <f>EXP(-LN(2)/25)*AA15+(1-EXP(-LN(2)/25))/(LN(2)/25)*Calculateur!V16*Calculateur!X16*VLOOKUP('Données projet'!$B$9,Paramètres!$A$1:$I$89,3,0)*0.475*44/12</f>
        <v>#N/A</v>
      </c>
      <c r="AB16" s="21" t="e">
        <f>EXP(-LN(2)/2)*AB15+(1-EXP(-LN(2)/2))/(LN(2)/2)*V16*Y16*VLOOKUP('Données projet'!$B$9,Paramètres!$A$1:$I$89,3,0)*0.475*44/12</f>
        <v>#N/A</v>
      </c>
      <c r="AC16" s="22" t="e">
        <f t="shared" si="3"/>
        <v>#N/A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2.4666666666666668</v>
      </c>
      <c r="AI16" s="13">
        <f>IF('Données projet'!$A$62&gt;35,AI15+AH16-AQ15,IF(A16&lt;'Données projet'!$A$62,$AF$205^A16,IF(A16='Données projet'!$A$62,'Données projet'!$B$62,AI15+AH16-AQ15)))</f>
        <v>22.86168101684942</v>
      </c>
      <c r="AJ16" s="13">
        <f>AI16*VLOOKUP('Données projet'!$B$10,Paramètres!$A$1:$I$89,3,0)*VLOOKUP('Données projet'!$B$10,Paramètres!$A$1:$I$89,5,0)</f>
        <v>19.971964536319657</v>
      </c>
      <c r="AK16" s="13">
        <f t="shared" si="35"/>
        <v>6.4953696479137237</v>
      </c>
      <c r="AL16" s="20">
        <f t="shared" si="4"/>
        <v>46.097273704206465</v>
      </c>
      <c r="AM16" s="59">
        <f t="shared" si="5"/>
        <v>318.65282925976203</v>
      </c>
      <c r="AN16" s="59">
        <f ca="1">AVERAGE(OFFSET($AM$3,0,0,'Données projet'!$E$10+1,1))-AVERAGE(OFFSET($H$3,0,0,'Données projet'!$E$10+1,1))</f>
        <v>338.55719679154777</v>
      </c>
      <c r="AO16" s="59">
        <f t="shared" si="36"/>
        <v>371.26234252426531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2.2649572649572649</v>
      </c>
      <c r="BD16" s="12">
        <f>IF('Données projet'!$A$88&gt;35,BD15+BC16-BL15,IF(A16&lt;'Données projet'!$A$88,$BA$205^A16,IF(A16='Données projet'!$A$88,'Données projet'!$B$88,BD15+BC16-BL15)))</f>
        <v>21.232335519110155</v>
      </c>
      <c r="BE16" s="13">
        <f>BD16*VLOOKUP('Données projet'!$B$11,Paramètres!$A$1:$I$89,3,0)*VLOOKUP('Données projet'!$B$11,Paramètres!$A$1:$I$89,5,0)</f>
        <v>20.204690479985224</v>
      </c>
      <c r="BF16" s="13">
        <f t="shared" si="37"/>
        <v>6.5622025364151133</v>
      </c>
      <c r="BG16" s="20">
        <f t="shared" si="7"/>
        <v>46.619005336897253</v>
      </c>
      <c r="BH16" s="59">
        <f t="shared" si="8"/>
        <v>319.1745608924528</v>
      </c>
      <c r="BI16" s="59">
        <f ca="1">AVERAGE(OFFSET($BH$3,0,0,'Données projet'!$E$11+1,1))-AVERAGE(OFFSET($H$3,0,0,'Données projet'!$E$11+1,1))</f>
        <v>351.6178679548006</v>
      </c>
      <c r="BJ16" s="59">
        <f t="shared" si="38"/>
        <v>244.7141066773861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3.4358974358974361</v>
      </c>
      <c r="BY16" s="12">
        <f>IF('Données projet'!$A$114&gt;35,BY15+BX16-CG15,IF(A16&lt;'Données projet'!$A$114,$BV$205^A16,IF(A16='Données projet'!$A$114,'Données projet'!$B$114,BY15+BX16-CG15)))</f>
        <v>7.4536665476931043</v>
      </c>
      <c r="BZ16" s="13">
        <f>BY16*VLOOKUP('Données projet'!$B$12,Paramètres!$A$1:$I$89,3,0)*VLOOKUP('Données projet'!$B$12,Paramètres!$A$1:$I$89,5,0)</f>
        <v>3.4883159443203726</v>
      </c>
      <c r="CA16" s="13">
        <f t="shared" si="39"/>
        <v>1.3899763062452366</v>
      </c>
      <c r="CB16" s="20">
        <f t="shared" si="10"/>
        <v>8.4963590030684362</v>
      </c>
      <c r="CC16" s="59">
        <f t="shared" si="11"/>
        <v>281.05191455862399</v>
      </c>
      <c r="CD16" s="59">
        <f ca="1">AVERAGE(OFFSET($CC$3,0,0,'Données projet'!$E$12+1,1))-AVERAGE(OFFSET($H$3,0,0,'Données projet'!$E$12+1,1))</f>
        <v>246.66630850723385</v>
      </c>
      <c r="CE16" s="59">
        <f t="shared" si="40"/>
        <v>145.34368562171613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2.6666666666666665</v>
      </c>
      <c r="CT16" s="12">
        <f>IF('Données projet'!$A$140&gt;35,CT15+CS16-DB15,IF(A16&lt;'Données projet'!$A$140,$CQ$205^A16,IF(A16='Données projet'!$A$140,'Données projet'!$B$140,CT15+CS16-DB15)))</f>
        <v>24.459748796430759</v>
      </c>
      <c r="CU16" s="17">
        <f>CT16*VLOOKUP('Données projet'!$B$13,Paramètres!$A$1:$I$89,3,0)*VLOOKUP('Données projet'!$B$13,Paramètres!$A$1:$I$89,5,0)</f>
        <v>19.078604061215994</v>
      </c>
      <c r="CV16" s="13">
        <f t="shared" si="41"/>
        <v>6.2379664748280286</v>
      </c>
      <c r="CW16" s="20">
        <f t="shared" si="13"/>
        <v>44.093027016943331</v>
      </c>
      <c r="CX16" s="59">
        <f t="shared" si="14"/>
        <v>316.64858257249887</v>
      </c>
      <c r="CY16" s="59">
        <f ca="1">AVERAGE(OFFSET($CX$3,0,0,'Données projet'!$E$13+1,1))-AVERAGE(OFFSET($H$3,0,0,'Données projet'!$E$13+1,1))</f>
        <v>292.57482726862594</v>
      </c>
      <c r="CZ16" s="59">
        <f t="shared" si="42"/>
        <v>283.48738729114024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2.1</v>
      </c>
      <c r="DO16" s="12">
        <f>IF('Données projet'!$A$166&gt;35,DO15+DN16-DW15,IF(A16&lt;'Données projet'!$A$166,$DL$205^A16,IF(A16='Données projet'!$A$166,'Données projet'!$B$166,DO15+DN16-DW15)))</f>
        <v>11.35303662145153</v>
      </c>
      <c r="DP16" s="17">
        <f>DO16*VLOOKUP('Données projet'!$B$14,Paramètres!$A$1:$I$89,3,0)*VLOOKUP('Données projet'!$B$14,Paramètres!$A$1:$I$89,5,0)</f>
        <v>11.511979134151852</v>
      </c>
      <c r="DQ16" s="13">
        <f t="shared" si="43"/>
        <v>3.9919417855793822</v>
      </c>
      <c r="DR16" s="20">
        <f t="shared" si="16"/>
        <v>27.002662268531896</v>
      </c>
      <c r="DS16" s="59">
        <f t="shared" si="17"/>
        <v>299.55821782408742</v>
      </c>
      <c r="DT16" s="59">
        <f ca="1">AVERAGE(OFFSET($DS$3,0,0,'Données projet'!$E$14+1,1))-AVERAGE(OFFSET($H$3,0,0,'Données projet'!$E$14+1,1))</f>
        <v>475.47920969424894</v>
      </c>
      <c r="DU16" s="59">
        <f t="shared" si="44"/>
        <v>271.73544012419364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2.1</v>
      </c>
      <c r="EJ16" s="12">
        <f>IF('Données projet'!$A$192&gt;35,EJ15+EI16-ER15,IF(A16&lt;'Données projet'!$A$192,$EG$205^A16,IF(A16='Données projet'!$A$192,'Données projet'!$B$192,EJ15+EI16-ER15)))</f>
        <v>11.35303662145153</v>
      </c>
      <c r="EK16" s="17">
        <f>EJ16*VLOOKUP('Données projet'!$B$15,Paramètres!$A$1:$I$89,3,0)*VLOOKUP('Données projet'!$B$15,Paramètres!$A$1:$I$89,5,0)</f>
        <v>10.272227535089344</v>
      </c>
      <c r="EL16" s="13">
        <f t="shared" si="45"/>
        <v>3.6095987912522753</v>
      </c>
      <c r="EM16" s="20">
        <f t="shared" si="19"/>
        <v>24.177514185044988</v>
      </c>
      <c r="EN16" s="59">
        <f t="shared" si="20"/>
        <v>296.73306974060051</v>
      </c>
      <c r="EO16" s="59">
        <f ca="1">AVERAGE(OFFSET($EN$3,0,0,'Données projet'!$E$15+1,1))-AVERAGE(OFFSET($H$3,0,0,'Données projet'!$E$15+1,1))</f>
        <v>428.8489304403459</v>
      </c>
      <c r="EP16" s="59">
        <f t="shared" si="46"/>
        <v>247.01165577562966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8.4</v>
      </c>
      <c r="FE16" s="12">
        <f>IF('Données projet'!$A$218&gt;35,FE15+FD16-FM15,IF(A16&lt;'Données projet'!$A$218,$FB$205^A16,IF(A16='Données projet'!$A$218,'Données projet'!$B$218,FE15+FD16-FM15)))</f>
        <v>72.199999999999989</v>
      </c>
      <c r="FF16" s="17">
        <f>FE16*VLOOKUP('Données projet'!$B$16,Paramètres!$A$1:$I$89,3,0)*VLOOKUP('Données projet'!$B$16,Paramètres!$A$1:$I$89,5,0)</f>
        <v>65.326559999999986</v>
      </c>
      <c r="FG16" s="13">
        <f t="shared" si="47"/>
        <v>18.508251950337144</v>
      </c>
      <c r="FH16" s="20">
        <f t="shared" si="22"/>
        <v>146.0122974801705</v>
      </c>
      <c r="FI16" s="59">
        <f t="shared" si="23"/>
        <v>418.56785303572605</v>
      </c>
      <c r="FJ16" s="59">
        <f ca="1">AVERAGE(OFFSET($FI$3,0,0,'Données projet'!$E$16+1,1))-AVERAGE(OFFSET($H$3,0,0,'Données projet'!$E$16+1,1))</f>
        <v>245.25496369542458</v>
      </c>
      <c r="FK16" s="59">
        <f t="shared" si="48"/>
        <v>342.30266518164211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0</v>
      </c>
      <c r="N17" s="13">
        <f>IF('Données projet'!$A$36&gt;35,N16+M17-V16,IF(A17&lt;'Données projet'!$A$36,$K$205^A17,IF(A17='Données projet'!$A$36,'Données projet'!$B$36,N16+M17-V16)))</f>
        <v>0</v>
      </c>
      <c r="O17" s="13" t="e">
        <f>N17*VLOOKUP('Données projet'!$B$9,Paramètres!$A$1:$I$89,3,0)*VLOOKUP('Données projet'!$B$9,Paramètres!$A$1:$I$89,5,0)</f>
        <v>#N/A</v>
      </c>
      <c r="P17" s="13" t="e">
        <f t="shared" si="33"/>
        <v>#N/A</v>
      </c>
      <c r="Q17" s="20" t="e">
        <f t="shared" si="2"/>
        <v>#N/A</v>
      </c>
      <c r="R17" s="59" t="e">
        <f t="shared" si="0"/>
        <v>#N/A</v>
      </c>
      <c r="S17" s="59" t="e">
        <f ca="1">AVERAGE(OFFSET($R$3,0,0,'Données projet'!$E$9+1,1))-AVERAGE(OFFSET($H$3,0,0,'Données projet'!$E$9+1,1))</f>
        <v>#N/A</v>
      </c>
      <c r="T17" s="59" t="e">
        <f t="shared" si="34"/>
        <v>#N/A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 t="e">
        <f>EXP(-LN(2)/35)*Z16+(1-EXP(-LN(2)/35))/(LN(2)/35)*V17*W17*VLOOKUP('Données projet'!$B$9,Paramètres!$A$1:$I$89,3,0)*0.475*44/12</f>
        <v>#N/A</v>
      </c>
      <c r="AA17" s="21" t="e">
        <f>EXP(-LN(2)/25)*AA16+(1-EXP(-LN(2)/25))/(LN(2)/25)*Calculateur!V17*Calculateur!X17*VLOOKUP('Données projet'!$B$9,Paramètres!$A$1:$I$89,3,0)*0.475*44/12</f>
        <v>#N/A</v>
      </c>
      <c r="AB17" s="21" t="e">
        <f>EXP(-LN(2)/2)*AB16+(1-EXP(-LN(2)/2))/(LN(2)/2)*V17*Y17*VLOOKUP('Données projet'!$B$9,Paramètres!$A$1:$I$89,3,0)*0.475*44/12</f>
        <v>#N/A</v>
      </c>
      <c r="AC17" s="22" t="e">
        <f t="shared" si="3"/>
        <v>#N/A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2.4666666666666668</v>
      </c>
      <c r="AI17" s="13">
        <f>IF('Données projet'!$A$62&gt;35,AI16+AH17-AQ16,IF(A17&lt;'Données projet'!$A$62,$AF$205^A17,IF(A17='Données projet'!$A$62,'Données projet'!$B$62,AI16+AH17-AQ16)))</f>
        <v>29.084054009429774</v>
      </c>
      <c r="AJ17" s="13">
        <f>AI17*VLOOKUP('Données projet'!$B$10,Paramètres!$A$1:$I$89,3,0)*VLOOKUP('Données projet'!$B$10,Paramètres!$A$1:$I$89,5,0)</f>
        <v>25.407829582637852</v>
      </c>
      <c r="AK17" s="13">
        <f t="shared" si="35"/>
        <v>8.0349172386667025</v>
      </c>
      <c r="AL17" s="20">
        <f t="shared" si="4"/>
        <v>58.246117380438761</v>
      </c>
      <c r="AM17" s="59">
        <f t="shared" si="5"/>
        <v>332.02389515821653</v>
      </c>
      <c r="AN17" s="59">
        <f ca="1">AVERAGE(OFFSET($AM$3,0,0,'Données projet'!$E$10+1,1))-AVERAGE(OFFSET($H$3,0,0,'Données projet'!$E$10+1,1))</f>
        <v>338.55719679154777</v>
      </c>
      <c r="AO17" s="59">
        <f t="shared" si="36"/>
        <v>371.26234252426531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2.2649572649572649</v>
      </c>
      <c r="BD17" s="12">
        <f>IF('Données projet'!$A$88&gt;35,BD16+BC17-BL16,IF(A17&lt;'Données projet'!$A$88,$BA$205^A17,IF(A17='Données projet'!$A$88,'Données projet'!$B$88,BD16+BC17-BL16)))</f>
        <v>26.85805258745096</v>
      </c>
      <c r="BE17" s="13">
        <f>BD17*VLOOKUP('Données projet'!$B$11,Paramètres!$A$1:$I$89,3,0)*VLOOKUP('Données projet'!$B$11,Paramètres!$A$1:$I$89,5,0)</f>
        <v>25.558122842218335</v>
      </c>
      <c r="BF17" s="13">
        <f t="shared" si="37"/>
        <v>8.0768989211970617</v>
      </c>
      <c r="BG17" s="20">
        <f t="shared" si="7"/>
        <v>58.580996237948476</v>
      </c>
      <c r="BH17" s="59">
        <f t="shared" si="8"/>
        <v>332.35877401572623</v>
      </c>
      <c r="BI17" s="59">
        <f ca="1">AVERAGE(OFFSET($BH$3,0,0,'Données projet'!$E$11+1,1))-AVERAGE(OFFSET($H$3,0,0,'Données projet'!$E$11+1,1))</f>
        <v>351.6178679548006</v>
      </c>
      <c r="BJ17" s="59">
        <f t="shared" si="38"/>
        <v>244.7141066773861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3.4358974358974361</v>
      </c>
      <c r="BY17" s="12">
        <f>IF('Données projet'!$A$114&gt;35,BY16+BX17-CG16,IF(A17&lt;'Données projet'!$A$114,$BV$205^A17,IF(A17='Données projet'!$A$114,'Données projet'!$B$114,BY16+BX17-CG16)))</f>
        <v>8.6991203952847798</v>
      </c>
      <c r="BZ17" s="13">
        <f>BY17*VLOOKUP('Données projet'!$B$12,Paramètres!$A$1:$I$89,3,0)*VLOOKUP('Données projet'!$B$12,Paramètres!$A$1:$I$89,5,0)</f>
        <v>4.0711883449932769</v>
      </c>
      <c r="CA17" s="13">
        <f t="shared" si="39"/>
        <v>1.5933152481473272</v>
      </c>
      <c r="CB17" s="20">
        <f t="shared" si="10"/>
        <v>9.8656770913865515</v>
      </c>
      <c r="CC17" s="59">
        <f t="shared" si="11"/>
        <v>283.64345486916432</v>
      </c>
      <c r="CD17" s="59">
        <f ca="1">AVERAGE(OFFSET($CC$3,0,0,'Données projet'!$E$12+1,1))-AVERAGE(OFFSET($H$3,0,0,'Données projet'!$E$12+1,1))</f>
        <v>246.66630850723385</v>
      </c>
      <c r="CE17" s="59">
        <f t="shared" si="40"/>
        <v>145.34368562171613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2.6666666666666665</v>
      </c>
      <c r="CT17" s="12">
        <f>IF('Données projet'!$A$140&gt;35,CT16+CS17-DB16,IF(A17&lt;'Données projet'!$A$140,$CQ$205^A17,IF(A17='Données projet'!$A$140,'Données projet'!$B$140,CT16+CS17-DB16)))</f>
        <v>31.279225563578599</v>
      </c>
      <c r="CU17" s="17">
        <f>CT17*VLOOKUP('Données projet'!$B$13,Paramètres!$A$1:$I$89,3,0)*VLOOKUP('Données projet'!$B$13,Paramètres!$A$1:$I$89,5,0)</f>
        <v>24.397795939591308</v>
      </c>
      <c r="CV17" s="13">
        <f t="shared" si="41"/>
        <v>7.75202295846145</v>
      </c>
      <c r="CW17" s="20">
        <f t="shared" si="13"/>
        <v>55.994267914108548</v>
      </c>
      <c r="CX17" s="59">
        <f t="shared" si="14"/>
        <v>329.77204569188632</v>
      </c>
      <c r="CY17" s="59">
        <f ca="1">AVERAGE(OFFSET($CX$3,0,0,'Données projet'!$E$13+1,1))-AVERAGE(OFFSET($H$3,0,0,'Données projet'!$E$13+1,1))</f>
        <v>292.57482726862594</v>
      </c>
      <c r="CZ17" s="59">
        <f t="shared" si="42"/>
        <v>283.48738729114024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2.1</v>
      </c>
      <c r="DO17" s="12">
        <f>IF('Données projet'!$A$166&gt;35,DO16+DN17-DW16,IF(A17&lt;'Données projet'!$A$166,$DL$205^A17,IF(A17='Données projet'!$A$166,'Données projet'!$B$166,DO16+DN17-DW16)))</f>
        <v>13.685935953338433</v>
      </c>
      <c r="DP17" s="17">
        <f>DO17*VLOOKUP('Données projet'!$B$14,Paramètres!$A$1:$I$89,3,0)*VLOOKUP('Données projet'!$B$14,Paramètres!$A$1:$I$89,5,0)</f>
        <v>13.877539056685173</v>
      </c>
      <c r="DQ17" s="13">
        <f t="shared" si="43"/>
        <v>4.7086819085950955</v>
      </c>
      <c r="DR17" s="20">
        <f t="shared" si="16"/>
        <v>32.371001514529802</v>
      </c>
      <c r="DS17" s="59">
        <f t="shared" si="17"/>
        <v>306.14877929230755</v>
      </c>
      <c r="DT17" s="59">
        <f ca="1">AVERAGE(OFFSET($DS$3,0,0,'Données projet'!$E$14+1,1))-AVERAGE(OFFSET($H$3,0,0,'Données projet'!$E$14+1,1))</f>
        <v>475.47920969424894</v>
      </c>
      <c r="DU17" s="59">
        <f t="shared" si="44"/>
        <v>271.73544012419364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2.1</v>
      </c>
      <c r="EJ17" s="12">
        <f>IF('Données projet'!$A$192&gt;35,EJ16+EI17-ER16,IF(A17&lt;'Données projet'!$A$192,$EG$205^A17,IF(A17='Données projet'!$A$192,'Données projet'!$B$192,EJ16+EI17-ER16)))</f>
        <v>13.685935953338433</v>
      </c>
      <c r="EK17" s="17">
        <f>EJ17*VLOOKUP('Données projet'!$B$15,Paramètres!$A$1:$I$89,3,0)*VLOOKUP('Données projet'!$B$15,Paramètres!$A$1:$I$89,5,0)</f>
        <v>12.383034850580612</v>
      </c>
      <c r="EL17" s="13">
        <f t="shared" si="45"/>
        <v>4.2576904771143838</v>
      </c>
      <c r="EM17" s="20">
        <f t="shared" si="19"/>
        <v>28.982596612402116</v>
      </c>
      <c r="EN17" s="59">
        <f t="shared" si="20"/>
        <v>302.76037439017989</v>
      </c>
      <c r="EO17" s="59">
        <f ca="1">AVERAGE(OFFSET($EN$3,0,0,'Données projet'!$E$15+1,1))-AVERAGE(OFFSET($H$3,0,0,'Données projet'!$E$15+1,1))</f>
        <v>428.8489304403459</v>
      </c>
      <c r="EP17" s="59">
        <f t="shared" si="46"/>
        <v>247.01165577562966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8.4</v>
      </c>
      <c r="FE17" s="12">
        <f>IF('Données projet'!$A$218&gt;35,FE16+FD17-FM16,IF(A17&lt;'Données projet'!$A$218,$FB$205^A17,IF(A17='Données projet'!$A$218,'Données projet'!$B$218,FE16+FD17-FM16)))</f>
        <v>80.599999999999994</v>
      </c>
      <c r="FF17" s="17">
        <f>FE17*VLOOKUP('Données projet'!$B$16,Paramètres!$A$1:$I$89,3,0)*VLOOKUP('Données projet'!$B$16,Paramètres!$A$1:$I$89,5,0)</f>
        <v>72.926879999999983</v>
      </c>
      <c r="FG17" s="13">
        <f t="shared" si="47"/>
        <v>20.398563182833673</v>
      </c>
      <c r="FH17" s="20">
        <f t="shared" si="22"/>
        <v>162.54181354343527</v>
      </c>
      <c r="FI17" s="59">
        <f t="shared" si="23"/>
        <v>436.31959132121301</v>
      </c>
      <c r="FJ17" s="59">
        <f ca="1">AVERAGE(OFFSET($FI$3,0,0,'Données projet'!$E$16+1,1))-AVERAGE(OFFSET($H$3,0,0,'Données projet'!$E$16+1,1))</f>
        <v>245.25496369542458</v>
      </c>
      <c r="FK17" s="59">
        <f t="shared" si="48"/>
        <v>342.30266518164211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0</v>
      </c>
      <c r="N18" s="13">
        <f>IF('Données projet'!$A$36&gt;35,N17+M18-V17,IF(A18&lt;'Données projet'!$A$36,$K$205^A18,IF(A18='Données projet'!$A$36,'Données projet'!$B$36,N17+M18-V17)))</f>
        <v>0</v>
      </c>
      <c r="O18" s="13" t="e">
        <f>N18*VLOOKUP('Données projet'!$B$9,Paramètres!$A$1:$I$89,3,0)*VLOOKUP('Données projet'!$B$9,Paramètres!$A$1:$I$89,5,0)</f>
        <v>#N/A</v>
      </c>
      <c r="P18" s="13" t="e">
        <f t="shared" si="33"/>
        <v>#N/A</v>
      </c>
      <c r="Q18" s="20" t="e">
        <f t="shared" si="2"/>
        <v>#N/A</v>
      </c>
      <c r="R18" s="59" t="e">
        <f t="shared" si="0"/>
        <v>#N/A</v>
      </c>
      <c r="S18" s="59" t="e">
        <f ca="1">AVERAGE(OFFSET($R$3,0,0,'Données projet'!$E$9+1,1))-AVERAGE(OFFSET($H$3,0,0,'Données projet'!$E$9+1,1))</f>
        <v>#N/A</v>
      </c>
      <c r="T18" s="59" t="e">
        <f t="shared" si="34"/>
        <v>#N/A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 t="e">
        <f>EXP(-LN(2)/35)*Z17+(1-EXP(-LN(2)/35))/(LN(2)/35)*V18*W18*VLOOKUP('Données projet'!$B$9,Paramètres!$A$1:$I$89,3,0)*0.475*44/12</f>
        <v>#N/A</v>
      </c>
      <c r="AA18" s="21" t="e">
        <f>EXP(-LN(2)/25)*AA17+(1-EXP(-LN(2)/25))/(LN(2)/25)*Calculateur!V18*Calculateur!X18*VLOOKUP('Données projet'!$B$9,Paramètres!$A$1:$I$89,3,0)*0.475*44/12</f>
        <v>#N/A</v>
      </c>
      <c r="AB18" s="21" t="e">
        <f>EXP(-LN(2)/2)*AB17+(1-EXP(-LN(2)/2))/(LN(2)/2)*V18*Y18*VLOOKUP('Données projet'!$B$9,Paramètres!$A$1:$I$89,3,0)*0.475*44/12</f>
        <v>#N/A</v>
      </c>
      <c r="AC18" s="22" t="e">
        <f t="shared" si="3"/>
        <v>#N/A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37</v>
      </c>
      <c r="AG18" s="12">
        <f>VLOOKUP(A18,'Données projet'!$A$61:$I$81,9,0)</f>
        <v>2.4666666666666668</v>
      </c>
      <c r="AH18" s="12">
        <f t="array" ref="AH18">INDEX(AG:AG,MIN(IF(ISNUMBER(AG18:AG214),ROW(AG18:AG214),"")))</f>
        <v>2.4666666666666668</v>
      </c>
      <c r="AI18" s="13">
        <f>IF('Données projet'!$A$62&gt;35,AI17+AH18-AQ17,IF(A18&lt;'Données projet'!$A$62,$AF$205^A18,IF(A18='Données projet'!$A$62,'Données projet'!$B$62,AI17+AH18-AQ17)))</f>
        <v>37</v>
      </c>
      <c r="AJ18" s="13">
        <f>AI18*VLOOKUP('Données projet'!$B$10,Paramètres!$A$1:$I$89,3,0)*VLOOKUP('Données projet'!$B$10,Paramètres!$A$1:$I$89,5,0)</f>
        <v>32.323200000000007</v>
      </c>
      <c r="AK18" s="13">
        <f t="shared" si="35"/>
        <v>9.9393719729191545</v>
      </c>
      <c r="AL18" s="20">
        <f t="shared" si="4"/>
        <v>73.607312852834198</v>
      </c>
      <c r="AM18" s="59">
        <f t="shared" si="5"/>
        <v>348.60731285283418</v>
      </c>
      <c r="AN18" s="59">
        <f ca="1">AVERAGE(OFFSET($AM$3,0,0,'Données projet'!$E$10+1,1))-AVERAGE(OFFSET($H$3,0,0,'Données projet'!$E$10+1,1))</f>
        <v>338.55719679154777</v>
      </c>
      <c r="AO18" s="59">
        <f t="shared" si="36"/>
        <v>371.26234252426531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33.974358974358971</v>
      </c>
      <c r="BB18" s="12">
        <f>VLOOKUP(A18,'Données projet'!$A$87:$I$107,9,0)</f>
        <v>2.2649572649572649</v>
      </c>
      <c r="BC18" s="12">
        <f t="array" ref="BC18">INDEX(BB:BB,MIN(IF(ISNUMBER(BB18:BB214),ROW(BB18:BB214),"")))</f>
        <v>2.2649572649572649</v>
      </c>
      <c r="BD18" s="12">
        <f>IF('Données projet'!$A$88&gt;35,BD17+BC18-BL17,IF(A18&lt;'Données projet'!$A$88,$BA$205^A18,IF(A18='Données projet'!$A$88,'Données projet'!$B$88,BD17+BC18-BL17)))</f>
        <v>33.974358974358971</v>
      </c>
      <c r="BE18" s="13">
        <f>BD18*VLOOKUP('Données projet'!$B$11,Paramètres!$A$1:$I$89,3,0)*VLOOKUP('Données projet'!$B$11,Paramètres!$A$1:$I$89,5,0)</f>
        <v>32.33</v>
      </c>
      <c r="BF18" s="13">
        <f t="shared" si="37"/>
        <v>9.9412195556634533</v>
      </c>
      <c r="BG18" s="20">
        <f t="shared" si="7"/>
        <v>73.622374059447182</v>
      </c>
      <c r="BH18" s="59">
        <f t="shared" si="8"/>
        <v>348.62237405944717</v>
      </c>
      <c r="BI18" s="59">
        <f ca="1">AVERAGE(OFFSET($BH$3,0,0,'Données projet'!$E$11+1,1))-AVERAGE(OFFSET($H$3,0,0,'Données projet'!$E$11+1,1))</f>
        <v>351.6178679548006</v>
      </c>
      <c r="BJ18" s="59">
        <f t="shared" si="38"/>
        <v>244.7141066773861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3.4358974358974361</v>
      </c>
      <c r="BY18" s="12">
        <f>IF('Données projet'!$A$114&gt;35,BY17+BX18-CG17,IF(A18&lt;'Données projet'!$A$114,$BV$205^A18,IF(A18='Données projet'!$A$114,'Données projet'!$B$114,BY17+BX18-CG17)))</f>
        <v>10.152680585782415</v>
      </c>
      <c r="BZ18" s="13">
        <f>BY18*VLOOKUP('Données projet'!$B$12,Paramètres!$A$1:$I$89,3,0)*VLOOKUP('Données projet'!$B$12,Paramètres!$A$1:$I$89,5,0)</f>
        <v>4.7514545141461699</v>
      </c>
      <c r="CA18" s="13">
        <f t="shared" si="39"/>
        <v>1.8264005426369321</v>
      </c>
      <c r="CB18" s="20">
        <f t="shared" si="10"/>
        <v>11.456430890563903</v>
      </c>
      <c r="CC18" s="59">
        <f t="shared" si="11"/>
        <v>286.45643089056392</v>
      </c>
      <c r="CD18" s="59">
        <f ca="1">AVERAGE(OFFSET($CC$3,0,0,'Données projet'!$E$12+1,1))-AVERAGE(OFFSET($H$3,0,0,'Données projet'!$E$12+1,1))</f>
        <v>246.66630850723385</v>
      </c>
      <c r="CE18" s="59">
        <f t="shared" si="40"/>
        <v>145.34368562171613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40</v>
      </c>
      <c r="CR18" s="12">
        <f>VLOOKUP(A18,'Données projet'!$A$139:$I$159,9,0)</f>
        <v>2.6666666666666665</v>
      </c>
      <c r="CS18" s="12">
        <f t="array" ref="CS18">INDEX(CR:CR,MIN(IF(ISNUMBER(CR18:CR214),ROW(CR18:CR214),"")))</f>
        <v>2.6666666666666665</v>
      </c>
      <c r="CT18" s="12">
        <f>IF('Données projet'!$A$140&gt;35,CT17+CS18-DB17,IF(A18&lt;'Données projet'!$A$140,$CQ$205^A18,IF(A18='Données projet'!$A$140,'Données projet'!$B$140,CT17+CS18-DB17)))</f>
        <v>40</v>
      </c>
      <c r="CU18" s="17">
        <f>CT18*VLOOKUP('Données projet'!$B$13,Paramètres!$A$1:$I$89,3,0)*VLOOKUP('Données projet'!$B$13,Paramètres!$A$1:$I$89,5,0)</f>
        <v>31.200000000000003</v>
      </c>
      <c r="CV18" s="13">
        <f t="shared" si="41"/>
        <v>9.6335657126419925</v>
      </c>
      <c r="CW18" s="20">
        <f t="shared" si="13"/>
        <v>71.118460282851473</v>
      </c>
      <c r="CX18" s="59">
        <f t="shared" si="14"/>
        <v>346.11846028285146</v>
      </c>
      <c r="CY18" s="59">
        <f ca="1">AVERAGE(OFFSET($CX$3,0,0,'Données projet'!$E$13+1,1))-AVERAGE(OFFSET($H$3,0,0,'Données projet'!$E$13+1,1))</f>
        <v>292.57482726862594</v>
      </c>
      <c r="CZ18" s="59">
        <f t="shared" si="42"/>
        <v>283.48738729114024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2.1</v>
      </c>
      <c r="DO18" s="12">
        <f>IF('Données projet'!$A$166&gt;35,DO17+DN18-DW17,IF(A18&lt;'Données projet'!$A$166,$DL$205^A18,IF(A18='Données projet'!$A$166,'Données projet'!$B$166,DO17+DN18-DW17)))</f>
        <v>16.498215337821566</v>
      </c>
      <c r="DP18" s="17">
        <f>DO18*VLOOKUP('Données projet'!$B$14,Paramètres!$A$1:$I$89,3,0)*VLOOKUP('Données projet'!$B$14,Paramètres!$A$1:$I$89,5,0)</f>
        <v>16.729190352551068</v>
      </c>
      <c r="DQ18" s="13">
        <f t="shared" si="43"/>
        <v>5.5541103821765283</v>
      </c>
      <c r="DR18" s="20">
        <f t="shared" si="16"/>
        <v>38.810082112983899</v>
      </c>
      <c r="DS18" s="59">
        <f t="shared" si="17"/>
        <v>313.81008211298388</v>
      </c>
      <c r="DT18" s="59">
        <f ca="1">AVERAGE(OFFSET($DS$3,0,0,'Données projet'!$E$14+1,1))-AVERAGE(OFFSET($H$3,0,0,'Données projet'!$E$14+1,1))</f>
        <v>475.47920969424894</v>
      </c>
      <c r="DU18" s="59">
        <f t="shared" si="44"/>
        <v>271.73544012419364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2.1</v>
      </c>
      <c r="EJ18" s="12">
        <f>IF('Données projet'!$A$192&gt;35,EJ17+EI18-ER17,IF(A18&lt;'Données projet'!$A$192,$EG$205^A18,IF(A18='Données projet'!$A$192,'Données projet'!$B$192,EJ17+EI18-ER17)))</f>
        <v>16.498215337821566</v>
      </c>
      <c r="EK18" s="17">
        <f>EJ18*VLOOKUP('Données projet'!$B$15,Paramètres!$A$1:$I$89,3,0)*VLOOKUP('Données projet'!$B$15,Paramètres!$A$1:$I$89,5,0)</f>
        <v>14.927585237660953</v>
      </c>
      <c r="EL18" s="13">
        <f t="shared" si="45"/>
        <v>5.0221449106318534</v>
      </c>
      <c r="EM18" s="20">
        <f t="shared" si="19"/>
        <v>34.745780008276633</v>
      </c>
      <c r="EN18" s="59">
        <f t="shared" si="20"/>
        <v>309.74578000827665</v>
      </c>
      <c r="EO18" s="59">
        <f ca="1">AVERAGE(OFFSET($EN$3,0,0,'Données projet'!$E$15+1,1))-AVERAGE(OFFSET($H$3,0,0,'Données projet'!$E$15+1,1))</f>
        <v>428.8489304403459</v>
      </c>
      <c r="EP18" s="59">
        <f t="shared" si="46"/>
        <v>247.01165577562966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89</v>
      </c>
      <c r="FC18" s="12">
        <f>VLOOKUP(A18,'Données projet'!$A$217:$I$237,9,0)</f>
        <v>8.4</v>
      </c>
      <c r="FD18" s="12">
        <f t="array" ref="FD18">INDEX(FC:FC,MIN(IF(ISNUMBER(FC18:FC214),ROW(FC18:FC214),"")))</f>
        <v>8.4</v>
      </c>
      <c r="FE18" s="12">
        <f>IF('Données projet'!$A$218&gt;35,FE17+FD18-FM17,IF(A18&lt;'Données projet'!$A$218,$FB$205^A18,IF(A18='Données projet'!$A$218,'Données projet'!$B$218,FE17+FD18-FM17)))</f>
        <v>89</v>
      </c>
      <c r="FF18" s="17">
        <f>FE18*VLOOKUP('Données projet'!$B$16,Paramètres!$A$1:$I$89,3,0)*VLOOKUP('Données projet'!$B$16,Paramètres!$A$1:$I$89,5,0)</f>
        <v>80.527199999999993</v>
      </c>
      <c r="FG18" s="13">
        <f t="shared" si="47"/>
        <v>22.266037950985503</v>
      </c>
      <c r="FH18" s="20">
        <f t="shared" si="22"/>
        <v>179.03155609796639</v>
      </c>
      <c r="FI18" s="59">
        <f t="shared" si="23"/>
        <v>454.03155609796636</v>
      </c>
      <c r="FJ18" s="59">
        <f ca="1">AVERAGE(OFFSET($FI$3,0,0,'Données projet'!$E$16+1,1))-AVERAGE(OFFSET($H$3,0,0,'Données projet'!$E$16+1,1))</f>
        <v>245.25496369542458</v>
      </c>
      <c r="FK18" s="59">
        <f t="shared" si="48"/>
        <v>342.30266518164211</v>
      </c>
      <c r="FL18" s="15">
        <f>IF(ISNA(VLOOKUP(A18,'Données projet'!$A$217:$I$237,3,0)),0,VLOOKUP(A18,'Données projet'!$A$217:$I$237,3,0))</f>
        <v>2</v>
      </c>
      <c r="FM18" s="15">
        <f>IF(ISNA(VLOOKUP(A18,'Données projet'!$A$217:$I$237,4,0)),0,VLOOKUP(A18,'Données projet'!$A$217:$I$237,4,0))</f>
        <v>13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0</v>
      </c>
      <c r="N19" s="13">
        <f>IF('Données projet'!$A$36&gt;35,N18+M19-V18,IF(A19&lt;'Données projet'!$A$36,$K$205^A19,IF(A19='Données projet'!$A$36,'Données projet'!$B$36,N18+M19-V18)))</f>
        <v>0</v>
      </c>
      <c r="O19" s="13" t="e">
        <f>N19*VLOOKUP('Données projet'!$B$9,Paramètres!$A$1:$I$89,3,0)*VLOOKUP('Données projet'!$B$9,Paramètres!$A$1:$I$89,5,0)</f>
        <v>#N/A</v>
      </c>
      <c r="P19" s="13" t="e">
        <f t="shared" si="33"/>
        <v>#N/A</v>
      </c>
      <c r="Q19" s="20" t="e">
        <f t="shared" si="2"/>
        <v>#N/A</v>
      </c>
      <c r="R19" s="59" t="e">
        <f t="shared" si="0"/>
        <v>#N/A</v>
      </c>
      <c r="S19" s="59" t="e">
        <f ca="1">AVERAGE(OFFSET($R$3,0,0,'Données projet'!$E$9+1,1))-AVERAGE(OFFSET($H$3,0,0,'Données projet'!$E$9+1,1))</f>
        <v>#N/A</v>
      </c>
      <c r="T19" s="59" t="e">
        <f t="shared" si="34"/>
        <v>#N/A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 t="e">
        <f>EXP(-LN(2)/35)*Z18+(1-EXP(-LN(2)/35))/(LN(2)/35)*V19*W19*VLOOKUP('Données projet'!$B$9,Paramètres!$A$1:$I$89,3,0)*0.475*44/12</f>
        <v>#N/A</v>
      </c>
      <c r="AA19" s="21" t="e">
        <f>EXP(-LN(2)/25)*AA18+(1-EXP(-LN(2)/25))/(LN(2)/25)*Calculateur!V19*Calculateur!X19*VLOOKUP('Données projet'!$B$9,Paramètres!$A$1:$I$89,3,0)*0.475*44/12</f>
        <v>#N/A</v>
      </c>
      <c r="AB19" s="21" t="e">
        <f>EXP(-LN(2)/2)*AB18+(1-EXP(-LN(2)/2))/(LN(2)/2)*V19*Y19*VLOOKUP('Données projet'!$B$9,Paramètres!$A$1:$I$89,3,0)*0.475*44/12</f>
        <v>#N/A</v>
      </c>
      <c r="AC19" s="22" t="e">
        <f t="shared" si="3"/>
        <v>#N/A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11.6</v>
      </c>
      <c r="AI19" s="13">
        <f>IF('Données projet'!$A$62&gt;35,AI18+AH19-AQ18,IF(A19&lt;'Données projet'!$A$62,$AF$205^A19,IF(A19='Données projet'!$A$62,'Données projet'!$B$62,AI18+AH19-AQ18)))</f>
        <v>48.6</v>
      </c>
      <c r="AJ19" s="13">
        <f>AI19*VLOOKUP('Données projet'!$B$10,Paramètres!$A$1:$I$89,3,0)*VLOOKUP('Données projet'!$B$10,Paramètres!$A$1:$I$89,5,0)</f>
        <v>42.456960000000009</v>
      </c>
      <c r="AK19" s="13">
        <f t="shared" si="35"/>
        <v>12.647587950844969</v>
      </c>
      <c r="AL19" s="20">
        <f t="shared" si="4"/>
        <v>95.973754347721652</v>
      </c>
      <c r="AM19" s="59">
        <f t="shared" si="5"/>
        <v>372.19597656994387</v>
      </c>
      <c r="AN19" s="59">
        <f ca="1">AVERAGE(OFFSET($AM$3,0,0,'Données projet'!$E$10+1,1))-AVERAGE(OFFSET($H$3,0,0,'Données projet'!$E$10+1,1))</f>
        <v>338.55719679154777</v>
      </c>
      <c r="AO19" s="59">
        <f t="shared" si="36"/>
        <v>371.26234252426531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5.8974358974358978</v>
      </c>
      <c r="BD19" s="12">
        <f>IF('Données projet'!$A$88&gt;35,BD18+BC19-BL18,IF(A19&lt;'Données projet'!$A$88,$BA$205^A19,IF(A19='Données projet'!$A$88,'Données projet'!$B$88,BD18+BC19-BL18)))</f>
        <v>39.871794871794869</v>
      </c>
      <c r="BE19" s="13">
        <f>BD19*VLOOKUP('Données projet'!$B$11,Paramètres!$A$1:$I$89,3,0)*VLOOKUP('Données projet'!$B$11,Paramètres!$A$1:$I$89,5,0)</f>
        <v>37.941999999999993</v>
      </c>
      <c r="BF19" s="13">
        <f t="shared" si="37"/>
        <v>11.45150826835841</v>
      </c>
      <c r="BG19" s="20">
        <f t="shared" si="7"/>
        <v>86.027026900724209</v>
      </c>
      <c r="BH19" s="59">
        <f t="shared" si="8"/>
        <v>362.24924912294642</v>
      </c>
      <c r="BI19" s="59">
        <f ca="1">AVERAGE(OFFSET($BH$3,0,0,'Données projet'!$E$11+1,1))-AVERAGE(OFFSET($H$3,0,0,'Données projet'!$E$11+1,1))</f>
        <v>351.6178679548006</v>
      </c>
      <c r="BJ19" s="59">
        <f t="shared" si="38"/>
        <v>244.7141066773861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3.4358974358974361</v>
      </c>
      <c r="BY19" s="12">
        <f>IF('Données projet'!$A$114&gt;35,BY18+BX19-CG18,IF(A19&lt;'Données projet'!$A$114,$BV$205^A19,IF(A19='Données projet'!$A$114,'Données projet'!$B$114,BY18+BX19-CG18)))</f>
        <v>11.849120186081615</v>
      </c>
      <c r="BZ19" s="13">
        <f>BY19*VLOOKUP('Données projet'!$B$12,Paramètres!$A$1:$I$89,3,0)*VLOOKUP('Données projet'!$B$12,Paramètres!$A$1:$I$89,5,0)</f>
        <v>5.545388247086195</v>
      </c>
      <c r="CA19" s="13">
        <f t="shared" si="39"/>
        <v>2.0935837688261665</v>
      </c>
      <c r="CB19" s="20">
        <f t="shared" si="10"/>
        <v>13.304542927714031</v>
      </c>
      <c r="CC19" s="59">
        <f t="shared" si="11"/>
        <v>289.52676514993624</v>
      </c>
      <c r="CD19" s="59">
        <f ca="1">AVERAGE(OFFSET($CC$3,0,0,'Données projet'!$E$12+1,1))-AVERAGE(OFFSET($H$3,0,0,'Données projet'!$E$12+1,1))</f>
        <v>246.66630850723385</v>
      </c>
      <c r="CE19" s="59">
        <f t="shared" si="40"/>
        <v>145.34368562171613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9.6</v>
      </c>
      <c r="CT19" s="12">
        <f>IF('Données projet'!$A$140&gt;35,CT18+CS19-DB18,IF(A19&lt;'Données projet'!$A$140,$CQ$205^A19,IF(A19='Données projet'!$A$140,'Données projet'!$B$140,CT18+CS19-DB18)))</f>
        <v>49.6</v>
      </c>
      <c r="CU19" s="17">
        <f>CT19*VLOOKUP('Données projet'!$B$13,Paramètres!$A$1:$I$89,3,0)*VLOOKUP('Données projet'!$B$13,Paramètres!$A$1:$I$89,5,0)</f>
        <v>38.688000000000002</v>
      </c>
      <c r="CV19" s="13">
        <f t="shared" si="41"/>
        <v>11.650229083154354</v>
      </c>
      <c r="CW19" s="20">
        <f t="shared" si="13"/>
        <v>87.672415653160499</v>
      </c>
      <c r="CX19" s="59">
        <f t="shared" si="14"/>
        <v>363.89463787538273</v>
      </c>
      <c r="CY19" s="59">
        <f ca="1">AVERAGE(OFFSET($CX$3,0,0,'Données projet'!$E$13+1,1))-AVERAGE(OFFSET($H$3,0,0,'Données projet'!$E$13+1,1))</f>
        <v>292.57482726862594</v>
      </c>
      <c r="CZ19" s="59">
        <f t="shared" si="42"/>
        <v>283.48738729114024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2.1</v>
      </c>
      <c r="DO19" s="12">
        <f>IF('Données projet'!$A$166&gt;35,DO18+DN19-DW18,IF(A19&lt;'Données projet'!$A$166,$DL$205^A19,IF(A19='Données projet'!$A$166,'Données projet'!$B$166,DO18+DN19-DW18)))</f>
        <v>19.888381054913147</v>
      </c>
      <c r="DP19" s="17">
        <f>DO19*VLOOKUP('Données projet'!$B$14,Paramètres!$A$1:$I$89,3,0)*VLOOKUP('Données projet'!$B$14,Paramètres!$A$1:$I$89,5,0)</f>
        <v>20.166818389681932</v>
      </c>
      <c r="DQ19" s="13">
        <f t="shared" si="43"/>
        <v>6.5513327797938032</v>
      </c>
      <c r="DR19" s="20">
        <f t="shared" si="16"/>
        <v>46.534113286836906</v>
      </c>
      <c r="DS19" s="59">
        <f t="shared" si="17"/>
        <v>322.75633550905911</v>
      </c>
      <c r="DT19" s="59">
        <f ca="1">AVERAGE(OFFSET($DS$3,0,0,'Données projet'!$E$14+1,1))-AVERAGE(OFFSET($H$3,0,0,'Données projet'!$E$14+1,1))</f>
        <v>475.47920969424894</v>
      </c>
      <c r="DU19" s="59">
        <f t="shared" si="44"/>
        <v>271.73544012419364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2.1</v>
      </c>
      <c r="EJ19" s="12">
        <f>IF('Données projet'!$A$192&gt;35,EJ18+EI19-ER18,IF(A19&lt;'Données projet'!$A$192,$EG$205^A19,IF(A19='Données projet'!$A$192,'Données projet'!$B$192,EJ18+EI19-ER18)))</f>
        <v>19.888381054913147</v>
      </c>
      <c r="EK19" s="17">
        <f>EJ19*VLOOKUP('Données projet'!$B$15,Paramètres!$A$1:$I$89,3,0)*VLOOKUP('Données projet'!$B$15,Paramètres!$A$1:$I$89,5,0)</f>
        <v>17.995007178485412</v>
      </c>
      <c r="EL19" s="13">
        <f t="shared" si="45"/>
        <v>5.9238546434872337</v>
      </c>
      <c r="EM19" s="20">
        <f t="shared" si="19"/>
        <v>41.658684339935689</v>
      </c>
      <c r="EN19" s="59">
        <f t="shared" si="20"/>
        <v>317.88090656215792</v>
      </c>
      <c r="EO19" s="59">
        <f ca="1">AVERAGE(OFFSET($EN$3,0,0,'Données projet'!$E$15+1,1))-AVERAGE(OFFSET($H$3,0,0,'Données projet'!$E$15+1,1))</f>
        <v>428.8489304403459</v>
      </c>
      <c r="EP19" s="59">
        <f t="shared" si="46"/>
        <v>247.01165577562966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7.6</v>
      </c>
      <c r="FE19" s="12">
        <f>IF('Données projet'!$A$218&gt;35,FE18+FD19-FM18,IF(A19&lt;'Données projet'!$A$218,$FB$205^A19,IF(A19='Données projet'!$A$218,'Données projet'!$B$218,FE18+FD19-FM18)))</f>
        <v>83.6</v>
      </c>
      <c r="FF19" s="17">
        <f>FE19*VLOOKUP('Données projet'!$B$16,Paramètres!$A$1:$I$89,3,0)*VLOOKUP('Données projet'!$B$16,Paramètres!$A$1:$I$89,5,0)</f>
        <v>75.641279999999995</v>
      </c>
      <c r="FG19" s="13">
        <f t="shared" si="47"/>
        <v>21.068004470152093</v>
      </c>
      <c r="FH19" s="20">
        <f t="shared" si="22"/>
        <v>168.4353371188482</v>
      </c>
      <c r="FI19" s="59">
        <f t="shared" si="23"/>
        <v>444.6575593410704</v>
      </c>
      <c r="FJ19" s="59">
        <f ca="1">AVERAGE(OFFSET($FI$3,0,0,'Données projet'!$E$16+1,1))-AVERAGE(OFFSET($H$3,0,0,'Données projet'!$E$16+1,1))</f>
        <v>245.25496369542458</v>
      </c>
      <c r="FK19" s="59">
        <f t="shared" si="48"/>
        <v>342.30266518164211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0</v>
      </c>
      <c r="N20" s="13">
        <f>IF('Données projet'!$A$36&gt;35,N19+M20-V19,IF(A20&lt;'Données projet'!$A$36,$K$205^A20,IF(A20='Données projet'!$A$36,'Données projet'!$B$36,N19+M20-V19)))</f>
        <v>0</v>
      </c>
      <c r="O20" s="13" t="e">
        <f>N20*VLOOKUP('Données projet'!$B$9,Paramètres!$A$1:$I$89,3,0)*VLOOKUP('Données projet'!$B$9,Paramètres!$A$1:$I$89,5,0)</f>
        <v>#N/A</v>
      </c>
      <c r="P20" s="13" t="e">
        <f t="shared" si="33"/>
        <v>#N/A</v>
      </c>
      <c r="Q20" s="20" t="e">
        <f t="shared" si="2"/>
        <v>#N/A</v>
      </c>
      <c r="R20" s="59" t="e">
        <f t="shared" si="0"/>
        <v>#N/A</v>
      </c>
      <c r="S20" s="59" t="e">
        <f ca="1">AVERAGE(OFFSET($R$3,0,0,'Données projet'!$E$9+1,1))-AVERAGE(OFFSET($H$3,0,0,'Données projet'!$E$9+1,1))</f>
        <v>#N/A</v>
      </c>
      <c r="T20" s="59" t="e">
        <f t="shared" si="34"/>
        <v>#N/A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 t="e">
        <f>EXP(-LN(2)/35)*Z19+(1-EXP(-LN(2)/35))/(LN(2)/35)*V20*W20*VLOOKUP('Données projet'!$B$9,Paramètres!$A$1:$I$89,3,0)*0.475*44/12</f>
        <v>#N/A</v>
      </c>
      <c r="AA20" s="21" t="e">
        <f>EXP(-LN(2)/25)*AA19+(1-EXP(-LN(2)/25))/(LN(2)/25)*Calculateur!V20*Calculateur!X20*VLOOKUP('Données projet'!$B$9,Paramètres!$A$1:$I$89,3,0)*0.475*44/12</f>
        <v>#N/A</v>
      </c>
      <c r="AB20" s="21" t="e">
        <f>EXP(-LN(2)/2)*AB19+(1-EXP(-LN(2)/2))/(LN(2)/2)*V20*Y20*VLOOKUP('Données projet'!$B$9,Paramètres!$A$1:$I$89,3,0)*0.475*44/12</f>
        <v>#N/A</v>
      </c>
      <c r="AC20" s="22" t="e">
        <f t="shared" si="3"/>
        <v>#N/A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11.6</v>
      </c>
      <c r="AI20" s="13">
        <f>IF('Données projet'!$A$62&gt;35,AI19+AH20-AQ19,IF(A20&lt;'Données projet'!$A$62,$AF$205^A20,IF(A20='Données projet'!$A$62,'Données projet'!$B$62,AI19+AH20-AQ19)))</f>
        <v>60.2</v>
      </c>
      <c r="AJ20" s="13">
        <f>AI20*VLOOKUP('Données projet'!$B$10,Paramètres!$A$1:$I$89,3,0)*VLOOKUP('Données projet'!$B$10,Paramètres!$A$1:$I$89,5,0)</f>
        <v>52.590720000000005</v>
      </c>
      <c r="AK20" s="13">
        <f t="shared" si="35"/>
        <v>15.280844641052973</v>
      </c>
      <c r="AL20" s="20">
        <f t="shared" si="4"/>
        <v>118.20964174983392</v>
      </c>
      <c r="AM20" s="59">
        <f t="shared" si="5"/>
        <v>395.65408619427836</v>
      </c>
      <c r="AN20" s="59">
        <f ca="1">AVERAGE(OFFSET($AM$3,0,0,'Données projet'!$E$10+1,1))-AVERAGE(OFFSET($H$3,0,0,'Données projet'!$E$10+1,1))</f>
        <v>338.55719679154777</v>
      </c>
      <c r="AO20" s="59">
        <f t="shared" si="36"/>
        <v>371.26234252426531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5.8974358974358978</v>
      </c>
      <c r="BD20" s="12">
        <f>IF('Données projet'!$A$88&gt;35,BD19+BC20-BL19,IF(A20&lt;'Données projet'!$A$88,$BA$205^A20,IF(A20='Données projet'!$A$88,'Données projet'!$B$88,BD19+BC20-BL19)))</f>
        <v>45.769230769230766</v>
      </c>
      <c r="BE20" s="13">
        <f>BD20*VLOOKUP('Données projet'!$B$11,Paramètres!$A$1:$I$89,3,0)*VLOOKUP('Données projet'!$B$11,Paramètres!$A$1:$I$89,5,0)</f>
        <v>43.554000000000002</v>
      </c>
      <c r="BF20" s="13">
        <f t="shared" si="37"/>
        <v>12.935917793577156</v>
      </c>
      <c r="BG20" s="20">
        <f t="shared" si="7"/>
        <v>98.386606823813551</v>
      </c>
      <c r="BH20" s="59">
        <f t="shared" si="8"/>
        <v>375.83105126825802</v>
      </c>
      <c r="BI20" s="59">
        <f ca="1">AVERAGE(OFFSET($BH$3,0,0,'Données projet'!$E$11+1,1))-AVERAGE(OFFSET($H$3,0,0,'Données projet'!$E$11+1,1))</f>
        <v>351.6178679548006</v>
      </c>
      <c r="BJ20" s="59">
        <f t="shared" si="38"/>
        <v>244.7141066773861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3.4358974358974361</v>
      </c>
      <c r="BY20" s="12">
        <f>IF('Données projet'!$A$114&gt;35,BY19+BX20-CG19,IF(A20&lt;'Données projet'!$A$114,$BV$205^A20,IF(A20='Données projet'!$A$114,'Données projet'!$B$114,BY19+BX20-CG19)))</f>
        <v>13.82902259141513</v>
      </c>
      <c r="BZ20" s="13">
        <f>BY20*VLOOKUP('Données projet'!$B$12,Paramètres!$A$1:$I$89,3,0)*VLOOKUP('Données projet'!$B$12,Paramètres!$A$1:$I$89,5,0)</f>
        <v>6.4719825727822808</v>
      </c>
      <c r="CA20" s="13">
        <f t="shared" si="39"/>
        <v>2.399853096169215</v>
      </c>
      <c r="CB20" s="20">
        <f t="shared" si="10"/>
        <v>15.45178045675719</v>
      </c>
      <c r="CC20" s="59">
        <f t="shared" si="11"/>
        <v>292.89622490120166</v>
      </c>
      <c r="CD20" s="59">
        <f ca="1">AVERAGE(OFFSET($CC$3,0,0,'Données projet'!$E$12+1,1))-AVERAGE(OFFSET($H$3,0,0,'Données projet'!$E$12+1,1))</f>
        <v>246.66630850723385</v>
      </c>
      <c r="CE20" s="59">
        <f t="shared" si="40"/>
        <v>145.34368562171613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9.6</v>
      </c>
      <c r="CT20" s="12">
        <f>IF('Données projet'!$A$140&gt;35,CT19+CS20-DB19,IF(A20&lt;'Données projet'!$A$140,$CQ$205^A20,IF(A20='Données projet'!$A$140,'Données projet'!$B$140,CT19+CS20-DB19)))</f>
        <v>59.2</v>
      </c>
      <c r="CU20" s="17">
        <f>CT20*VLOOKUP('Données projet'!$B$13,Paramètres!$A$1:$I$89,3,0)*VLOOKUP('Données projet'!$B$13,Paramètres!$A$1:$I$89,5,0)</f>
        <v>46.176000000000002</v>
      </c>
      <c r="CV20" s="13">
        <f t="shared" si="41"/>
        <v>13.621668778540489</v>
      </c>
      <c r="CW20" s="20">
        <f t="shared" si="13"/>
        <v>104.14760645595801</v>
      </c>
      <c r="CX20" s="59">
        <f t="shared" si="14"/>
        <v>381.59205090040246</v>
      </c>
      <c r="CY20" s="59">
        <f ca="1">AVERAGE(OFFSET($CX$3,0,0,'Données projet'!$E$13+1,1))-AVERAGE(OFFSET($H$3,0,0,'Données projet'!$E$13+1,1))</f>
        <v>292.57482726862594</v>
      </c>
      <c r="CZ20" s="59">
        <f t="shared" si="42"/>
        <v>283.48738729114024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2.1</v>
      </c>
      <c r="DO20" s="12">
        <f>IF('Données projet'!$A$166&gt;35,DO19+DN20-DW19,IF(A20&lt;'Données projet'!$A$166,$DL$205^A20,IF(A20='Données projet'!$A$166,'Données projet'!$B$166,DO19+DN20-DW19)))</f>
        <v>23.975181126327602</v>
      </c>
      <c r="DP20" s="17">
        <f>DO20*VLOOKUP('Données projet'!$B$14,Paramètres!$A$1:$I$89,3,0)*VLOOKUP('Données projet'!$B$14,Paramètres!$A$1:$I$89,5,0)</f>
        <v>24.31083366209619</v>
      </c>
      <c r="DQ20" s="13">
        <f t="shared" si="43"/>
        <v>7.7276032052466093</v>
      </c>
      <c r="DR20" s="20">
        <f t="shared" si="16"/>
        <v>55.800277543955367</v>
      </c>
      <c r="DS20" s="59">
        <f t="shared" si="17"/>
        <v>333.24472198839982</v>
      </c>
      <c r="DT20" s="59">
        <f ca="1">AVERAGE(OFFSET($DS$3,0,0,'Données projet'!$E$14+1,1))-AVERAGE(OFFSET($H$3,0,0,'Données projet'!$E$14+1,1))</f>
        <v>475.47920969424894</v>
      </c>
      <c r="DU20" s="59">
        <f t="shared" si="44"/>
        <v>271.73544012419364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2.1</v>
      </c>
      <c r="EJ20" s="12">
        <f>IF('Données projet'!$A$192&gt;35,EJ19+EI20-ER19,IF(A20&lt;'Données projet'!$A$192,$EG$205^A20,IF(A20='Données projet'!$A$192,'Données projet'!$B$192,EJ19+EI20-ER19)))</f>
        <v>23.975181126327602</v>
      </c>
      <c r="EK20" s="17">
        <f>EJ20*VLOOKUP('Données projet'!$B$15,Paramètres!$A$1:$I$89,3,0)*VLOOKUP('Données projet'!$B$15,Paramètres!$A$1:$I$89,5,0)</f>
        <v>21.692743883101215</v>
      </c>
      <c r="EL20" s="13">
        <f t="shared" si="45"/>
        <v>6.98746341685115</v>
      </c>
      <c r="EM20" s="20">
        <f t="shared" si="19"/>
        <v>49.951361047417038</v>
      </c>
      <c r="EN20" s="59">
        <f t="shared" si="20"/>
        <v>327.39580549186149</v>
      </c>
      <c r="EO20" s="59">
        <f ca="1">AVERAGE(OFFSET($EN$3,0,0,'Données projet'!$E$15+1,1))-AVERAGE(OFFSET($H$3,0,0,'Données projet'!$E$15+1,1))</f>
        <v>428.8489304403459</v>
      </c>
      <c r="EP20" s="59">
        <f t="shared" si="46"/>
        <v>247.01165577562966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7.6</v>
      </c>
      <c r="FE20" s="12">
        <f>IF('Données projet'!$A$218&gt;35,FE19+FD20-FM19,IF(A20&lt;'Données projet'!$A$218,$FB$205^A20,IF(A20='Données projet'!$A$218,'Données projet'!$B$218,FE19+FD20-FM19)))</f>
        <v>91.199999999999989</v>
      </c>
      <c r="FF20" s="17">
        <f>FE20*VLOOKUP('Données projet'!$B$16,Paramètres!$A$1:$I$89,3,0)*VLOOKUP('Données projet'!$B$16,Paramètres!$A$1:$I$89,5,0)</f>
        <v>82.517759999999981</v>
      </c>
      <c r="FG20" s="13">
        <f t="shared" si="47"/>
        <v>22.751674941896663</v>
      </c>
      <c r="FH20" s="20">
        <f t="shared" si="22"/>
        <v>183.34426585713663</v>
      </c>
      <c r="FI20" s="59">
        <f t="shared" si="23"/>
        <v>460.78871030158109</v>
      </c>
      <c r="FJ20" s="59">
        <f ca="1">AVERAGE(OFFSET($FI$3,0,0,'Données projet'!$E$16+1,1))-AVERAGE(OFFSET($H$3,0,0,'Données projet'!$E$16+1,1))</f>
        <v>245.25496369542458</v>
      </c>
      <c r="FK20" s="59">
        <f t="shared" si="48"/>
        <v>342.30266518164211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0</v>
      </c>
      <c r="N21" s="13">
        <f>IF('Données projet'!$A$36&gt;35,N20+M21-V20,IF(A21&lt;'Données projet'!$A$36,$K$205^A21,IF(A21='Données projet'!$A$36,'Données projet'!$B$36,N20+M21-V20)))</f>
        <v>0</v>
      </c>
      <c r="O21" s="13" t="e">
        <f>N21*VLOOKUP('Données projet'!$B$9,Paramètres!$A$1:$I$89,3,0)*VLOOKUP('Données projet'!$B$9,Paramètres!$A$1:$I$89,5,0)</f>
        <v>#N/A</v>
      </c>
      <c r="P21" s="13" t="e">
        <f t="shared" si="33"/>
        <v>#N/A</v>
      </c>
      <c r="Q21" s="20" t="e">
        <f t="shared" si="2"/>
        <v>#N/A</v>
      </c>
      <c r="R21" s="59" t="e">
        <f t="shared" si="0"/>
        <v>#N/A</v>
      </c>
      <c r="S21" s="59" t="e">
        <f ca="1">AVERAGE(OFFSET($R$3,0,0,'Données projet'!$E$9+1,1))-AVERAGE(OFFSET($H$3,0,0,'Données projet'!$E$9+1,1))</f>
        <v>#N/A</v>
      </c>
      <c r="T21" s="59" t="e">
        <f t="shared" si="34"/>
        <v>#N/A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 t="e">
        <f>EXP(-LN(2)/35)*Z20+(1-EXP(-LN(2)/35))/(LN(2)/35)*V21*W21*VLOOKUP('Données projet'!$B$9,Paramètres!$A$1:$I$89,3,0)*0.475*44/12</f>
        <v>#N/A</v>
      </c>
      <c r="AA21" s="21" t="e">
        <f>EXP(-LN(2)/25)*AA20+(1-EXP(-LN(2)/25))/(LN(2)/25)*Calculateur!V21*Calculateur!X21*VLOOKUP('Données projet'!$B$9,Paramètres!$A$1:$I$89,3,0)*0.475*44/12</f>
        <v>#N/A</v>
      </c>
      <c r="AB21" s="21" t="e">
        <f>EXP(-LN(2)/2)*AB20+(1-EXP(-LN(2)/2))/(LN(2)/2)*V21*Y21*VLOOKUP('Données projet'!$B$9,Paramètres!$A$1:$I$89,3,0)*0.475*44/12</f>
        <v>#N/A</v>
      </c>
      <c r="AC21" s="22" t="e">
        <f t="shared" si="3"/>
        <v>#N/A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11.6</v>
      </c>
      <c r="AI21" s="13">
        <f>IF('Données projet'!$A$62&gt;35,AI20+AH21-AQ20,IF(A21&lt;'Données projet'!$A$62,$AF$205^A21,IF(A21='Données projet'!$A$62,'Données projet'!$B$62,AI20+AH21-AQ20)))</f>
        <v>71.8</v>
      </c>
      <c r="AJ21" s="13">
        <f>AI21*VLOOKUP('Données projet'!$B$10,Paramètres!$A$1:$I$89,3,0)*VLOOKUP('Données projet'!$B$10,Paramètres!$A$1:$I$89,5,0)</f>
        <v>62.724480000000014</v>
      </c>
      <c r="AK21" s="13">
        <f t="shared" si="35"/>
        <v>17.855312666216573</v>
      </c>
      <c r="AL21" s="20">
        <f t="shared" si="4"/>
        <v>140.34313889366055</v>
      </c>
      <c r="AM21" s="59">
        <f t="shared" si="5"/>
        <v>419.00980556032721</v>
      </c>
      <c r="AN21" s="59">
        <f ca="1">AVERAGE(OFFSET($AM$3,0,0,'Données projet'!$E$10+1,1))-AVERAGE(OFFSET($H$3,0,0,'Données projet'!$E$10+1,1))</f>
        <v>338.55719679154777</v>
      </c>
      <c r="AO21" s="59">
        <f t="shared" si="36"/>
        <v>371.26234252426531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5.8974358974358978</v>
      </c>
      <c r="BD21" s="12">
        <f>IF('Données projet'!$A$88&gt;35,BD20+BC21-BL20,IF(A21&lt;'Données projet'!$A$88,$BA$205^A21,IF(A21='Données projet'!$A$88,'Données projet'!$B$88,BD20+BC21-BL20)))</f>
        <v>51.666666666666664</v>
      </c>
      <c r="BE21" s="13">
        <f>BD21*VLOOKUP('Données projet'!$B$11,Paramètres!$A$1:$I$89,3,0)*VLOOKUP('Données projet'!$B$11,Paramètres!$A$1:$I$89,5,0)</f>
        <v>49.165999999999997</v>
      </c>
      <c r="BF21" s="13">
        <f t="shared" si="37"/>
        <v>14.398165127385489</v>
      </c>
      <c r="BG21" s="20">
        <f t="shared" si="7"/>
        <v>110.70758759686305</v>
      </c>
      <c r="BH21" s="59">
        <f t="shared" si="8"/>
        <v>389.37425426352974</v>
      </c>
      <c r="BI21" s="59">
        <f ca="1">AVERAGE(OFFSET($BH$3,0,0,'Données projet'!$E$11+1,1))-AVERAGE(OFFSET($H$3,0,0,'Données projet'!$E$11+1,1))</f>
        <v>351.6178679548006</v>
      </c>
      <c r="BJ21" s="59">
        <f t="shared" si="38"/>
        <v>244.7141066773861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3.4358974358974361</v>
      </c>
      <c r="BY21" s="12">
        <f>IF('Données projet'!$A$114&gt;35,BY20+BX21-CG20,IF(A21&lt;'Données projet'!$A$114,$BV$205^A21,IF(A21='Données projet'!$A$114,'Données projet'!$B$114,BY20+BX21-CG20)))</f>
        <v>16.139752389254127</v>
      </c>
      <c r="BZ21" s="13">
        <f>BY21*VLOOKUP('Données projet'!$B$12,Paramètres!$A$1:$I$89,3,0)*VLOOKUP('Données projet'!$B$12,Paramètres!$A$1:$I$89,5,0)</f>
        <v>7.5534041181709313</v>
      </c>
      <c r="CA21" s="13">
        <f t="shared" si="39"/>
        <v>2.7509264109465743</v>
      </c>
      <c r="CB21" s="20">
        <f t="shared" si="10"/>
        <v>17.946709004879654</v>
      </c>
      <c r="CC21" s="59">
        <f t="shared" si="11"/>
        <v>296.61337567154635</v>
      </c>
      <c r="CD21" s="59">
        <f ca="1">AVERAGE(OFFSET($CC$3,0,0,'Données projet'!$E$12+1,1))-AVERAGE(OFFSET($H$3,0,0,'Données projet'!$E$12+1,1))</f>
        <v>246.66630850723385</v>
      </c>
      <c r="CE21" s="59">
        <f t="shared" si="40"/>
        <v>145.34368562171613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9.6</v>
      </c>
      <c r="CT21" s="12">
        <f>IF('Données projet'!$A$140&gt;35,CT20+CS21-DB20,IF(A21&lt;'Données projet'!$A$140,$CQ$205^A21,IF(A21='Données projet'!$A$140,'Données projet'!$B$140,CT20+CS21-DB20)))</f>
        <v>68.8</v>
      </c>
      <c r="CU21" s="17">
        <f>CT21*VLOOKUP('Données projet'!$B$13,Paramètres!$A$1:$I$89,3,0)*VLOOKUP('Données projet'!$B$13,Paramètres!$A$1:$I$89,5,0)</f>
        <v>53.664000000000001</v>
      </c>
      <c r="CV21" s="13">
        <f t="shared" si="41"/>
        <v>15.556073979202782</v>
      </c>
      <c r="CW21" s="20">
        <f t="shared" si="13"/>
        <v>120.55829551377816</v>
      </c>
      <c r="CX21" s="59">
        <f t="shared" si="14"/>
        <v>399.22496218044483</v>
      </c>
      <c r="CY21" s="59">
        <f ca="1">AVERAGE(OFFSET($CX$3,0,0,'Données projet'!$E$13+1,1))-AVERAGE(OFFSET($H$3,0,0,'Données projet'!$E$13+1,1))</f>
        <v>292.57482726862594</v>
      </c>
      <c r="CZ21" s="59">
        <f t="shared" si="42"/>
        <v>283.48738729114024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2.1</v>
      </c>
      <c r="DO21" s="12">
        <f>IF('Données projet'!$A$166&gt;35,DO20+DN21-DW20,IF(A21&lt;'Données projet'!$A$166,$DL$205^A21,IF(A21='Données projet'!$A$166,'Données projet'!$B$166,DO20+DN21-DW20)))</f>
        <v>28.901764726506816</v>
      </c>
      <c r="DP21" s="17">
        <f>DO21*VLOOKUP('Données projet'!$B$14,Paramètres!$A$1:$I$89,3,0)*VLOOKUP('Données projet'!$B$14,Paramètres!$A$1:$I$89,5,0)</f>
        <v>29.306389432677911</v>
      </c>
      <c r="DQ21" s="13">
        <f t="shared" si="43"/>
        <v>9.1150691477493808</v>
      </c>
      <c r="DR21" s="20">
        <f t="shared" si="16"/>
        <v>66.917373694244205</v>
      </c>
      <c r="DS21" s="59">
        <f t="shared" si="17"/>
        <v>345.58404036091088</v>
      </c>
      <c r="DT21" s="59">
        <f ca="1">AVERAGE(OFFSET($DS$3,0,0,'Données projet'!$E$14+1,1))-AVERAGE(OFFSET($H$3,0,0,'Données projet'!$E$14+1,1))</f>
        <v>475.47920969424894</v>
      </c>
      <c r="DU21" s="59">
        <f t="shared" si="44"/>
        <v>271.73544012419364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2.1</v>
      </c>
      <c r="EJ21" s="12">
        <f>IF('Données projet'!$A$192&gt;35,EJ20+EI21-ER20,IF(A21&lt;'Données projet'!$A$192,$EG$205^A21,IF(A21='Données projet'!$A$192,'Données projet'!$B$192,EJ20+EI21-ER20)))</f>
        <v>28.901764726506816</v>
      </c>
      <c r="EK21" s="17">
        <f>EJ21*VLOOKUP('Données projet'!$B$15,Paramètres!$A$1:$I$89,3,0)*VLOOKUP('Données projet'!$B$15,Paramètres!$A$1:$I$89,5,0)</f>
        <v>26.150316724543362</v>
      </c>
      <c r="EL21" s="13">
        <f t="shared" si="45"/>
        <v>8.2420396752158016</v>
      </c>
      <c r="EM21" s="20">
        <f t="shared" si="19"/>
        <v>59.900020729580547</v>
      </c>
      <c r="EN21" s="59">
        <f t="shared" si="20"/>
        <v>338.56668739624723</v>
      </c>
      <c r="EO21" s="59">
        <f ca="1">AVERAGE(OFFSET($EN$3,0,0,'Données projet'!$E$15+1,1))-AVERAGE(OFFSET($H$3,0,0,'Données projet'!$E$15+1,1))</f>
        <v>428.8489304403459</v>
      </c>
      <c r="EP21" s="59">
        <f t="shared" si="46"/>
        <v>247.01165577562966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7.6</v>
      </c>
      <c r="FE21" s="12">
        <f>IF('Données projet'!$A$218&gt;35,FE20+FD21-FM20,IF(A21&lt;'Données projet'!$A$218,$FB$205^A21,IF(A21='Données projet'!$A$218,'Données projet'!$B$218,FE20+FD21-FM20)))</f>
        <v>98.799999999999983</v>
      </c>
      <c r="FF21" s="17">
        <f>FE21*VLOOKUP('Données projet'!$B$16,Paramètres!$A$1:$I$89,3,0)*VLOOKUP('Données projet'!$B$16,Paramètres!$A$1:$I$89,5,0)</f>
        <v>89.394239999999982</v>
      </c>
      <c r="FG21" s="13">
        <f t="shared" si="47"/>
        <v>24.419072895797868</v>
      </c>
      <c r="FH21" s="20">
        <f t="shared" si="22"/>
        <v>198.22485329351457</v>
      </c>
      <c r="FI21" s="59">
        <f t="shared" si="23"/>
        <v>476.89151996018126</v>
      </c>
      <c r="FJ21" s="59">
        <f ca="1">AVERAGE(OFFSET($FI$3,0,0,'Données projet'!$E$16+1,1))-AVERAGE(OFFSET($H$3,0,0,'Données projet'!$E$16+1,1))</f>
        <v>245.25496369542458</v>
      </c>
      <c r="FK21" s="59">
        <f t="shared" si="48"/>
        <v>342.30266518164211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0</v>
      </c>
      <c r="O22" s="13" t="e">
        <f>N22*VLOOKUP('Données projet'!$B$9,Paramètres!$A$1:$I$89,3,0)*VLOOKUP('Données projet'!$B$9,Paramètres!$A$1:$I$89,5,0)</f>
        <v>#N/A</v>
      </c>
      <c r="P22" s="13" t="e">
        <f t="shared" si="33"/>
        <v>#N/A</v>
      </c>
      <c r="Q22" s="20" t="e">
        <f t="shared" si="2"/>
        <v>#N/A</v>
      </c>
      <c r="R22" s="59" t="e">
        <f t="shared" si="0"/>
        <v>#N/A</v>
      </c>
      <c r="S22" s="59" t="e">
        <f ca="1">AVERAGE(OFFSET($R$3,0,0,'Données projet'!$E$9+1,1))-AVERAGE(OFFSET($H$3,0,0,'Données projet'!$E$9+1,1))</f>
        <v>#N/A</v>
      </c>
      <c r="T22" s="59" t="e">
        <f t="shared" si="34"/>
        <v>#N/A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 t="e">
        <f>EXP(-LN(2)/35)*Z21+(1-EXP(-LN(2)/35))/(LN(2)/35)*V22*W22*VLOOKUP('Données projet'!$B$9,Paramètres!$A$1:$I$89,3,0)*0.475*44/12</f>
        <v>#N/A</v>
      </c>
      <c r="AA22" s="21" t="e">
        <f>EXP(-LN(2)/25)*AA21+(1-EXP(-LN(2)/25))/(LN(2)/25)*Calculateur!V22*Calculateur!X22*VLOOKUP('Données projet'!$B$9,Paramètres!$A$1:$I$89,3,0)*0.475*44/12</f>
        <v>#N/A</v>
      </c>
      <c r="AB22" s="21" t="e">
        <f>EXP(-LN(2)/2)*AB21+(1-EXP(-LN(2)/2))/(LN(2)/2)*V22*Y22*VLOOKUP('Données projet'!$B$9,Paramètres!$A$1:$I$89,3,0)*0.475*44/12</f>
        <v>#N/A</v>
      </c>
      <c r="AC22" s="22" t="e">
        <f t="shared" si="3"/>
        <v>#N/A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11.6</v>
      </c>
      <c r="AI22" s="13">
        <f>IF('Données projet'!$A$62&gt;35,AI21+AH22-AQ21,IF(A22&lt;'Données projet'!$A$62,$AF$205^A22,IF(A22='Données projet'!$A$62,'Données projet'!$B$62,AI21+AH22-AQ21)))</f>
        <v>83.399999999999991</v>
      </c>
      <c r="AJ22" s="13">
        <f>AI22*VLOOKUP('Données projet'!$B$10,Paramètres!$A$1:$I$89,3,0)*VLOOKUP('Données projet'!$B$10,Paramètres!$A$1:$I$89,5,0)</f>
        <v>72.858240000000009</v>
      </c>
      <c r="AK22" s="13">
        <f t="shared" si="35"/>
        <v>20.381597602335066</v>
      </c>
      <c r="AL22" s="20">
        <f t="shared" si="4"/>
        <v>162.39271715740026</v>
      </c>
      <c r="AM22" s="59">
        <f t="shared" si="5"/>
        <v>442.28160604628908</v>
      </c>
      <c r="AN22" s="59">
        <f ca="1">AVERAGE(OFFSET($AM$3,0,0,'Données projet'!$E$10+1,1))-AVERAGE(OFFSET($H$3,0,0,'Données projet'!$E$10+1,1))</f>
        <v>338.55719679154777</v>
      </c>
      <c r="AO22" s="59">
        <f t="shared" si="36"/>
        <v>371.26234252426531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5.8974358974358978</v>
      </c>
      <c r="BD22" s="12">
        <f>IF('Données projet'!$A$88&gt;35,BD21+BC22-BL21,IF(A22&lt;'Données projet'!$A$88,$BA$205^A22,IF(A22='Données projet'!$A$88,'Données projet'!$B$88,BD21+BC22-BL21)))</f>
        <v>57.564102564102562</v>
      </c>
      <c r="BE22" s="13">
        <f>BD22*VLOOKUP('Données projet'!$B$11,Paramètres!$A$1:$I$89,3,0)*VLOOKUP('Données projet'!$B$11,Paramètres!$A$1:$I$89,5,0)</f>
        <v>54.777999999999992</v>
      </c>
      <c r="BF22" s="13">
        <f t="shared" si="37"/>
        <v>15.841068726644904</v>
      </c>
      <c r="BG22" s="20">
        <f t="shared" si="7"/>
        <v>122.99487803223985</v>
      </c>
      <c r="BH22" s="59">
        <f t="shared" si="8"/>
        <v>402.88376692112871</v>
      </c>
      <c r="BI22" s="59">
        <f ca="1">AVERAGE(OFFSET($BH$3,0,0,'Données projet'!$E$11+1,1))-AVERAGE(OFFSET($H$3,0,0,'Données projet'!$E$11+1,1))</f>
        <v>351.6178679548006</v>
      </c>
      <c r="BJ22" s="59">
        <f t="shared" si="38"/>
        <v>244.7141066773861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3.4358974358974361</v>
      </c>
      <c r="BY22" s="12">
        <f>IF('Données projet'!$A$114&gt;35,BY21+BX22-CG21,IF(A22&lt;'Données projet'!$A$114,$BV$205^A22,IF(A22='Données projet'!$A$114,'Données projet'!$B$114,BY21+BX22-CG21)))</f>
        <v>18.836588447555499</v>
      </c>
      <c r="BZ22" s="13">
        <f>BY22*VLOOKUP('Données projet'!$B$12,Paramètres!$A$1:$I$89,3,0)*VLOOKUP('Données projet'!$B$12,Paramètres!$A$1:$I$89,5,0)</f>
        <v>8.8155233934559742</v>
      </c>
      <c r="CA22" s="13">
        <f t="shared" si="39"/>
        <v>3.153358066176315</v>
      </c>
      <c r="CB22" s="20">
        <f t="shared" si="10"/>
        <v>20.845801875526238</v>
      </c>
      <c r="CC22" s="59">
        <f t="shared" si="11"/>
        <v>300.73469076441512</v>
      </c>
      <c r="CD22" s="59">
        <f ca="1">AVERAGE(OFFSET($CC$3,0,0,'Données projet'!$E$12+1,1))-AVERAGE(OFFSET($H$3,0,0,'Données projet'!$E$12+1,1))</f>
        <v>246.66630850723385</v>
      </c>
      <c r="CE22" s="59">
        <f t="shared" si="40"/>
        <v>145.34368562171613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9.6</v>
      </c>
      <c r="CT22" s="12">
        <f>IF('Données projet'!$A$140&gt;35,CT21+CS22-DB21,IF(A22&lt;'Données projet'!$A$140,$CQ$205^A22,IF(A22='Données projet'!$A$140,'Données projet'!$B$140,CT21+CS22-DB21)))</f>
        <v>78.399999999999991</v>
      </c>
      <c r="CU22" s="17">
        <f>CT22*VLOOKUP('Données projet'!$B$13,Paramètres!$A$1:$I$89,3,0)*VLOOKUP('Données projet'!$B$13,Paramètres!$A$1:$I$89,5,0)</f>
        <v>61.151999999999994</v>
      </c>
      <c r="CV22" s="13">
        <f t="shared" si="41"/>
        <v>17.459207591071255</v>
      </c>
      <c r="CW22" s="20">
        <f t="shared" si="13"/>
        <v>136.9145198877824</v>
      </c>
      <c r="CX22" s="59">
        <f t="shared" si="14"/>
        <v>416.80340877667129</v>
      </c>
      <c r="CY22" s="59">
        <f ca="1">AVERAGE(OFFSET($CX$3,0,0,'Données projet'!$E$13+1,1))-AVERAGE(OFFSET($H$3,0,0,'Données projet'!$E$13+1,1))</f>
        <v>292.57482726862594</v>
      </c>
      <c r="CZ22" s="59">
        <f t="shared" si="42"/>
        <v>283.48738729114024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2.1</v>
      </c>
      <c r="DO22" s="12">
        <f>IF('Données projet'!$A$166&gt;35,DO21+DN22-DW21,IF(A22&lt;'Données projet'!$A$166,$DL$205^A22,IF(A22='Données projet'!$A$166,'Données projet'!$B$166,DO21+DN22-DW21)))</f>
        <v>34.840696297767764</v>
      </c>
      <c r="DP22" s="17">
        <f>DO22*VLOOKUP('Données projet'!$B$14,Paramètres!$A$1:$I$89,3,0)*VLOOKUP('Données projet'!$B$14,Paramètres!$A$1:$I$89,5,0)</f>
        <v>35.328466045936516</v>
      </c>
      <c r="DQ22" s="13">
        <f t="shared" si="43"/>
        <v>10.751650073316766</v>
      </c>
      <c r="DR22" s="20">
        <f t="shared" si="16"/>
        <v>80.256202241032796</v>
      </c>
      <c r="DS22" s="59">
        <f t="shared" si="17"/>
        <v>360.14509112992164</v>
      </c>
      <c r="DT22" s="59">
        <f ca="1">AVERAGE(OFFSET($DS$3,0,0,'Données projet'!$E$14+1,1))-AVERAGE(OFFSET($H$3,0,0,'Données projet'!$E$14+1,1))</f>
        <v>475.47920969424894</v>
      </c>
      <c r="DU22" s="59">
        <f t="shared" si="44"/>
        <v>271.73544012419364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2.1</v>
      </c>
      <c r="EJ22" s="12">
        <f>IF('Données projet'!$A$192&gt;35,EJ21+EI22-ER21,IF(A22&lt;'Données projet'!$A$192,$EG$205^A22,IF(A22='Données projet'!$A$192,'Données projet'!$B$192,EJ21+EI22-ER21)))</f>
        <v>34.840696297767764</v>
      </c>
      <c r="EK22" s="17">
        <f>EJ22*VLOOKUP('Données projet'!$B$15,Paramètres!$A$1:$I$89,3,0)*VLOOKUP('Données projet'!$B$15,Paramètres!$A$1:$I$89,5,0)</f>
        <v>31.52386201022027</v>
      </c>
      <c r="EL22" s="13">
        <f t="shared" si="45"/>
        <v>9.7218710074397983</v>
      </c>
      <c r="EM22" s="20">
        <f t="shared" si="19"/>
        <v>71.836318339091292</v>
      </c>
      <c r="EN22" s="59">
        <f t="shared" si="20"/>
        <v>351.72520722798015</v>
      </c>
      <c r="EO22" s="59">
        <f ca="1">AVERAGE(OFFSET($EN$3,0,0,'Données projet'!$E$15+1,1))-AVERAGE(OFFSET($H$3,0,0,'Données projet'!$E$15+1,1))</f>
        <v>428.8489304403459</v>
      </c>
      <c r="EP22" s="59">
        <f t="shared" si="46"/>
        <v>247.01165577562966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7.6</v>
      </c>
      <c r="FE22" s="12">
        <f>IF('Données projet'!$A$218&gt;35,FE21+FD22-FM21,IF(A22&lt;'Données projet'!$A$218,$FB$205^A22,IF(A22='Données projet'!$A$218,'Données projet'!$B$218,FE21+FD22-FM21)))</f>
        <v>106.39999999999998</v>
      </c>
      <c r="FF22" s="17">
        <f>FE22*VLOOKUP('Données projet'!$B$16,Paramètres!$A$1:$I$89,3,0)*VLOOKUP('Données projet'!$B$16,Paramètres!$A$1:$I$89,5,0)</f>
        <v>96.270719999999969</v>
      </c>
      <c r="FG22" s="13">
        <f t="shared" si="47"/>
        <v>26.071592384845928</v>
      </c>
      <c r="FH22" s="20">
        <f t="shared" si="22"/>
        <v>213.07952740360659</v>
      </c>
      <c r="FI22" s="59">
        <f t="shared" si="23"/>
        <v>492.96841629249548</v>
      </c>
      <c r="FJ22" s="59">
        <f ca="1">AVERAGE(OFFSET($FI$3,0,0,'Données projet'!$E$16+1,1))-AVERAGE(OFFSET($H$3,0,0,'Données projet'!$E$16+1,1))</f>
        <v>245.25496369542458</v>
      </c>
      <c r="FK22" s="59">
        <f t="shared" si="48"/>
        <v>342.30266518164211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0</v>
      </c>
      <c r="O23" s="13" t="e">
        <f>N23*VLOOKUP('Données projet'!$B$9,Paramètres!$A$1:$I$89,3,0)*VLOOKUP('Données projet'!$B$9,Paramètres!$A$1:$I$89,5,0)</f>
        <v>#N/A</v>
      </c>
      <c r="P23" s="13" t="e">
        <f t="shared" si="33"/>
        <v>#N/A</v>
      </c>
      <c r="Q23" s="20" t="e">
        <f t="shared" si="2"/>
        <v>#N/A</v>
      </c>
      <c r="R23" s="59" t="e">
        <f t="shared" si="0"/>
        <v>#N/A</v>
      </c>
      <c r="S23" s="59" t="e">
        <f ca="1">AVERAGE(OFFSET($R$3,0,0,'Données projet'!$E$9+1,1))-AVERAGE(OFFSET($H$3,0,0,'Données projet'!$E$9+1,1))</f>
        <v>#N/A</v>
      </c>
      <c r="T23" s="59" t="e">
        <f t="shared" si="34"/>
        <v>#N/A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 t="e">
        <f>EXP(-LN(2)/35)*Z22+(1-EXP(-LN(2)/35))/(LN(2)/35)*V23*W23*VLOOKUP('Données projet'!$B$9,Paramètres!$A$1:$I$89,3,0)*0.475*44/12</f>
        <v>#N/A</v>
      </c>
      <c r="AA23" s="21" t="e">
        <f>EXP(-LN(2)/25)*AA22+(1-EXP(-LN(2)/25))/(LN(2)/25)*Calculateur!V23*Calculateur!X23*VLOOKUP('Données projet'!$B$9,Paramètres!$A$1:$I$89,3,0)*0.475*44/12</f>
        <v>#N/A</v>
      </c>
      <c r="AB23" s="21" t="e">
        <f>EXP(-LN(2)/2)*AB22+(1-EXP(-LN(2)/2))/(LN(2)/2)*V23*Y23*VLOOKUP('Données projet'!$B$9,Paramètres!$A$1:$I$89,3,0)*0.475*44/12</f>
        <v>#N/A</v>
      </c>
      <c r="AC23" s="22" t="e">
        <f t="shared" si="3"/>
        <v>#N/A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95</v>
      </c>
      <c r="AG23" s="12">
        <f>VLOOKUP(A23,'Données projet'!$A$61:$I$81,9,0)</f>
        <v>11.6</v>
      </c>
      <c r="AH23" s="12">
        <f t="array" ref="AH23">INDEX(AG:AG,MIN(IF(ISNUMBER(AG23:AG219),ROW(AG23:AG219),"")))</f>
        <v>11.6</v>
      </c>
      <c r="AI23" s="13">
        <f>IF('Données projet'!$A$62&gt;35,AI22+AH23-AQ22,IF(A23&lt;'Données projet'!$A$62,$AF$205^A23,IF(A23='Données projet'!$A$62,'Données projet'!$B$62,AI22+AH23-AQ22)))</f>
        <v>94.999999999999986</v>
      </c>
      <c r="AJ23" s="13">
        <f>AI23*VLOOKUP('Données projet'!$B$10,Paramètres!$A$1:$I$89,3,0)*VLOOKUP('Données projet'!$B$10,Paramètres!$A$1:$I$89,5,0)</f>
        <v>82.99199999999999</v>
      </c>
      <c r="AK23" s="13">
        <f t="shared" si="35"/>
        <v>22.867173045817303</v>
      </c>
      <c r="AL23" s="20">
        <f t="shared" si="4"/>
        <v>184.37139305479846</v>
      </c>
      <c r="AM23" s="59">
        <f t="shared" si="5"/>
        <v>465.48250416590963</v>
      </c>
      <c r="AN23" s="59">
        <f ca="1">AVERAGE(OFFSET($AM$3,0,0,'Données projet'!$E$10+1,1))-AVERAGE(OFFSET($H$3,0,0,'Données projet'!$E$10+1,1))</f>
        <v>338.55719679154777</v>
      </c>
      <c r="AO23" s="59">
        <f t="shared" si="36"/>
        <v>371.26234252426531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63.46153846153846</v>
      </c>
      <c r="BB23" s="12">
        <f>VLOOKUP(A23,'Données projet'!$A$87:$I$107,9,0)</f>
        <v>5.8974358974358978</v>
      </c>
      <c r="BC23" s="12">
        <f t="array" ref="BC23">INDEX(BB:BB,MIN(IF(ISNUMBER(BB23:BB219),ROW(BB23:BB219),"")))</f>
        <v>5.8974358974358978</v>
      </c>
      <c r="BD23" s="12">
        <f>IF('Données projet'!$A$88&gt;35,BD22+BC23-BL22,IF(A23&lt;'Données projet'!$A$88,$BA$205^A23,IF(A23='Données projet'!$A$88,'Données projet'!$B$88,BD22+BC23-BL22)))</f>
        <v>63.46153846153846</v>
      </c>
      <c r="BE23" s="13">
        <f>BD23*VLOOKUP('Données projet'!$B$11,Paramètres!$A$1:$I$89,3,0)*VLOOKUP('Données projet'!$B$11,Paramètres!$A$1:$I$89,5,0)</f>
        <v>60.39</v>
      </c>
      <c r="BF23" s="13">
        <f t="shared" si="37"/>
        <v>17.266836036680591</v>
      </c>
      <c r="BG23" s="20">
        <f t="shared" si="7"/>
        <v>135.25232276388536</v>
      </c>
      <c r="BH23" s="59">
        <f t="shared" si="8"/>
        <v>416.36343387499653</v>
      </c>
      <c r="BI23" s="59">
        <f ca="1">AVERAGE(OFFSET($BH$3,0,0,'Données projet'!$E$11+1,1))-AVERAGE(OFFSET($H$3,0,0,'Données projet'!$E$11+1,1))</f>
        <v>351.6178679548006</v>
      </c>
      <c r="BJ23" s="59">
        <f t="shared" si="38"/>
        <v>244.7141066773861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3.4358974358974361</v>
      </c>
      <c r="BY23" s="12">
        <f>IF('Données projet'!$A$114&gt;35,BY22+BX23-CG22,IF(A23&lt;'Données projet'!$A$114,$BV$205^A23,IF(A23='Données projet'!$A$114,'Données projet'!$B$114,BY22+BX23-CG22)))</f>
        <v>21.984046333871831</v>
      </c>
      <c r="BZ23" s="13">
        <f>BY23*VLOOKUP('Données projet'!$B$12,Paramètres!$A$1:$I$89,3,0)*VLOOKUP('Données projet'!$B$12,Paramètres!$A$1:$I$89,5,0)</f>
        <v>10.288533684252016</v>
      </c>
      <c r="CA23" s="13">
        <f t="shared" si="39"/>
        <v>3.6146612479167253</v>
      </c>
      <c r="CB23" s="20">
        <f t="shared" si="10"/>
        <v>24.214731173527223</v>
      </c>
      <c r="CC23" s="59">
        <f t="shared" si="11"/>
        <v>305.32584228463838</v>
      </c>
      <c r="CD23" s="59">
        <f ca="1">AVERAGE(OFFSET($CC$3,0,0,'Données projet'!$E$12+1,1))-AVERAGE(OFFSET($H$3,0,0,'Données projet'!$E$12+1,1))</f>
        <v>246.66630850723385</v>
      </c>
      <c r="CE23" s="59">
        <f t="shared" si="40"/>
        <v>145.34368562171613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88</v>
      </c>
      <c r="CR23" s="12">
        <f>VLOOKUP(A23,'Données projet'!$A$139:$I$159,9,0)</f>
        <v>9.6</v>
      </c>
      <c r="CS23" s="12">
        <f t="array" ref="CS23">INDEX(CR:CR,MIN(IF(ISNUMBER(CR23:CR219),ROW(CR23:CR219),"")))</f>
        <v>9.6</v>
      </c>
      <c r="CT23" s="12">
        <f>IF('Données projet'!$A$140&gt;35,CT22+CS23-DB22,IF(A23&lt;'Données projet'!$A$140,$CQ$205^A23,IF(A23='Données projet'!$A$140,'Données projet'!$B$140,CT22+CS23-DB22)))</f>
        <v>87.999999999999986</v>
      </c>
      <c r="CU23" s="17">
        <f>CT23*VLOOKUP('Données projet'!$B$13,Paramètres!$A$1:$I$89,3,0)*VLOOKUP('Données projet'!$B$13,Paramètres!$A$1:$I$89,5,0)</f>
        <v>68.639999999999986</v>
      </c>
      <c r="CV23" s="13">
        <f t="shared" si="41"/>
        <v>19.335336956640202</v>
      </c>
      <c r="CW23" s="20">
        <f t="shared" si="13"/>
        <v>153.22371186614834</v>
      </c>
      <c r="CX23" s="59">
        <f t="shared" si="14"/>
        <v>434.33482297725948</v>
      </c>
      <c r="CY23" s="59">
        <f ca="1">AVERAGE(OFFSET($CX$3,0,0,'Données projet'!$E$13+1,1))-AVERAGE(OFFSET($H$3,0,0,'Données projet'!$E$13+1,1))</f>
        <v>292.57482726862594</v>
      </c>
      <c r="CZ23" s="59">
        <f t="shared" si="42"/>
        <v>283.48738729114024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42</v>
      </c>
      <c r="DM23" s="12">
        <f>VLOOKUP(A23,'Données projet'!$A$165:$I$185,9,0)</f>
        <v>2.1</v>
      </c>
      <c r="DN23" s="12">
        <f t="array" ref="DN23">INDEX(DM:DM,MIN(IF(ISNUMBER(DM23:DM219),ROW(DM23:DM219),"")))</f>
        <v>2.1</v>
      </c>
      <c r="DO23" s="12">
        <f>IF('Données projet'!$A$166&gt;35,DO22+DN23-DW22,IF(A23&lt;'Données projet'!$A$166,$DL$205^A23,IF(A23='Données projet'!$A$166,'Données projet'!$B$166,DO22+DN23-DW22)))</f>
        <v>42</v>
      </c>
      <c r="DP23" s="17">
        <f>DO23*VLOOKUP('Données projet'!$B$14,Paramètres!$A$1:$I$89,3,0)*VLOOKUP('Données projet'!$B$14,Paramètres!$A$1:$I$89,5,0)</f>
        <v>42.588000000000001</v>
      </c>
      <c r="DQ23" s="13">
        <f t="shared" si="43"/>
        <v>12.682073764365764</v>
      </c>
      <c r="DR23" s="20">
        <f t="shared" si="16"/>
        <v>96.262045139603686</v>
      </c>
      <c r="DS23" s="59">
        <f t="shared" si="17"/>
        <v>377.37315625071483</v>
      </c>
      <c r="DT23" s="59">
        <f ca="1">AVERAGE(OFFSET($DS$3,0,0,'Données projet'!$E$14+1,1))-AVERAGE(OFFSET($H$3,0,0,'Données projet'!$E$14+1,1))</f>
        <v>475.47920969424894</v>
      </c>
      <c r="DU23" s="59">
        <f t="shared" si="44"/>
        <v>271.73544012419364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42</v>
      </c>
      <c r="EH23" s="12">
        <f>VLOOKUP(A23,'Données projet'!$A$191:$I$211,9,0)</f>
        <v>2.1</v>
      </c>
      <c r="EI23" s="12">
        <f t="array" ref="EI23">INDEX(EH:EH,MIN(IF(ISNUMBER(EH23:EH219),ROW(EH23:EH219),"")))</f>
        <v>2.1</v>
      </c>
      <c r="EJ23" s="12">
        <f>IF('Données projet'!$A$192&gt;35,EJ22+EI23-ER22,IF(A23&lt;'Données projet'!$A$192,$EG$205^A23,IF(A23='Données projet'!$A$192,'Données projet'!$B$192,EJ22+EI23-ER22)))</f>
        <v>42</v>
      </c>
      <c r="EK23" s="17">
        <f>EJ23*VLOOKUP('Données projet'!$B$15,Paramètres!$A$1:$I$89,3,0)*VLOOKUP('Données projet'!$B$15,Paramètres!$A$1:$I$89,5,0)</f>
        <v>38.001600000000003</v>
      </c>
      <c r="EL23" s="13">
        <f t="shared" si="45"/>
        <v>11.467401227090512</v>
      </c>
      <c r="EM23" s="20">
        <f t="shared" si="19"/>
        <v>86.158510470515978</v>
      </c>
      <c r="EN23" s="59">
        <f t="shared" si="20"/>
        <v>367.26962158162712</v>
      </c>
      <c r="EO23" s="59">
        <f ca="1">AVERAGE(OFFSET($EN$3,0,0,'Données projet'!$E$15+1,1))-AVERAGE(OFFSET($H$3,0,0,'Données projet'!$E$15+1,1))</f>
        <v>428.8489304403459</v>
      </c>
      <c r="EP23" s="59">
        <f t="shared" si="46"/>
        <v>247.01165577562966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114</v>
      </c>
      <c r="FC23" s="12">
        <f>VLOOKUP(A23,'Données projet'!$A$217:$I$237,9,0)</f>
        <v>7.6</v>
      </c>
      <c r="FD23" s="12">
        <f t="array" ref="FD23">INDEX(FC:FC,MIN(IF(ISNUMBER(FC23:FC219),ROW(FC23:FC219),"")))</f>
        <v>7.6</v>
      </c>
      <c r="FE23" s="12">
        <f>IF('Données projet'!$A$218&gt;35,FE22+FD23-FM22,IF(A23&lt;'Données projet'!$A$218,$FB$205^A23,IF(A23='Données projet'!$A$218,'Données projet'!$B$218,FE22+FD23-FM22)))</f>
        <v>113.99999999999997</v>
      </c>
      <c r="FF23" s="17">
        <f>FE23*VLOOKUP('Données projet'!$B$16,Paramètres!$A$1:$I$89,3,0)*VLOOKUP('Données projet'!$B$16,Paramètres!$A$1:$I$89,5,0)</f>
        <v>103.14719999999997</v>
      </c>
      <c r="FG23" s="13">
        <f t="shared" si="47"/>
        <v>27.710417026801451</v>
      </c>
      <c r="FH23" s="20">
        <f t="shared" si="22"/>
        <v>227.91034965501248</v>
      </c>
      <c r="FI23" s="59">
        <f t="shared" si="23"/>
        <v>509.0214607661236</v>
      </c>
      <c r="FJ23" s="59">
        <f ca="1">AVERAGE(OFFSET($FI$3,0,0,'Données projet'!$E$16+1,1))-AVERAGE(OFFSET($H$3,0,0,'Données projet'!$E$16+1,1))</f>
        <v>245.25496369542458</v>
      </c>
      <c r="FK23" s="59">
        <f t="shared" si="48"/>
        <v>342.30266518164211</v>
      </c>
      <c r="FL23" s="15">
        <f>IF(ISNA(VLOOKUP(A23,'Données projet'!$A$217:$I$237,3,0)),0,VLOOKUP(A23,'Données projet'!$A$217:$I$237,3,0))</f>
        <v>3</v>
      </c>
      <c r="FM23" s="15">
        <f>IF(ISNA(VLOOKUP(A23,'Données projet'!$A$217:$I$237,4,0)),0,VLOOKUP(A23,'Données projet'!$A$217:$I$237,4,0))</f>
        <v>10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 t="e">
        <f>N24*VLOOKUP('Données projet'!$B$9,Paramètres!$A$1:$I$89,3,0)*VLOOKUP('Données projet'!$B$9,Paramètres!$A$1:$I$89,5,0)</f>
        <v>#N/A</v>
      </c>
      <c r="P24" s="13" t="e">
        <f t="shared" si="33"/>
        <v>#N/A</v>
      </c>
      <c r="Q24" s="20" t="e">
        <f t="shared" si="2"/>
        <v>#N/A</v>
      </c>
      <c r="R24" s="59" t="e">
        <f t="shared" si="0"/>
        <v>#N/A</v>
      </c>
      <c r="S24" s="59" t="e">
        <f ca="1">AVERAGE(OFFSET($R$3,0,0,'Données projet'!$E$9+1,1))-AVERAGE(OFFSET($H$3,0,0,'Données projet'!$E$9+1,1))</f>
        <v>#N/A</v>
      </c>
      <c r="T24" s="59" t="e">
        <f t="shared" si="34"/>
        <v>#N/A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 t="e">
        <f>EXP(-LN(2)/35)*Z23+(1-EXP(-LN(2)/35))/(LN(2)/35)*V24*W24*VLOOKUP('Données projet'!$B$9,Paramètres!$A$1:$I$89,3,0)*0.475*44/12</f>
        <v>#N/A</v>
      </c>
      <c r="AA24" s="21" t="e">
        <f>EXP(-LN(2)/25)*AA23+(1-EXP(-LN(2)/25))/(LN(2)/25)*Calculateur!V24*Calculateur!X24*VLOOKUP('Données projet'!$B$9,Paramètres!$A$1:$I$89,3,0)*0.475*44/12</f>
        <v>#N/A</v>
      </c>
      <c r="AB24" s="21" t="e">
        <f>EXP(-LN(2)/2)*AB23+(1-EXP(-LN(2)/2))/(LN(2)/2)*V24*Y24*VLOOKUP('Données projet'!$B$9,Paramètres!$A$1:$I$89,3,0)*0.475*44/12</f>
        <v>#N/A</v>
      </c>
      <c r="AC24" s="22" t="e">
        <f t="shared" si="3"/>
        <v>#N/A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12.6</v>
      </c>
      <c r="AI24" s="13">
        <f>IF('Données projet'!$A$62&gt;35,AI23+AH24-AQ23,IF(A24&lt;'Données projet'!$A$62,$AF$205^A24,IF(A24='Données projet'!$A$62,'Données projet'!$B$62,AI23+AH24-AQ23)))</f>
        <v>64.59999999999998</v>
      </c>
      <c r="AJ24" s="13">
        <f>AI24*VLOOKUP('Données projet'!$B$10,Paramètres!$A$1:$I$89,3,0)*VLOOKUP('Données projet'!$B$10,Paramètres!$A$1:$I$89,5,0)</f>
        <v>56.434559999999991</v>
      </c>
      <c r="AK24" s="13">
        <f t="shared" si="35"/>
        <v>16.26362505907256</v>
      </c>
      <c r="AL24" s="20">
        <f t="shared" si="4"/>
        <v>126.61600564455136</v>
      </c>
      <c r="AM24" s="59">
        <f t="shared" si="5"/>
        <v>408.94933897788468</v>
      </c>
      <c r="AN24" s="59">
        <f ca="1">AVERAGE(OFFSET($AM$3,0,0,'Données projet'!$E$10+1,1))-AVERAGE(OFFSET($H$3,0,0,'Données projet'!$E$10+1,1))</f>
        <v>338.55719679154777</v>
      </c>
      <c r="AO24" s="59">
        <f t="shared" si="36"/>
        <v>371.26234252426531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6.1538461538461533</v>
      </c>
      <c r="BD24" s="12">
        <f>IF('Données projet'!$A$88&gt;35,BD23+BC24-BL23,IF(A24&lt;'Données projet'!$A$88,$BA$205^A24,IF(A24='Données projet'!$A$88,'Données projet'!$B$88,BD23+BC24-BL23)))</f>
        <v>69.615384615384613</v>
      </c>
      <c r="BE24" s="13">
        <f>BD24*VLOOKUP('Données projet'!$B$11,Paramètres!$A$1:$I$89,3,0)*VLOOKUP('Données projet'!$B$11,Paramètres!$A$1:$I$89,5,0)</f>
        <v>66.245999999999995</v>
      </c>
      <c r="BF24" s="13">
        <f t="shared" si="37"/>
        <v>18.738237565286223</v>
      </c>
      <c r="BG24" s="20">
        <f t="shared" si="7"/>
        <v>148.01421375954016</v>
      </c>
      <c r="BH24" s="59">
        <f t="shared" si="8"/>
        <v>430.34754709287347</v>
      </c>
      <c r="BI24" s="59">
        <f ca="1">AVERAGE(OFFSET($BH$3,0,0,'Données projet'!$E$11+1,1))-AVERAGE(OFFSET($H$3,0,0,'Données projet'!$E$11+1,1))</f>
        <v>351.6178679548006</v>
      </c>
      <c r="BJ24" s="59">
        <f t="shared" si="38"/>
        <v>244.7141066773861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3.4358974358974361</v>
      </c>
      <c r="BY24" s="12">
        <f>IF('Données projet'!$A$114&gt;35,BY23+BX24-CG23,IF(A24&lt;'Données projet'!$A$114,$BV$205^A24,IF(A24='Données projet'!$A$114,'Données projet'!$B$114,BY23+BX24-CG23)))</f>
        <v>25.657421701143715</v>
      </c>
      <c r="BZ24" s="13">
        <f>BY24*VLOOKUP('Données projet'!$B$12,Paramètres!$A$1:$I$89,3,0)*VLOOKUP('Données projet'!$B$12,Paramètres!$A$1:$I$89,5,0)</f>
        <v>12.007673356135259</v>
      </c>
      <c r="CA24" s="13">
        <f t="shared" si="39"/>
        <v>4.1434482424744576</v>
      </c>
      <c r="CB24" s="20">
        <f t="shared" si="10"/>
        <v>28.129870117578587</v>
      </c>
      <c r="CC24" s="59">
        <f t="shared" si="11"/>
        <v>310.46320345091192</v>
      </c>
      <c r="CD24" s="59">
        <f ca="1">AVERAGE(OFFSET($CC$3,0,0,'Données projet'!$E$12+1,1))-AVERAGE(OFFSET($H$3,0,0,'Données projet'!$E$12+1,1))</f>
        <v>246.66630850723385</v>
      </c>
      <c r="CE24" s="59">
        <f t="shared" si="40"/>
        <v>145.34368562171613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10.6</v>
      </c>
      <c r="CT24" s="12">
        <f>IF('Données projet'!$A$140&gt;35,CT23+CS24-DB23,IF(A24&lt;'Données projet'!$A$140,$CQ$205^A24,IF(A24='Données projet'!$A$140,'Données projet'!$B$140,CT23+CS24-DB23)))</f>
        <v>98.59999999999998</v>
      </c>
      <c r="CU24" s="17">
        <f>CT24*VLOOKUP('Données projet'!$B$13,Paramètres!$A$1:$I$89,3,0)*VLOOKUP('Données projet'!$B$13,Paramètres!$A$1:$I$89,5,0)</f>
        <v>76.907999999999987</v>
      </c>
      <c r="CV24" s="13">
        <f t="shared" si="41"/>
        <v>21.379448490435635</v>
      </c>
      <c r="CW24" s="20">
        <f t="shared" si="13"/>
        <v>171.18397278750868</v>
      </c>
      <c r="CX24" s="59">
        <f t="shared" si="14"/>
        <v>453.51730612084202</v>
      </c>
      <c r="CY24" s="59">
        <f ca="1">AVERAGE(OFFSET($CX$3,0,0,'Données projet'!$E$13+1,1))-AVERAGE(OFFSET($H$3,0,0,'Données projet'!$E$13+1,1))</f>
        <v>292.57482726862594</v>
      </c>
      <c r="CZ24" s="59">
        <f t="shared" si="42"/>
        <v>283.48738729114024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5.6</v>
      </c>
      <c r="DO24" s="12">
        <f>IF('Données projet'!$A$166&gt;35,DO23+DN24-DW23,IF(A24&lt;'Données projet'!$A$166,$DL$205^A24,IF(A24='Données projet'!$A$166,'Données projet'!$B$166,DO23+DN24-DW23)))</f>
        <v>47.6</v>
      </c>
      <c r="DP24" s="17">
        <f>DO24*VLOOKUP('Données projet'!$B$14,Paramètres!$A$1:$I$89,3,0)*VLOOKUP('Données projet'!$B$14,Paramètres!$A$1:$I$89,5,0)</f>
        <v>48.266400000000004</v>
      </c>
      <c r="DQ24" s="13">
        <f t="shared" si="43"/>
        <v>14.165134590154434</v>
      </c>
      <c r="DR24" s="20">
        <f t="shared" si="16"/>
        <v>108.73492274451898</v>
      </c>
      <c r="DS24" s="59">
        <f t="shared" si="17"/>
        <v>391.06825607785231</v>
      </c>
      <c r="DT24" s="59">
        <f ca="1">AVERAGE(OFFSET($DS$3,0,0,'Données projet'!$E$14+1,1))-AVERAGE(OFFSET($H$3,0,0,'Données projet'!$E$14+1,1))</f>
        <v>475.47920969424894</v>
      </c>
      <c r="DU24" s="59">
        <f t="shared" si="44"/>
        <v>271.73544012419364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5.6</v>
      </c>
      <c r="EJ24" s="12">
        <f>IF('Données projet'!$A$192&gt;35,EJ23+EI24-ER23,IF(A24&lt;'Données projet'!$A$192,$EG$205^A24,IF(A24='Données projet'!$A$192,'Données projet'!$B$192,EJ23+EI24-ER23)))</f>
        <v>47.6</v>
      </c>
      <c r="EK24" s="17">
        <f>EJ24*VLOOKUP('Données projet'!$B$15,Paramètres!$A$1:$I$89,3,0)*VLOOKUP('Données projet'!$B$15,Paramètres!$A$1:$I$89,5,0)</f>
        <v>43.068480000000001</v>
      </c>
      <c r="EL24" s="13">
        <f t="shared" si="45"/>
        <v>12.808416415102187</v>
      </c>
      <c r="EM24" s="20">
        <f t="shared" si="19"/>
        <v>97.318927922969635</v>
      </c>
      <c r="EN24" s="59">
        <f t="shared" si="20"/>
        <v>379.65226125630295</v>
      </c>
      <c r="EO24" s="59">
        <f ca="1">AVERAGE(OFFSET($EN$3,0,0,'Données projet'!$E$15+1,1))-AVERAGE(OFFSET($H$3,0,0,'Données projet'!$E$15+1,1))</f>
        <v>428.8489304403459</v>
      </c>
      <c r="EP24" s="59">
        <f t="shared" si="46"/>
        <v>247.01165577562966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6.4</v>
      </c>
      <c r="FE24" s="12">
        <f>IF('Données projet'!$A$218&gt;35,FE23+FD24-FM23,IF(A24&lt;'Données projet'!$A$218,$FB$205^A24,IF(A24='Données projet'!$A$218,'Données projet'!$B$218,FE23+FD24-FM23)))</f>
        <v>110.39999999999998</v>
      </c>
      <c r="FF24" s="17">
        <f>FE24*VLOOKUP('Données projet'!$B$16,Paramètres!$A$1:$I$89,3,0)*VLOOKUP('Données projet'!$B$16,Paramètres!$A$1:$I$89,5,0)</f>
        <v>99.889919999999975</v>
      </c>
      <c r="FG24" s="13">
        <f t="shared" si="47"/>
        <v>26.935770825480166</v>
      </c>
      <c r="FH24" s="20">
        <f t="shared" si="22"/>
        <v>220.88807818771124</v>
      </c>
      <c r="FI24" s="59">
        <f t="shared" si="23"/>
        <v>503.22141152104456</v>
      </c>
      <c r="FJ24" s="59">
        <f ca="1">AVERAGE(OFFSET($FI$3,0,0,'Données projet'!$E$16+1,1))-AVERAGE(OFFSET($H$3,0,0,'Données projet'!$E$16+1,1))</f>
        <v>245.25496369542458</v>
      </c>
      <c r="FK24" s="59">
        <f t="shared" si="48"/>
        <v>342.30266518164211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 t="e">
        <f>N25*VLOOKUP('Données projet'!$B$9,Paramètres!$A$1:$I$89,3,0)*VLOOKUP('Données projet'!$B$9,Paramètres!$A$1:$I$89,5,0)</f>
        <v>#N/A</v>
      </c>
      <c r="P25" s="13" t="e">
        <f t="shared" si="33"/>
        <v>#N/A</v>
      </c>
      <c r="Q25" s="20" t="e">
        <f t="shared" si="2"/>
        <v>#N/A</v>
      </c>
      <c r="R25" s="59" t="e">
        <f t="shared" si="0"/>
        <v>#N/A</v>
      </c>
      <c r="S25" s="59" t="e">
        <f ca="1">AVERAGE(OFFSET($R$3,0,0,'Données projet'!$E$9+1,1))-AVERAGE(OFFSET($H$3,0,0,'Données projet'!$E$9+1,1))</f>
        <v>#N/A</v>
      </c>
      <c r="T25" s="59" t="e">
        <f t="shared" si="34"/>
        <v>#N/A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 t="e">
        <f>EXP(-LN(2)/35)*Z24+(1-EXP(-LN(2)/35))/(LN(2)/35)*V25*W25*VLOOKUP('Données projet'!$B$9,Paramètres!$A$1:$I$89,3,0)*0.475*44/12</f>
        <v>#N/A</v>
      </c>
      <c r="AA25" s="21" t="e">
        <f>EXP(-LN(2)/25)*AA24+(1-EXP(-LN(2)/25))/(LN(2)/25)*Calculateur!V25*Calculateur!X25*VLOOKUP('Données projet'!$B$9,Paramètres!$A$1:$I$89,3,0)*0.475*44/12</f>
        <v>#N/A</v>
      </c>
      <c r="AB25" s="21" t="e">
        <f>EXP(-LN(2)/2)*AB24+(1-EXP(-LN(2)/2))/(LN(2)/2)*V25*Y25*VLOOKUP('Données projet'!$B$9,Paramètres!$A$1:$I$89,3,0)*0.475*44/12</f>
        <v>#N/A</v>
      </c>
      <c r="AC25" s="22" t="e">
        <f t="shared" si="3"/>
        <v>#N/A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12.6</v>
      </c>
      <c r="AI25" s="13">
        <f>IF('Données projet'!$A$62&gt;35,AI24+AH25-AQ24,IF(A25&lt;'Données projet'!$A$62,$AF$205^A25,IF(A25='Données projet'!$A$62,'Données projet'!$B$62,AI24+AH25-AQ24)))</f>
        <v>77.199999999999974</v>
      </c>
      <c r="AJ25" s="13">
        <f>AI25*VLOOKUP('Données projet'!$B$10,Paramètres!$A$1:$I$89,3,0)*VLOOKUP('Données projet'!$B$10,Paramètres!$A$1:$I$89,5,0)</f>
        <v>67.441919999999996</v>
      </c>
      <c r="AK25" s="13">
        <f t="shared" si="35"/>
        <v>19.036826299015036</v>
      </c>
      <c r="AL25" s="20">
        <f t="shared" si="4"/>
        <v>150.61714980411784</v>
      </c>
      <c r="AM25" s="59">
        <f t="shared" si="5"/>
        <v>434.17270535967339</v>
      </c>
      <c r="AN25" s="59">
        <f ca="1">AVERAGE(OFFSET($AM$3,0,0,'Données projet'!$E$10+1,1))-AVERAGE(OFFSET($H$3,0,0,'Données projet'!$E$10+1,1))</f>
        <v>338.55719679154777</v>
      </c>
      <c r="AO25" s="59">
        <f t="shared" si="36"/>
        <v>371.26234252426531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6.1538461538461533</v>
      </c>
      <c r="BD25" s="12">
        <f>IF('Données projet'!$A$88&gt;35,BD24+BC25-BL24,IF(A25&lt;'Données projet'!$A$88,$BA$205^A25,IF(A25='Données projet'!$A$88,'Données projet'!$B$88,BD24+BC25-BL24)))</f>
        <v>75.769230769230774</v>
      </c>
      <c r="BE25" s="13">
        <f>BD25*VLOOKUP('Données projet'!$B$11,Paramètres!$A$1:$I$89,3,0)*VLOOKUP('Données projet'!$B$11,Paramètres!$A$1:$I$89,5,0)</f>
        <v>72.102000000000004</v>
      </c>
      <c r="BF25" s="13">
        <f t="shared" si="37"/>
        <v>20.194556009371063</v>
      </c>
      <c r="BG25" s="20">
        <f t="shared" si="7"/>
        <v>160.74983504965459</v>
      </c>
      <c r="BH25" s="59">
        <f t="shared" si="8"/>
        <v>444.30539060521016</v>
      </c>
      <c r="BI25" s="59">
        <f ca="1">AVERAGE(OFFSET($BH$3,0,0,'Données projet'!$E$11+1,1))-AVERAGE(OFFSET($H$3,0,0,'Données projet'!$E$11+1,1))</f>
        <v>351.6178679548006</v>
      </c>
      <c r="BJ25" s="59">
        <f t="shared" si="38"/>
        <v>244.7141066773861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3.4358974358974361</v>
      </c>
      <c r="BY25" s="12">
        <f>IF('Données projet'!$A$114&gt;35,BY24+BX25-CG24,IF(A25&lt;'Données projet'!$A$114,$BV$205^A25,IF(A25='Données projet'!$A$114,'Données projet'!$B$114,BY24+BX25-CG24)))</f>
        <v>29.944591562111224</v>
      </c>
      <c r="BZ25" s="13">
        <f>BY25*VLOOKUP('Données projet'!$B$12,Paramètres!$A$1:$I$89,3,0)*VLOOKUP('Données projet'!$B$12,Paramètres!$A$1:$I$89,5,0)</f>
        <v>14.014068851068053</v>
      </c>
      <c r="CA25" s="13">
        <f t="shared" si="39"/>
        <v>4.749591223232712</v>
      </c>
      <c r="CB25" s="20">
        <f t="shared" si="10"/>
        <v>32.680041296073831</v>
      </c>
      <c r="CC25" s="59">
        <f t="shared" si="11"/>
        <v>316.2355968516294</v>
      </c>
      <c r="CD25" s="59">
        <f ca="1">AVERAGE(OFFSET($CC$3,0,0,'Données projet'!$E$12+1,1))-AVERAGE(OFFSET($H$3,0,0,'Données projet'!$E$12+1,1))</f>
        <v>246.66630850723385</v>
      </c>
      <c r="CE25" s="59">
        <f t="shared" si="40"/>
        <v>145.34368562171613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10.6</v>
      </c>
      <c r="CT25" s="12">
        <f>IF('Données projet'!$A$140&gt;35,CT24+CS25-DB24,IF(A25&lt;'Données projet'!$A$140,$CQ$205^A25,IF(A25='Données projet'!$A$140,'Données projet'!$B$140,CT24+CS25-DB24)))</f>
        <v>109.19999999999997</v>
      </c>
      <c r="CU25" s="17">
        <f>CT25*VLOOKUP('Données projet'!$B$13,Paramètres!$A$1:$I$89,3,0)*VLOOKUP('Données projet'!$B$13,Paramètres!$A$1:$I$89,5,0)</f>
        <v>85.175999999999988</v>
      </c>
      <c r="CV25" s="13">
        <f t="shared" si="41"/>
        <v>23.398088487656434</v>
      </c>
      <c r="CW25" s="20">
        <f t="shared" si="13"/>
        <v>189.09987078266826</v>
      </c>
      <c r="CX25" s="59">
        <f t="shared" si="14"/>
        <v>472.65542633822383</v>
      </c>
      <c r="CY25" s="59">
        <f ca="1">AVERAGE(OFFSET($CX$3,0,0,'Données projet'!$E$13+1,1))-AVERAGE(OFFSET($H$3,0,0,'Données projet'!$E$13+1,1))</f>
        <v>292.57482726862594</v>
      </c>
      <c r="CZ25" s="59">
        <f t="shared" si="42"/>
        <v>283.48738729114024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5.6</v>
      </c>
      <c r="DO25" s="12">
        <f>IF('Données projet'!$A$166&gt;35,DO24+DN25-DW24,IF(A25&lt;'Données projet'!$A$166,$DL$205^A25,IF(A25='Données projet'!$A$166,'Données projet'!$B$166,DO24+DN25-DW24)))</f>
        <v>53.2</v>
      </c>
      <c r="DP25" s="17">
        <f>DO25*VLOOKUP('Données projet'!$B$14,Paramètres!$A$1:$I$89,3,0)*VLOOKUP('Données projet'!$B$14,Paramètres!$A$1:$I$89,5,0)</f>
        <v>53.944800000000008</v>
      </c>
      <c r="DQ25" s="13">
        <f t="shared" si="43"/>
        <v>15.627975445731321</v>
      </c>
      <c r="DR25" s="20">
        <f t="shared" si="16"/>
        <v>121.17258390131538</v>
      </c>
      <c r="DS25" s="59">
        <f t="shared" si="17"/>
        <v>404.72813945687091</v>
      </c>
      <c r="DT25" s="59">
        <f ca="1">AVERAGE(OFFSET($DS$3,0,0,'Données projet'!$E$14+1,1))-AVERAGE(OFFSET($H$3,0,0,'Données projet'!$E$14+1,1))</f>
        <v>475.47920969424894</v>
      </c>
      <c r="DU25" s="59">
        <f t="shared" si="44"/>
        <v>271.73544012419364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5.6</v>
      </c>
      <c r="EJ25" s="12">
        <f>IF('Données projet'!$A$192&gt;35,EJ24+EI25-ER24,IF(A25&lt;'Données projet'!$A$192,$EG$205^A25,IF(A25='Données projet'!$A$192,'Données projet'!$B$192,EJ24+EI25-ER24)))</f>
        <v>53.2</v>
      </c>
      <c r="EK25" s="17">
        <f>EJ25*VLOOKUP('Données projet'!$B$15,Paramètres!$A$1:$I$89,3,0)*VLOOKUP('Données projet'!$B$15,Paramètres!$A$1:$I$89,5,0)</f>
        <v>48.135359999999999</v>
      </c>
      <c r="EL25" s="13">
        <f t="shared" si="45"/>
        <v>14.131148275361113</v>
      </c>
      <c r="EM25" s="20">
        <f t="shared" si="19"/>
        <v>108.4475019129206</v>
      </c>
      <c r="EN25" s="59">
        <f t="shared" si="20"/>
        <v>392.00305746847613</v>
      </c>
      <c r="EO25" s="59">
        <f ca="1">AVERAGE(OFFSET($EN$3,0,0,'Données projet'!$E$15+1,1))-AVERAGE(OFFSET($H$3,0,0,'Données projet'!$E$15+1,1))</f>
        <v>428.8489304403459</v>
      </c>
      <c r="EP25" s="59">
        <f t="shared" si="46"/>
        <v>247.01165577562966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6.4</v>
      </c>
      <c r="FE25" s="12">
        <f>IF('Données projet'!$A$218&gt;35,FE24+FD25-FM24,IF(A25&lt;'Données projet'!$A$218,$FB$205^A25,IF(A25='Données projet'!$A$218,'Données projet'!$B$218,FE24+FD25-FM24)))</f>
        <v>116.79999999999998</v>
      </c>
      <c r="FF25" s="17">
        <f>FE25*VLOOKUP('Données projet'!$B$16,Paramètres!$A$1:$I$89,3,0)*VLOOKUP('Données projet'!$B$16,Paramètres!$A$1:$I$89,5,0)</f>
        <v>105.68063999999998</v>
      </c>
      <c r="FG25" s="13">
        <f t="shared" si="47"/>
        <v>28.31094923104175</v>
      </c>
      <c r="FH25" s="20">
        <f t="shared" si="22"/>
        <v>233.36868457739766</v>
      </c>
      <c r="FI25" s="59">
        <f t="shared" si="23"/>
        <v>516.92424013295317</v>
      </c>
      <c r="FJ25" s="59">
        <f ca="1">AVERAGE(OFFSET($FI$3,0,0,'Données projet'!$E$16+1,1))-AVERAGE(OFFSET($H$3,0,0,'Données projet'!$E$16+1,1))</f>
        <v>245.25496369542458</v>
      </c>
      <c r="FK25" s="59">
        <f t="shared" si="48"/>
        <v>342.30266518164211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 t="e">
        <f>N26*VLOOKUP('Données projet'!$B$9,Paramètres!$A$1:$I$89,3,0)*VLOOKUP('Données projet'!$B$9,Paramètres!$A$1:$I$89,5,0)</f>
        <v>#N/A</v>
      </c>
      <c r="P26" s="13" t="e">
        <f t="shared" si="33"/>
        <v>#N/A</v>
      </c>
      <c r="Q26" s="20" t="e">
        <f t="shared" si="2"/>
        <v>#N/A</v>
      </c>
      <c r="R26" s="59" t="e">
        <f t="shared" si="0"/>
        <v>#N/A</v>
      </c>
      <c r="S26" s="59" t="e">
        <f ca="1">AVERAGE(OFFSET($R$3,0,0,'Données projet'!$E$9+1,1))-AVERAGE(OFFSET($H$3,0,0,'Données projet'!$E$9+1,1))</f>
        <v>#N/A</v>
      </c>
      <c r="T26" s="59" t="e">
        <f t="shared" si="34"/>
        <v>#N/A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 t="e">
        <f>EXP(-LN(2)/35)*Z25+(1-EXP(-LN(2)/35))/(LN(2)/35)*V26*W26*VLOOKUP('Données projet'!$B$9,Paramètres!$A$1:$I$89,3,0)*0.475*44/12</f>
        <v>#N/A</v>
      </c>
      <c r="AA26" s="21" t="e">
        <f>EXP(-LN(2)/25)*AA25+(1-EXP(-LN(2)/25))/(LN(2)/25)*Calculateur!V26*Calculateur!X26*VLOOKUP('Données projet'!$B$9,Paramètres!$A$1:$I$89,3,0)*0.475*44/12</f>
        <v>#N/A</v>
      </c>
      <c r="AB26" s="21" t="e">
        <f>EXP(-LN(2)/2)*AB25+(1-EXP(-LN(2)/2))/(LN(2)/2)*V26*Y26*VLOOKUP('Données projet'!$B$9,Paramètres!$A$1:$I$89,3,0)*0.475*44/12</f>
        <v>#N/A</v>
      </c>
      <c r="AC26" s="22" t="e">
        <f t="shared" si="3"/>
        <v>#N/A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12.6</v>
      </c>
      <c r="AI26" s="13">
        <f>IF('Données projet'!$A$62&gt;35,AI25+AH26-AQ25,IF(A26&lt;'Données projet'!$A$62,$AF$205^A26,IF(A26='Données projet'!$A$62,'Données projet'!$B$62,AI25+AH26-AQ25)))</f>
        <v>89.799999999999969</v>
      </c>
      <c r="AJ26" s="13">
        <f>AI26*VLOOKUP('Données projet'!$B$10,Paramètres!$A$1:$I$89,3,0)*VLOOKUP('Données projet'!$B$10,Paramètres!$A$1:$I$89,5,0)</f>
        <v>78.449279999999987</v>
      </c>
      <c r="AK26" s="13">
        <f t="shared" si="35"/>
        <v>21.757594161482565</v>
      </c>
      <c r="AL26" s="20">
        <f t="shared" si="4"/>
        <v>174.52697249791541</v>
      </c>
      <c r="AM26" s="59">
        <f t="shared" si="5"/>
        <v>459.30475027569321</v>
      </c>
      <c r="AN26" s="59">
        <f ca="1">AVERAGE(OFFSET($AM$3,0,0,'Données projet'!$E$10+1,1))-AVERAGE(OFFSET($H$3,0,0,'Données projet'!$E$10+1,1))</f>
        <v>338.55719679154777</v>
      </c>
      <c r="AO26" s="59">
        <f t="shared" si="36"/>
        <v>371.26234252426531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6.1538461538461533</v>
      </c>
      <c r="BD26" s="12">
        <f>IF('Données projet'!$A$88&gt;35,BD25+BC26-BL25,IF(A26&lt;'Données projet'!$A$88,$BA$205^A26,IF(A26='Données projet'!$A$88,'Données projet'!$B$88,BD25+BC26-BL25)))</f>
        <v>81.923076923076934</v>
      </c>
      <c r="BE26" s="13">
        <f>BD26*VLOOKUP('Données projet'!$B$11,Paramètres!$A$1:$I$89,3,0)*VLOOKUP('Données projet'!$B$11,Paramètres!$A$1:$I$89,5,0)</f>
        <v>77.958000000000013</v>
      </c>
      <c r="BF26" s="13">
        <f t="shared" si="37"/>
        <v>21.637155663637412</v>
      </c>
      <c r="BG26" s="20">
        <f t="shared" si="7"/>
        <v>173.46156278083515</v>
      </c>
      <c r="BH26" s="59">
        <f t="shared" si="8"/>
        <v>458.23934055861292</v>
      </c>
      <c r="BI26" s="59">
        <f ca="1">AVERAGE(OFFSET($BH$3,0,0,'Données projet'!$E$11+1,1))-AVERAGE(OFFSET($H$3,0,0,'Données projet'!$E$11+1,1))</f>
        <v>351.6178679548006</v>
      </c>
      <c r="BJ26" s="59">
        <f t="shared" si="38"/>
        <v>244.7141066773861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3.4358974358974361</v>
      </c>
      <c r="BY26" s="12">
        <f>IF('Données projet'!$A$114&gt;35,BY25+BX26-CG25,IF(A26&lt;'Données projet'!$A$114,$BV$205^A26,IF(A26='Données projet'!$A$114,'Données projet'!$B$114,BY25+BX26-CG25)))</f>
        <v>34.948116543670167</v>
      </c>
      <c r="BZ26" s="13">
        <f>BY26*VLOOKUP('Données projet'!$B$12,Paramètres!$A$1:$I$89,3,0)*VLOOKUP('Données projet'!$B$12,Paramètres!$A$1:$I$89,5,0)</f>
        <v>16.355718542437639</v>
      </c>
      <c r="CA26" s="13">
        <f t="shared" si="39"/>
        <v>5.4444065589044843</v>
      </c>
      <c r="CB26" s="20">
        <f t="shared" si="10"/>
        <v>37.968551218170866</v>
      </c>
      <c r="CC26" s="59">
        <f t="shared" si="11"/>
        <v>322.74632899594866</v>
      </c>
      <c r="CD26" s="59">
        <f ca="1">AVERAGE(OFFSET($CC$3,0,0,'Données projet'!$E$12+1,1))-AVERAGE(OFFSET($H$3,0,0,'Données projet'!$E$12+1,1))</f>
        <v>246.66630850723385</v>
      </c>
      <c r="CE26" s="59">
        <f t="shared" si="40"/>
        <v>145.34368562171613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10.6</v>
      </c>
      <c r="CT26" s="12">
        <f>IF('Données projet'!$A$140&gt;35,CT25+CS26-DB25,IF(A26&lt;'Données projet'!$A$140,$CQ$205^A26,IF(A26='Données projet'!$A$140,'Données projet'!$B$140,CT25+CS26-DB25)))</f>
        <v>119.79999999999997</v>
      </c>
      <c r="CU26" s="17">
        <f>CT26*VLOOKUP('Données projet'!$B$13,Paramètres!$A$1:$I$89,3,0)*VLOOKUP('Données projet'!$B$13,Paramètres!$A$1:$I$89,5,0)</f>
        <v>93.443999999999974</v>
      </c>
      <c r="CV26" s="13">
        <f t="shared" si="41"/>
        <v>25.394010816431489</v>
      </c>
      <c r="CW26" s="20">
        <f t="shared" si="13"/>
        <v>206.97620217195148</v>
      </c>
      <c r="CX26" s="59">
        <f t="shared" si="14"/>
        <v>491.75397994972923</v>
      </c>
      <c r="CY26" s="59">
        <f ca="1">AVERAGE(OFFSET($CX$3,0,0,'Données projet'!$E$13+1,1))-AVERAGE(OFFSET($H$3,0,0,'Données projet'!$E$13+1,1))</f>
        <v>292.57482726862594</v>
      </c>
      <c r="CZ26" s="59">
        <f t="shared" si="42"/>
        <v>283.48738729114024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5.6</v>
      </c>
      <c r="DO26" s="12">
        <f>IF('Données projet'!$A$166&gt;35,DO25+DN26-DW25,IF(A26&lt;'Données projet'!$A$166,$DL$205^A26,IF(A26='Données projet'!$A$166,'Données projet'!$B$166,DO25+DN26-DW25)))</f>
        <v>58.800000000000004</v>
      </c>
      <c r="DP26" s="17">
        <f>DO26*VLOOKUP('Données projet'!$B$14,Paramètres!$A$1:$I$89,3,0)*VLOOKUP('Données projet'!$B$14,Paramètres!$A$1:$I$89,5,0)</f>
        <v>59.623200000000011</v>
      </c>
      <c r="DQ26" s="13">
        <f t="shared" si="43"/>
        <v>17.072967249098898</v>
      </c>
      <c r="DR26" s="20">
        <f t="shared" si="16"/>
        <v>133.57915795884725</v>
      </c>
      <c r="DS26" s="59">
        <f t="shared" si="17"/>
        <v>418.35693573662502</v>
      </c>
      <c r="DT26" s="59">
        <f ca="1">AVERAGE(OFFSET($DS$3,0,0,'Données projet'!$E$14+1,1))-AVERAGE(OFFSET($H$3,0,0,'Données projet'!$E$14+1,1))</f>
        <v>475.47920969424894</v>
      </c>
      <c r="DU26" s="59">
        <f t="shared" si="44"/>
        <v>271.73544012419364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5.6</v>
      </c>
      <c r="EJ26" s="12">
        <f>IF('Données projet'!$A$192&gt;35,EJ25+EI26-ER25,IF(A26&lt;'Données projet'!$A$192,$EG$205^A26,IF(A26='Données projet'!$A$192,'Données projet'!$B$192,EJ25+EI26-ER25)))</f>
        <v>58.800000000000004</v>
      </c>
      <c r="EK26" s="17">
        <f>EJ26*VLOOKUP('Données projet'!$B$15,Paramètres!$A$1:$I$89,3,0)*VLOOKUP('Données projet'!$B$15,Paramètres!$A$1:$I$89,5,0)</f>
        <v>53.202240000000003</v>
      </c>
      <c r="EL26" s="13">
        <f t="shared" si="45"/>
        <v>15.437740642425908</v>
      </c>
      <c r="EM26" s="20">
        <f t="shared" si="19"/>
        <v>119.54796628555846</v>
      </c>
      <c r="EN26" s="59">
        <f t="shared" si="20"/>
        <v>404.32574406333623</v>
      </c>
      <c r="EO26" s="59">
        <f ca="1">AVERAGE(OFFSET($EN$3,0,0,'Données projet'!$E$15+1,1))-AVERAGE(OFFSET($H$3,0,0,'Données projet'!$E$15+1,1))</f>
        <v>428.8489304403459</v>
      </c>
      <c r="EP26" s="59">
        <f t="shared" si="46"/>
        <v>247.01165577562966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6.4</v>
      </c>
      <c r="FE26" s="12">
        <f>IF('Données projet'!$A$218&gt;35,FE25+FD26-FM25,IF(A26&lt;'Données projet'!$A$218,$FB$205^A26,IF(A26='Données projet'!$A$218,'Données projet'!$B$218,FE25+FD26-FM25)))</f>
        <v>123.19999999999999</v>
      </c>
      <c r="FF26" s="17">
        <f>FE26*VLOOKUP('Données projet'!$B$16,Paramètres!$A$1:$I$89,3,0)*VLOOKUP('Données projet'!$B$16,Paramètres!$A$1:$I$89,5,0)</f>
        <v>111.47135999999999</v>
      </c>
      <c r="FG26" s="13">
        <f t="shared" si="47"/>
        <v>29.677379926628468</v>
      </c>
      <c r="FH26" s="20">
        <f t="shared" si="22"/>
        <v>245.8340553722112</v>
      </c>
      <c r="FI26" s="59">
        <f t="shared" si="23"/>
        <v>530.61183314998902</v>
      </c>
      <c r="FJ26" s="59">
        <f ca="1">AVERAGE(OFFSET($FI$3,0,0,'Données projet'!$E$16+1,1))-AVERAGE(OFFSET($H$3,0,0,'Données projet'!$E$16+1,1))</f>
        <v>245.25496369542458</v>
      </c>
      <c r="FK26" s="59">
        <f t="shared" si="48"/>
        <v>342.30266518164211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 t="e">
        <f>N27*VLOOKUP('Données projet'!$B$9,Paramètres!$A$1:$I$89,3,0)*VLOOKUP('Données projet'!$B$9,Paramètres!$A$1:$I$89,5,0)</f>
        <v>#N/A</v>
      </c>
      <c r="P27" s="13" t="e">
        <f t="shared" si="33"/>
        <v>#N/A</v>
      </c>
      <c r="Q27" s="20" t="e">
        <f t="shared" si="2"/>
        <v>#N/A</v>
      </c>
      <c r="R27" s="59" t="e">
        <f t="shared" si="0"/>
        <v>#N/A</v>
      </c>
      <c r="S27" s="59" t="e">
        <f ca="1">AVERAGE(OFFSET($R$3,0,0,'Données projet'!$E$9+1,1))-AVERAGE(OFFSET($H$3,0,0,'Données projet'!$E$9+1,1))</f>
        <v>#N/A</v>
      </c>
      <c r="T27" s="59" t="e">
        <f t="shared" si="34"/>
        <v>#N/A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 t="e">
        <f>EXP(-LN(2)/35)*Z26+(1-EXP(-LN(2)/35))/(LN(2)/35)*V27*W27*VLOOKUP('Données projet'!$B$9,Paramètres!$A$1:$I$89,3,0)*0.475*44/12</f>
        <v>#N/A</v>
      </c>
      <c r="AA27" s="21" t="e">
        <f>EXP(-LN(2)/25)*AA26+(1-EXP(-LN(2)/25))/(LN(2)/25)*Calculateur!V27*Calculateur!X27*VLOOKUP('Données projet'!$B$9,Paramètres!$A$1:$I$89,3,0)*0.475*44/12</f>
        <v>#N/A</v>
      </c>
      <c r="AB27" s="21" t="e">
        <f>EXP(-LN(2)/2)*AB26+(1-EXP(-LN(2)/2))/(LN(2)/2)*V27*Y27*VLOOKUP('Données projet'!$B$9,Paramètres!$A$1:$I$89,3,0)*0.475*44/12</f>
        <v>#N/A</v>
      </c>
      <c r="AC27" s="22" t="e">
        <f t="shared" si="3"/>
        <v>#N/A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12.6</v>
      </c>
      <c r="AI27" s="13">
        <f>IF('Données projet'!$A$62&gt;35,AI26+AH27-AQ26,IF(A27&lt;'Données projet'!$A$62,$AF$205^A27,IF(A27='Données projet'!$A$62,'Données projet'!$B$62,AI26+AH27-AQ26)))</f>
        <v>102.39999999999996</v>
      </c>
      <c r="AJ27" s="13">
        <f>AI27*VLOOKUP('Données projet'!$B$10,Paramètres!$A$1:$I$89,3,0)*VLOOKUP('Données projet'!$B$10,Paramètres!$A$1:$I$89,5,0)</f>
        <v>89.456639999999979</v>
      </c>
      <c r="AK27" s="13">
        <f t="shared" si="35"/>
        <v>24.434133496437102</v>
      </c>
      <c r="AL27" s="20">
        <f t="shared" si="4"/>
        <v>198.3597638396279</v>
      </c>
      <c r="AM27" s="59">
        <f t="shared" si="5"/>
        <v>484.35976383962793</v>
      </c>
      <c r="AN27" s="59">
        <f ca="1">AVERAGE(OFFSET($AM$3,0,0,'Données projet'!$E$10+1,1))-AVERAGE(OFFSET($H$3,0,0,'Données projet'!$E$10+1,1))</f>
        <v>338.55719679154777</v>
      </c>
      <c r="AO27" s="59">
        <f t="shared" si="36"/>
        <v>371.26234252426531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6.1538461538461533</v>
      </c>
      <c r="BD27" s="12">
        <f>IF('Données projet'!$A$88&gt;35,BD26+BC27-BL26,IF(A27&lt;'Données projet'!$A$88,$BA$205^A27,IF(A27='Données projet'!$A$88,'Données projet'!$B$88,BD26+BC27-BL26)))</f>
        <v>88.076923076923094</v>
      </c>
      <c r="BE27" s="13">
        <f>BD27*VLOOKUP('Données projet'!$B$11,Paramètres!$A$1:$I$89,3,0)*VLOOKUP('Données projet'!$B$11,Paramètres!$A$1:$I$89,5,0)</f>
        <v>83.814000000000021</v>
      </c>
      <c r="BF27" s="13">
        <f t="shared" si="37"/>
        <v>23.067184225497325</v>
      </c>
      <c r="BG27" s="20">
        <f t="shared" si="7"/>
        <v>186.1513958594079</v>
      </c>
      <c r="BH27" s="59">
        <f t="shared" si="8"/>
        <v>472.1513958594079</v>
      </c>
      <c r="BI27" s="59">
        <f ca="1">AVERAGE(OFFSET($BH$3,0,0,'Données projet'!$E$11+1,1))-AVERAGE(OFFSET($H$3,0,0,'Données projet'!$E$11+1,1))</f>
        <v>351.6178679548006</v>
      </c>
      <c r="BJ27" s="59">
        <f t="shared" si="38"/>
        <v>244.7141066773861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3.4358974358974361</v>
      </c>
      <c r="BY27" s="12">
        <f>IF('Données projet'!$A$114&gt;35,BY26+BX27-CG26,IF(A27&lt;'Données projet'!$A$114,$BV$205^A27,IF(A27='Données projet'!$A$114,'Données projet'!$B$114,BY26+BX27-CG26)))</f>
        <v>40.787694412748245</v>
      </c>
      <c r="BZ27" s="13">
        <f>BY27*VLOOKUP('Données projet'!$B$12,Paramètres!$A$1:$I$89,3,0)*VLOOKUP('Données projet'!$B$12,Paramètres!$A$1:$I$89,5,0)</f>
        <v>19.08864098516618</v>
      </c>
      <c r="CA27" s="13">
        <f t="shared" si="39"/>
        <v>6.2408660841484478</v>
      </c>
      <c r="CB27" s="20">
        <f t="shared" si="10"/>
        <v>44.115558145722979</v>
      </c>
      <c r="CC27" s="59">
        <f t="shared" si="11"/>
        <v>330.11555814572296</v>
      </c>
      <c r="CD27" s="59">
        <f ca="1">AVERAGE(OFFSET($CC$3,0,0,'Données projet'!$E$12+1,1))-AVERAGE(OFFSET($H$3,0,0,'Données projet'!$E$12+1,1))</f>
        <v>246.66630850723385</v>
      </c>
      <c r="CE27" s="59">
        <f t="shared" si="40"/>
        <v>145.34368562171613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10.6</v>
      </c>
      <c r="CT27" s="12">
        <f>IF('Données projet'!$A$140&gt;35,CT26+CS27-DB26,IF(A27&lt;'Données projet'!$A$140,$CQ$205^A27,IF(A27='Données projet'!$A$140,'Données projet'!$B$140,CT26+CS27-DB26)))</f>
        <v>130.39999999999998</v>
      </c>
      <c r="CU27" s="17">
        <f>CT27*VLOOKUP('Données projet'!$B$13,Paramètres!$A$1:$I$89,3,0)*VLOOKUP('Données projet'!$B$13,Paramètres!$A$1:$I$89,5,0)</f>
        <v>101.71199999999999</v>
      </c>
      <c r="CV27" s="13">
        <f t="shared" si="41"/>
        <v>27.369454120725656</v>
      </c>
      <c r="CW27" s="20">
        <f t="shared" si="13"/>
        <v>224.81686592693052</v>
      </c>
      <c r="CX27" s="59">
        <f t="shared" si="14"/>
        <v>510.81686592693052</v>
      </c>
      <c r="CY27" s="59">
        <f ca="1">AVERAGE(OFFSET($CX$3,0,0,'Données projet'!$E$13+1,1))-AVERAGE(OFFSET($H$3,0,0,'Données projet'!$E$13+1,1))</f>
        <v>292.57482726862594</v>
      </c>
      <c r="CZ27" s="59">
        <f t="shared" si="42"/>
        <v>283.48738729114024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5.6</v>
      </c>
      <c r="DO27" s="12">
        <f>IF('Données projet'!$A$166&gt;35,DO26+DN27-DW26,IF(A27&lt;'Données projet'!$A$166,$DL$205^A27,IF(A27='Données projet'!$A$166,'Données projet'!$B$166,DO26+DN27-DW26)))</f>
        <v>64.400000000000006</v>
      </c>
      <c r="DP27" s="17">
        <f>DO27*VLOOKUP('Données projet'!$B$14,Paramètres!$A$1:$I$89,3,0)*VLOOKUP('Données projet'!$B$14,Paramètres!$A$1:$I$89,5,0)</f>
        <v>65.301600000000008</v>
      </c>
      <c r="DQ27" s="13">
        <f t="shared" si="43"/>
        <v>18.502003309535596</v>
      </c>
      <c r="DR27" s="20">
        <f t="shared" si="16"/>
        <v>145.95794243077449</v>
      </c>
      <c r="DS27" s="59">
        <f t="shared" si="17"/>
        <v>431.95794243077449</v>
      </c>
      <c r="DT27" s="59">
        <f ca="1">AVERAGE(OFFSET($DS$3,0,0,'Données projet'!$E$14+1,1))-AVERAGE(OFFSET($H$3,0,0,'Données projet'!$E$14+1,1))</f>
        <v>475.47920969424894</v>
      </c>
      <c r="DU27" s="59">
        <f t="shared" si="44"/>
        <v>271.73544012419364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5.6</v>
      </c>
      <c r="EJ27" s="12">
        <f>IF('Données projet'!$A$192&gt;35,EJ26+EI27-ER26,IF(A27&lt;'Données projet'!$A$192,$EG$205^A27,IF(A27='Données projet'!$A$192,'Données projet'!$B$192,EJ26+EI27-ER26)))</f>
        <v>64.400000000000006</v>
      </c>
      <c r="EK27" s="17">
        <f>EJ27*VLOOKUP('Données projet'!$B$15,Paramètres!$A$1:$I$89,3,0)*VLOOKUP('Données projet'!$B$15,Paramètres!$A$1:$I$89,5,0)</f>
        <v>58.269120000000008</v>
      </c>
      <c r="EL27" s="13">
        <f t="shared" si="45"/>
        <v>16.729905486873804</v>
      </c>
      <c r="EM27" s="20">
        <f t="shared" si="19"/>
        <v>130.62330272297189</v>
      </c>
      <c r="EN27" s="59">
        <f t="shared" si="20"/>
        <v>416.62330272297186</v>
      </c>
      <c r="EO27" s="59">
        <f ca="1">AVERAGE(OFFSET($EN$3,0,0,'Données projet'!$E$15+1,1))-AVERAGE(OFFSET($H$3,0,0,'Données projet'!$E$15+1,1))</f>
        <v>428.8489304403459</v>
      </c>
      <c r="EP27" s="59">
        <f t="shared" si="46"/>
        <v>247.01165577562966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6.4</v>
      </c>
      <c r="FE27" s="12">
        <f>IF('Données projet'!$A$218&gt;35,FE26+FD27-FM26,IF(A27&lt;'Données projet'!$A$218,$FB$205^A27,IF(A27='Données projet'!$A$218,'Données projet'!$B$218,FE26+FD27-FM26)))</f>
        <v>129.6</v>
      </c>
      <c r="FF27" s="17">
        <f>FE27*VLOOKUP('Données projet'!$B$16,Paramètres!$A$1:$I$89,3,0)*VLOOKUP('Données projet'!$B$16,Paramètres!$A$1:$I$89,5,0)</f>
        <v>117.26208</v>
      </c>
      <c r="FG27" s="13">
        <f t="shared" si="47"/>
        <v>31.035569170075775</v>
      </c>
      <c r="FH27" s="20">
        <f t="shared" si="22"/>
        <v>258.28507230454863</v>
      </c>
      <c r="FI27" s="59">
        <f t="shared" si="23"/>
        <v>544.28507230454863</v>
      </c>
      <c r="FJ27" s="59">
        <f ca="1">AVERAGE(OFFSET($FI$3,0,0,'Données projet'!$E$16+1,1))-AVERAGE(OFFSET($H$3,0,0,'Données projet'!$E$16+1,1))</f>
        <v>245.25496369542458</v>
      </c>
      <c r="FK27" s="59">
        <f t="shared" si="48"/>
        <v>342.30266518164211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 t="e">
        <f>N28*VLOOKUP('Données projet'!$B$9,Paramètres!$A$1:$I$89,3,0)*VLOOKUP('Données projet'!$B$9,Paramètres!$A$1:$I$89,5,0)</f>
        <v>#N/A</v>
      </c>
      <c r="P28" s="13" t="e">
        <f t="shared" si="33"/>
        <v>#N/A</v>
      </c>
      <c r="Q28" s="20" t="e">
        <f t="shared" si="2"/>
        <v>#N/A</v>
      </c>
      <c r="R28" s="59" t="e">
        <f t="shared" si="0"/>
        <v>#N/A</v>
      </c>
      <c r="S28" s="59" t="e">
        <f ca="1">AVERAGE(OFFSET($R$3,0,0,'Données projet'!$E$9+1,1))-AVERAGE(OFFSET($H$3,0,0,'Données projet'!$E$9+1,1))</f>
        <v>#N/A</v>
      </c>
      <c r="T28" s="59" t="e">
        <f t="shared" si="34"/>
        <v>#N/A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 t="e">
        <f>EXP(-LN(2)/35)*Z27+(1-EXP(-LN(2)/35))/(LN(2)/35)*V28*W28*VLOOKUP('Données projet'!$B$9,Paramètres!$A$1:$I$89,3,0)*0.475*44/12</f>
        <v>#N/A</v>
      </c>
      <c r="AA28" s="21" t="e">
        <f>EXP(-LN(2)/25)*AA27+(1-EXP(-LN(2)/25))/(LN(2)/25)*Calculateur!V28*Calculateur!X28*VLOOKUP('Données projet'!$B$9,Paramètres!$A$1:$I$89,3,0)*0.475*44/12</f>
        <v>#N/A</v>
      </c>
      <c r="AB28" s="21" t="e">
        <f>EXP(-LN(2)/2)*AB27+(1-EXP(-LN(2)/2))/(LN(2)/2)*V28*Y28*VLOOKUP('Données projet'!$B$9,Paramètres!$A$1:$I$89,3,0)*0.475*44/12</f>
        <v>#N/A</v>
      </c>
      <c r="AC28" s="22" t="e">
        <f t="shared" si="3"/>
        <v>#N/A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115</v>
      </c>
      <c r="AG28" s="12">
        <f>VLOOKUP(A28,'Données projet'!$A$61:$I$81,9,0)</f>
        <v>12.6</v>
      </c>
      <c r="AH28" s="12">
        <f t="array" ref="AH28">INDEX(AG:AG,MIN(IF(ISNUMBER(AG28:AG224),ROW(AG28:AG224),"")))</f>
        <v>12.6</v>
      </c>
      <c r="AI28" s="13">
        <f>IF('Données projet'!$A$62&gt;35,AI27+AH28-AQ27,IF(A28&lt;'Données projet'!$A$62,$AF$205^A28,IF(A28='Données projet'!$A$62,'Données projet'!$B$62,AI27+AH28-AQ27)))</f>
        <v>114.99999999999996</v>
      </c>
      <c r="AJ28" s="13">
        <f>AI28*VLOOKUP('Données projet'!$B$10,Paramètres!$A$1:$I$89,3,0)*VLOOKUP('Données projet'!$B$10,Paramètres!$A$1:$I$89,5,0)</f>
        <v>100.46399999999997</v>
      </c>
      <c r="AK28" s="13">
        <f t="shared" si="35"/>
        <v>27.072509349827456</v>
      </c>
      <c r="AL28" s="20">
        <f t="shared" si="4"/>
        <v>222.12608711761609</v>
      </c>
      <c r="AM28" s="59">
        <f t="shared" si="5"/>
        <v>509.34830933983835</v>
      </c>
      <c r="AN28" s="59">
        <f ca="1">AVERAGE(OFFSET($AM$3,0,0,'Données projet'!$E$10+1,1))-AVERAGE(OFFSET($H$3,0,0,'Données projet'!$E$10+1,1))</f>
        <v>338.55719679154777</v>
      </c>
      <c r="AO28" s="59">
        <f t="shared" si="36"/>
        <v>371.26234252426531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94.230769230769226</v>
      </c>
      <c r="BB28" s="12">
        <f>VLOOKUP(A28,'Données projet'!$A$87:$I$107,9,0)</f>
        <v>6.1538461538461533</v>
      </c>
      <c r="BC28" s="12">
        <f t="array" ref="BC28">INDEX(BB:BB,MIN(IF(ISNUMBER(BB28:BB224),ROW(BB28:BB224),"")))</f>
        <v>6.1538461538461533</v>
      </c>
      <c r="BD28" s="12">
        <f>IF('Données projet'!$A$88&gt;35,BD27+BC28-BL27,IF(A28&lt;'Données projet'!$A$88,$BA$205^A28,IF(A28='Données projet'!$A$88,'Données projet'!$B$88,BD27+BC28-BL27)))</f>
        <v>94.230769230769255</v>
      </c>
      <c r="BE28" s="13">
        <f>BD28*VLOOKUP('Données projet'!$B$11,Paramètres!$A$1:$I$89,3,0)*VLOOKUP('Données projet'!$B$11,Paramètres!$A$1:$I$89,5,0)</f>
        <v>89.67000000000003</v>
      </c>
      <c r="BF28" s="13">
        <f t="shared" si="37"/>
        <v>24.4856199329822</v>
      </c>
      <c r="BG28" s="20">
        <f t="shared" si="7"/>
        <v>198.82103804994404</v>
      </c>
      <c r="BH28" s="59">
        <f t="shared" si="8"/>
        <v>486.04326027216626</v>
      </c>
      <c r="BI28" s="59">
        <f ca="1">AVERAGE(OFFSET($BH$3,0,0,'Données projet'!$E$11+1,1))-AVERAGE(OFFSET($H$3,0,0,'Données projet'!$E$11+1,1))</f>
        <v>351.6178679548006</v>
      </c>
      <c r="BJ28" s="59">
        <f t="shared" si="38"/>
        <v>244.7141066773861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26.923076923076923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3.4358974358974361</v>
      </c>
      <c r="BY28" s="12">
        <f>IF('Données projet'!$A$114&gt;35,BY27+BX28-CG27,IF(A28&lt;'Données projet'!$A$114,$BV$205^A28,IF(A28='Données projet'!$A$114,'Données projet'!$B$114,BY27+BX28-CG27)))</f>
        <v>47.603023568635017</v>
      </c>
      <c r="BZ28" s="13">
        <f>BY28*VLOOKUP('Données projet'!$B$12,Paramètres!$A$1:$I$89,3,0)*VLOOKUP('Données projet'!$B$12,Paramètres!$A$1:$I$89,5,0)</f>
        <v>22.278215030121189</v>
      </c>
      <c r="CA28" s="13">
        <f t="shared" si="39"/>
        <v>7.1538392768580321</v>
      </c>
      <c r="CB28" s="20">
        <f t="shared" si="10"/>
        <v>51.260827917988813</v>
      </c>
      <c r="CC28" s="59">
        <f t="shared" si="11"/>
        <v>338.48305014021105</v>
      </c>
      <c r="CD28" s="59">
        <f ca="1">AVERAGE(OFFSET($CC$3,0,0,'Données projet'!$E$12+1,1))-AVERAGE(OFFSET($H$3,0,0,'Données projet'!$E$12+1,1))</f>
        <v>246.66630850723385</v>
      </c>
      <c r="CE28" s="59">
        <f t="shared" si="40"/>
        <v>145.34368562171613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141</v>
      </c>
      <c r="CR28" s="12">
        <f>VLOOKUP(A28,'Données projet'!$A$139:$I$159,9,0)</f>
        <v>10.6</v>
      </c>
      <c r="CS28" s="12">
        <f t="array" ref="CS28">INDEX(CR:CR,MIN(IF(ISNUMBER(CR28:CR224),ROW(CR28:CR224),"")))</f>
        <v>10.6</v>
      </c>
      <c r="CT28" s="12">
        <f>IF('Données projet'!$A$140&gt;35,CT27+CS28-DB27,IF(A28&lt;'Données projet'!$A$140,$CQ$205^A28,IF(A28='Données projet'!$A$140,'Données projet'!$B$140,CT27+CS28-DB27)))</f>
        <v>140.99999999999997</v>
      </c>
      <c r="CU28" s="17">
        <f>CT28*VLOOKUP('Données projet'!$B$13,Paramètres!$A$1:$I$89,3,0)*VLOOKUP('Données projet'!$B$13,Paramètres!$A$1:$I$89,5,0)</f>
        <v>109.97999999999998</v>
      </c>
      <c r="CV28" s="13">
        <f t="shared" si="41"/>
        <v>29.326272366698234</v>
      </c>
      <c r="CW28" s="20">
        <f t="shared" si="13"/>
        <v>242.62509103866606</v>
      </c>
      <c r="CX28" s="59">
        <f t="shared" si="14"/>
        <v>529.84731326088831</v>
      </c>
      <c r="CY28" s="59">
        <f ca="1">AVERAGE(OFFSET($CX$3,0,0,'Données projet'!$E$13+1,1))-AVERAGE(OFFSET($H$3,0,0,'Données projet'!$E$13+1,1))</f>
        <v>292.57482726862594</v>
      </c>
      <c r="CZ28" s="59">
        <f t="shared" si="42"/>
        <v>283.48738729114024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55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70</v>
      </c>
      <c r="DM28" s="12">
        <f>VLOOKUP(A28,'Données projet'!$A$165:$I$185,9,0)</f>
        <v>5.6</v>
      </c>
      <c r="DN28" s="12">
        <f t="array" ref="DN28">INDEX(DM:DM,MIN(IF(ISNUMBER(DM28:DM224),ROW(DM28:DM224),"")))</f>
        <v>5.6</v>
      </c>
      <c r="DO28" s="12">
        <f>IF('Données projet'!$A$166&gt;35,DO27+DN28-DW27,IF(A28&lt;'Données projet'!$A$166,$DL$205^A28,IF(A28='Données projet'!$A$166,'Données projet'!$B$166,DO27+DN28-DW27)))</f>
        <v>70</v>
      </c>
      <c r="DP28" s="17">
        <f>DO28*VLOOKUP('Données projet'!$B$14,Paramètres!$A$1:$I$89,3,0)*VLOOKUP('Données projet'!$B$14,Paramètres!$A$1:$I$89,5,0)</f>
        <v>70.98</v>
      </c>
      <c r="DQ28" s="13">
        <f t="shared" si="43"/>
        <v>19.916628839746853</v>
      </c>
      <c r="DR28" s="20">
        <f t="shared" si="16"/>
        <v>158.31162856255909</v>
      </c>
      <c r="DS28" s="59">
        <f t="shared" si="17"/>
        <v>445.53385078478129</v>
      </c>
      <c r="DT28" s="59">
        <f ca="1">AVERAGE(OFFSET($DS$3,0,0,'Données projet'!$E$14+1,1))-AVERAGE(OFFSET($H$3,0,0,'Données projet'!$E$14+1,1))</f>
        <v>475.47920969424894</v>
      </c>
      <c r="DU28" s="59">
        <f t="shared" si="44"/>
        <v>271.73544012419364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70</v>
      </c>
      <c r="EH28" s="12">
        <f>VLOOKUP(A28,'Données projet'!$A$191:$I$211,9,0)</f>
        <v>5.6</v>
      </c>
      <c r="EI28" s="12">
        <f t="array" ref="EI28">INDEX(EH:EH,MIN(IF(ISNUMBER(EH28:EH224),ROW(EH28:EH224),"")))</f>
        <v>5.6</v>
      </c>
      <c r="EJ28" s="12">
        <f>IF('Données projet'!$A$192&gt;35,EJ27+EI28-ER27,IF(A28&lt;'Données projet'!$A$192,$EG$205^A28,IF(A28='Données projet'!$A$192,'Données projet'!$B$192,EJ27+EI28-ER27)))</f>
        <v>70</v>
      </c>
      <c r="EK28" s="17">
        <f>EJ28*VLOOKUP('Données projet'!$B$15,Paramètres!$A$1:$I$89,3,0)*VLOOKUP('Données projet'!$B$15,Paramètres!$A$1:$I$89,5,0)</f>
        <v>63.335999999999991</v>
      </c>
      <c r="EL28" s="13">
        <f t="shared" si="45"/>
        <v>18.009040022946227</v>
      </c>
      <c r="EM28" s="20">
        <f t="shared" si="19"/>
        <v>141.67594470663133</v>
      </c>
      <c r="EN28" s="59">
        <f t="shared" si="20"/>
        <v>428.89816692885358</v>
      </c>
      <c r="EO28" s="59">
        <f ca="1">AVERAGE(OFFSET($EN$3,0,0,'Données projet'!$E$15+1,1))-AVERAGE(OFFSET($H$3,0,0,'Données projet'!$E$15+1,1))</f>
        <v>428.8489304403459</v>
      </c>
      <c r="EP28" s="59">
        <f t="shared" si="46"/>
        <v>247.01165577562966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136</v>
      </c>
      <c r="FC28" s="12">
        <f>VLOOKUP(A28,'Données projet'!$A$217:$I$237,9,0)</f>
        <v>6.4</v>
      </c>
      <c r="FD28" s="12">
        <f t="array" ref="FD28">INDEX(FC:FC,MIN(IF(ISNUMBER(FC28:FC224),ROW(FC28:FC224),"")))</f>
        <v>6.4</v>
      </c>
      <c r="FE28" s="12">
        <f>IF('Données projet'!$A$218&gt;35,FE27+FD28-FM27,IF(A28&lt;'Données projet'!$A$218,$FB$205^A28,IF(A28='Données projet'!$A$218,'Données projet'!$B$218,FE27+FD28-FM27)))</f>
        <v>136</v>
      </c>
      <c r="FF28" s="17">
        <f>FE28*VLOOKUP('Données projet'!$B$16,Paramètres!$A$1:$I$89,3,0)*VLOOKUP('Données projet'!$B$16,Paramètres!$A$1:$I$89,5,0)</f>
        <v>123.05279999999999</v>
      </c>
      <c r="FG28" s="13">
        <f t="shared" si="47"/>
        <v>32.385970393750824</v>
      </c>
      <c r="FH28" s="20">
        <f t="shared" si="22"/>
        <v>270.72252510244931</v>
      </c>
      <c r="FI28" s="59">
        <f t="shared" si="23"/>
        <v>557.94474732467154</v>
      </c>
      <c r="FJ28" s="59">
        <f ca="1">AVERAGE(OFFSET($FI$3,0,0,'Données projet'!$E$16+1,1))-AVERAGE(OFFSET($H$3,0,0,'Données projet'!$E$16+1,1))</f>
        <v>245.25496369542458</v>
      </c>
      <c r="FK28" s="59">
        <f t="shared" si="48"/>
        <v>342.30266518164211</v>
      </c>
      <c r="FL28" s="15">
        <f>IF(ISNA(VLOOKUP(A28,'Données projet'!$A$217:$I$237,3,0)),0,VLOOKUP(A28,'Données projet'!$A$217:$I$237,3,0))</f>
        <v>4</v>
      </c>
      <c r="FM28" s="15">
        <f>IF(ISNA(VLOOKUP(A28,'Données projet'!$A$217:$I$237,4,0)),0,VLOOKUP(A28,'Données projet'!$A$217:$I$237,4,0))</f>
        <v>8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 t="e">
        <f>N29*VLOOKUP('Données projet'!$B$9,Paramètres!$A$1:$I$89,3,0)*VLOOKUP('Données projet'!$B$9,Paramètres!$A$1:$I$89,5,0)</f>
        <v>#N/A</v>
      </c>
      <c r="P29" s="13" t="e">
        <f t="shared" si="33"/>
        <v>#N/A</v>
      </c>
      <c r="Q29" s="20" t="e">
        <f t="shared" si="2"/>
        <v>#N/A</v>
      </c>
      <c r="R29" s="59" t="e">
        <f t="shared" si="0"/>
        <v>#N/A</v>
      </c>
      <c r="S29" s="59" t="e">
        <f ca="1">AVERAGE(OFFSET($R$3,0,0,'Données projet'!$E$9+1,1))-AVERAGE(OFFSET($H$3,0,0,'Données projet'!$E$9+1,1))</f>
        <v>#N/A</v>
      </c>
      <c r="T29" s="59" t="e">
        <f t="shared" si="34"/>
        <v>#N/A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 t="e">
        <f>EXP(-LN(2)/35)*Z28+(1-EXP(-LN(2)/35))/(LN(2)/35)*V29*W29*VLOOKUP('Données projet'!$B$9,Paramètres!$A$1:$I$89,3,0)*0.475*44/12</f>
        <v>#N/A</v>
      </c>
      <c r="AA29" s="21" t="e">
        <f>EXP(-LN(2)/25)*AA28+(1-EXP(-LN(2)/25))/(LN(2)/25)*Calculateur!V29*Calculateur!X29*VLOOKUP('Données projet'!$B$9,Paramètres!$A$1:$I$89,3,0)*0.475*44/12</f>
        <v>#N/A</v>
      </c>
      <c r="AB29" s="21" t="e">
        <f>EXP(-LN(2)/2)*AB28+(1-EXP(-LN(2)/2))/(LN(2)/2)*V29*Y29*VLOOKUP('Données projet'!$B$9,Paramètres!$A$1:$I$89,3,0)*0.475*44/12</f>
        <v>#N/A</v>
      </c>
      <c r="AC29" s="22" t="e">
        <f t="shared" si="3"/>
        <v>#N/A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12</v>
      </c>
      <c r="AI29" s="13">
        <f>IF('Données projet'!$A$62&gt;35,AI28+AH29-AQ28,IF(A29&lt;'Données projet'!$A$62,$AF$205^A29,IF(A29='Données projet'!$A$62,'Données projet'!$B$62,AI28+AH29-AQ28)))</f>
        <v>126.99999999999996</v>
      </c>
      <c r="AJ29" s="13">
        <f>AI29*VLOOKUP('Données projet'!$B$10,Paramètres!$A$1:$I$89,3,0)*VLOOKUP('Données projet'!$B$10,Paramètres!$A$1:$I$89,5,0)</f>
        <v>110.94719999999997</v>
      </c>
      <c r="AK29" s="13">
        <f t="shared" si="35"/>
        <v>29.554040795615606</v>
      </c>
      <c r="AL29" s="20">
        <f t="shared" si="4"/>
        <v>244.70632771903044</v>
      </c>
      <c r="AM29" s="59">
        <f t="shared" si="5"/>
        <v>533.15077216347493</v>
      </c>
      <c r="AN29" s="59">
        <f ca="1">AVERAGE(OFFSET($AM$3,0,0,'Données projet'!$E$10+1,1))-AVERAGE(OFFSET($H$3,0,0,'Données projet'!$E$10+1,1))</f>
        <v>338.55719679154777</v>
      </c>
      <c r="AO29" s="59">
        <f t="shared" si="36"/>
        <v>371.26234252426531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6.2820512820512819</v>
      </c>
      <c r="BD29" s="12">
        <f>IF('Données projet'!$A$88&gt;35,BD28+BC29-BL28,IF(A29&lt;'Données projet'!$A$88,$BA$205^A29,IF(A29='Données projet'!$A$88,'Données projet'!$B$88,BD28+BC29-BL28)))</f>
        <v>73.58974358974362</v>
      </c>
      <c r="BE29" s="13">
        <f>BD29*VLOOKUP('Données projet'!$B$11,Paramètres!$A$1:$I$89,3,0)*VLOOKUP('Données projet'!$B$11,Paramètres!$A$1:$I$89,5,0)</f>
        <v>70.028000000000034</v>
      </c>
      <c r="BF29" s="13">
        <f t="shared" si="37"/>
        <v>19.680410796372318</v>
      </c>
      <c r="BG29" s="20">
        <f t="shared" si="7"/>
        <v>156.24214880368183</v>
      </c>
      <c r="BH29" s="59">
        <f t="shared" si="8"/>
        <v>444.68659324812631</v>
      </c>
      <c r="BI29" s="59">
        <f ca="1">AVERAGE(OFFSET($BH$3,0,0,'Données projet'!$E$11+1,1))-AVERAGE(OFFSET($H$3,0,0,'Données projet'!$E$11+1,1))</f>
        <v>351.6178679548006</v>
      </c>
      <c r="BJ29" s="59">
        <f t="shared" si="38"/>
        <v>244.7141066773861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3.4358974358974361</v>
      </c>
      <c r="BY29" s="12">
        <f>IF('Données projet'!$A$114&gt;35,BY28+BX29-CG28,IF(A29&lt;'Données projet'!$A$114,$BV$205^A29,IF(A29='Données projet'!$A$114,'Données projet'!$B$114,BY28+BX29-CG28)))</f>
        <v>55.557145004199242</v>
      </c>
      <c r="BZ29" s="13">
        <f>BY29*VLOOKUP('Données projet'!$B$12,Paramètres!$A$1:$I$89,3,0)*VLOOKUP('Données projet'!$B$12,Paramètres!$A$1:$I$89,5,0)</f>
        <v>26.000743861965244</v>
      </c>
      <c r="CA29" s="13">
        <f t="shared" si="39"/>
        <v>8.2003708634455794</v>
      </c>
      <c r="CB29" s="20">
        <f t="shared" si="10"/>
        <v>59.56694148009052</v>
      </c>
      <c r="CC29" s="59">
        <f t="shared" si="11"/>
        <v>348.01138592453498</v>
      </c>
      <c r="CD29" s="59">
        <f ca="1">AVERAGE(OFFSET($CC$3,0,0,'Données projet'!$E$12+1,1))-AVERAGE(OFFSET($H$3,0,0,'Données projet'!$E$12+1,1))</f>
        <v>246.66630850723385</v>
      </c>
      <c r="CE29" s="59">
        <f t="shared" si="40"/>
        <v>145.34368562171613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11.5</v>
      </c>
      <c r="CT29" s="12">
        <f>IF('Données projet'!$A$140&gt;35,CT28+CS29-DB28,IF(A29&lt;'Données projet'!$A$140,$CQ$205^A29,IF(A29='Données projet'!$A$140,'Données projet'!$B$140,CT28+CS29-DB28)))</f>
        <v>97.499999999999972</v>
      </c>
      <c r="CU29" s="17">
        <f>CT29*VLOOKUP('Données projet'!$B$13,Paramètres!$A$1:$I$89,3,0)*VLOOKUP('Données projet'!$B$13,Paramètres!$A$1:$I$89,5,0)</f>
        <v>76.049999999999983</v>
      </c>
      <c r="CV29" s="13">
        <f t="shared" si="41"/>
        <v>21.168560890749262</v>
      </c>
      <c r="CW29" s="20">
        <f t="shared" si="13"/>
        <v>169.32232688472158</v>
      </c>
      <c r="CX29" s="59">
        <f t="shared" si="14"/>
        <v>457.76677132916603</v>
      </c>
      <c r="CY29" s="59">
        <f ca="1">AVERAGE(OFFSET($CX$3,0,0,'Données projet'!$E$13+1,1))-AVERAGE(OFFSET($H$3,0,0,'Données projet'!$E$13+1,1))</f>
        <v>292.57482726862594</v>
      </c>
      <c r="CZ29" s="59">
        <f t="shared" si="42"/>
        <v>283.48738729114024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7</v>
      </c>
      <c r="DO29" s="12">
        <f>IF('Données projet'!$A$166&gt;35,DO28+DN29-DW28,IF(A29&lt;'Données projet'!$A$166,$DL$205^A29,IF(A29='Données projet'!$A$166,'Données projet'!$B$166,DO28+DN29-DW28)))</f>
        <v>77</v>
      </c>
      <c r="DP29" s="17">
        <f>DO29*VLOOKUP('Données projet'!$B$14,Paramètres!$A$1:$I$89,3,0)*VLOOKUP('Données projet'!$B$14,Paramètres!$A$1:$I$89,5,0)</f>
        <v>78.078000000000003</v>
      </c>
      <c r="DQ29" s="13">
        <f t="shared" si="43"/>
        <v>21.666582091642084</v>
      </c>
      <c r="DR29" s="20">
        <f t="shared" si="16"/>
        <v>173.72181380960993</v>
      </c>
      <c r="DS29" s="59">
        <f t="shared" si="17"/>
        <v>462.16625825405436</v>
      </c>
      <c r="DT29" s="59">
        <f ca="1">AVERAGE(OFFSET($DS$3,0,0,'Données projet'!$E$14+1,1))-AVERAGE(OFFSET($H$3,0,0,'Données projet'!$E$14+1,1))</f>
        <v>475.47920969424894</v>
      </c>
      <c r="DU29" s="59">
        <f t="shared" si="44"/>
        <v>271.73544012419364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7</v>
      </c>
      <c r="EJ29" s="12">
        <f>IF('Données projet'!$A$192&gt;35,EJ28+EI29-ER28,IF(A29&lt;'Données projet'!$A$192,$EG$205^A29,IF(A29='Données projet'!$A$192,'Données projet'!$B$192,EJ28+EI29-ER28)))</f>
        <v>77</v>
      </c>
      <c r="EK29" s="17">
        <f>EJ29*VLOOKUP('Données projet'!$B$15,Paramètres!$A$1:$I$89,3,0)*VLOOKUP('Données projet'!$B$15,Paramètres!$A$1:$I$89,5,0)</f>
        <v>69.669600000000003</v>
      </c>
      <c r="EL29" s="13">
        <f t="shared" si="45"/>
        <v>19.591385027476957</v>
      </c>
      <c r="EM29" s="20">
        <f t="shared" si="19"/>
        <v>155.46288225618903</v>
      </c>
      <c r="EN29" s="59">
        <f t="shared" si="20"/>
        <v>443.90732670063346</v>
      </c>
      <c r="EO29" s="59">
        <f ca="1">AVERAGE(OFFSET($EN$3,0,0,'Données projet'!$E$15+1,1))-AVERAGE(OFFSET($H$3,0,0,'Données projet'!$E$15+1,1))</f>
        <v>428.8489304403459</v>
      </c>
      <c r="EP29" s="59">
        <f t="shared" si="46"/>
        <v>247.01165577562966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5.2</v>
      </c>
      <c r="FE29" s="12">
        <f>IF('Données projet'!$A$218&gt;35,FE28+FD29-FM28,IF(A29&lt;'Données projet'!$A$218,$FB$205^A29,IF(A29='Données projet'!$A$218,'Données projet'!$B$218,FE28+FD29-FM28)))</f>
        <v>133.19999999999999</v>
      </c>
      <c r="FF29" s="17">
        <f>FE29*VLOOKUP('Données projet'!$B$16,Paramètres!$A$1:$I$89,3,0)*VLOOKUP('Données projet'!$B$16,Paramètres!$A$1:$I$89,5,0)</f>
        <v>120.51935999999998</v>
      </c>
      <c r="FG29" s="13">
        <f t="shared" si="47"/>
        <v>31.796101022354524</v>
      </c>
      <c r="FH29" s="20">
        <f t="shared" si="22"/>
        <v>265.28276128060071</v>
      </c>
      <c r="FI29" s="59">
        <f t="shared" si="23"/>
        <v>553.72720572504522</v>
      </c>
      <c r="FJ29" s="59">
        <f ca="1">AVERAGE(OFFSET($FI$3,0,0,'Données projet'!$E$16+1,1))-AVERAGE(OFFSET($H$3,0,0,'Données projet'!$E$16+1,1))</f>
        <v>245.25496369542458</v>
      </c>
      <c r="FK29" s="59">
        <f t="shared" si="48"/>
        <v>342.30266518164211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 t="e">
        <f>N30*VLOOKUP('Données projet'!$B$9,Paramètres!$A$1:$I$89,3,0)*VLOOKUP('Données projet'!$B$9,Paramètres!$A$1:$I$89,5,0)</f>
        <v>#N/A</v>
      </c>
      <c r="P30" s="13" t="e">
        <f t="shared" si="33"/>
        <v>#N/A</v>
      </c>
      <c r="Q30" s="20" t="e">
        <f t="shared" si="2"/>
        <v>#N/A</v>
      </c>
      <c r="R30" s="59" t="e">
        <f t="shared" si="0"/>
        <v>#N/A</v>
      </c>
      <c r="S30" s="59" t="e">
        <f ca="1">AVERAGE(OFFSET($R$3,0,0,'Données projet'!$E$9+1,1))-AVERAGE(OFFSET($H$3,0,0,'Données projet'!$E$9+1,1))</f>
        <v>#N/A</v>
      </c>
      <c r="T30" s="59" t="e">
        <f t="shared" si="34"/>
        <v>#N/A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 t="e">
        <f>EXP(-LN(2)/35)*Z29+(1-EXP(-LN(2)/35))/(LN(2)/35)*V30*W30*VLOOKUP('Données projet'!$B$9,Paramètres!$A$1:$I$89,3,0)*0.475*44/12</f>
        <v>#N/A</v>
      </c>
      <c r="AA30" s="21" t="e">
        <f>EXP(-LN(2)/25)*AA29+(1-EXP(-LN(2)/25))/(LN(2)/25)*Calculateur!V30*Calculateur!X30*VLOOKUP('Données projet'!$B$9,Paramètres!$A$1:$I$89,3,0)*0.475*44/12</f>
        <v>#N/A</v>
      </c>
      <c r="AB30" s="21" t="e">
        <f>EXP(-LN(2)/2)*AB29+(1-EXP(-LN(2)/2))/(LN(2)/2)*V30*Y30*VLOOKUP('Données projet'!$B$9,Paramètres!$A$1:$I$89,3,0)*0.475*44/12</f>
        <v>#N/A</v>
      </c>
      <c r="AC30" s="22" t="e">
        <f t="shared" si="3"/>
        <v>#N/A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12</v>
      </c>
      <c r="AI30" s="13">
        <f>IF('Données projet'!$A$62&gt;35,AI29+AH30-AQ29,IF(A30&lt;'Données projet'!$A$62,$AF$205^A30,IF(A30='Données projet'!$A$62,'Données projet'!$B$62,AI29+AH30-AQ29)))</f>
        <v>138.99999999999994</v>
      </c>
      <c r="AJ30" s="13">
        <f>AI30*VLOOKUP('Données projet'!$B$10,Paramètres!$A$1:$I$89,3,0)*VLOOKUP('Données projet'!$B$10,Paramètres!$A$1:$I$89,5,0)</f>
        <v>121.43039999999996</v>
      </c>
      <c r="AK30" s="13">
        <f t="shared" si="35"/>
        <v>32.008386179504456</v>
      </c>
      <c r="AL30" s="20">
        <f t="shared" si="4"/>
        <v>267.23921926263682</v>
      </c>
      <c r="AM30" s="59">
        <f t="shared" si="5"/>
        <v>556.90588592930351</v>
      </c>
      <c r="AN30" s="59">
        <f ca="1">AVERAGE(OFFSET($AM$3,0,0,'Données projet'!$E$10+1,1))-AVERAGE(OFFSET($H$3,0,0,'Données projet'!$E$10+1,1))</f>
        <v>338.55719679154777</v>
      </c>
      <c r="AO30" s="59">
        <f t="shared" si="36"/>
        <v>371.26234252426531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6.2820512820512819</v>
      </c>
      <c r="BD30" s="12">
        <f>IF('Données projet'!$A$88&gt;35,BD29+BC30-BL29,IF(A30&lt;'Données projet'!$A$88,$BA$205^A30,IF(A30='Données projet'!$A$88,'Données projet'!$B$88,BD29+BC30-BL29)))</f>
        <v>79.871794871794904</v>
      </c>
      <c r="BE30" s="13">
        <f>BD30*VLOOKUP('Données projet'!$B$11,Paramètres!$A$1:$I$89,3,0)*VLOOKUP('Données projet'!$B$11,Paramètres!$A$1:$I$89,5,0)</f>
        <v>76.006000000000029</v>
      </c>
      <c r="BF30" s="13">
        <f t="shared" si="37"/>
        <v>21.157738701449713</v>
      </c>
      <c r="BG30" s="20">
        <f t="shared" si="7"/>
        <v>169.22684490502496</v>
      </c>
      <c r="BH30" s="59">
        <f t="shared" si="8"/>
        <v>458.89351157169165</v>
      </c>
      <c r="BI30" s="59">
        <f ca="1">AVERAGE(OFFSET($BH$3,0,0,'Données projet'!$E$11+1,1))-AVERAGE(OFFSET($H$3,0,0,'Données projet'!$E$11+1,1))</f>
        <v>351.6178679548006</v>
      </c>
      <c r="BJ30" s="59">
        <f t="shared" si="38"/>
        <v>244.7141066773861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3.4358974358974361</v>
      </c>
      <c r="BY30" s="12">
        <f>IF('Données projet'!$A$114&gt;35,BY29+BX30-CG29,IF(A30&lt;'Données projet'!$A$114,$BV$205^A30,IF(A30='Données projet'!$A$114,'Données projet'!$B$114,BY29+BX30-CG29)))</f>
        <v>64.840342684688977</v>
      </c>
      <c r="BZ30" s="13">
        <f>BY30*VLOOKUP('Données projet'!$B$12,Paramètres!$A$1:$I$89,3,0)*VLOOKUP('Données projet'!$B$12,Paramètres!$A$1:$I$89,5,0)</f>
        <v>30.345280376434442</v>
      </c>
      <c r="CA30" s="13">
        <f t="shared" si="39"/>
        <v>9.3999990348653313</v>
      </c>
      <c r="CB30" s="20">
        <f t="shared" si="10"/>
        <v>69.223028308013781</v>
      </c>
      <c r="CC30" s="59">
        <f t="shared" si="11"/>
        <v>358.88969497468048</v>
      </c>
      <c r="CD30" s="59">
        <f ca="1">AVERAGE(OFFSET($CC$3,0,0,'Données projet'!$E$12+1,1))-AVERAGE(OFFSET($H$3,0,0,'Données projet'!$E$12+1,1))</f>
        <v>246.66630850723385</v>
      </c>
      <c r="CE30" s="59">
        <f t="shared" si="40"/>
        <v>145.34368562171613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11.5</v>
      </c>
      <c r="CT30" s="12">
        <f>IF('Données projet'!$A$140&gt;35,CT29+CS30-DB29,IF(A30&lt;'Données projet'!$A$140,$CQ$205^A30,IF(A30='Données projet'!$A$140,'Données projet'!$B$140,CT29+CS30-DB29)))</f>
        <v>108.99999999999997</v>
      </c>
      <c r="CU30" s="17">
        <f>CT30*VLOOKUP('Données projet'!$B$13,Paramètres!$A$1:$I$89,3,0)*VLOOKUP('Données projet'!$B$13,Paramètres!$A$1:$I$89,5,0)</f>
        <v>85.019999999999982</v>
      </c>
      <c r="CV30" s="13">
        <f t="shared" si="41"/>
        <v>23.360218970693108</v>
      </c>
      <c r="CW30" s="20">
        <f t="shared" si="13"/>
        <v>188.76221470729047</v>
      </c>
      <c r="CX30" s="59">
        <f t="shared" si="14"/>
        <v>478.42888137395715</v>
      </c>
      <c r="CY30" s="59">
        <f ca="1">AVERAGE(OFFSET($CX$3,0,0,'Données projet'!$E$13+1,1))-AVERAGE(OFFSET($H$3,0,0,'Données projet'!$E$13+1,1))</f>
        <v>292.57482726862594</v>
      </c>
      <c r="CZ30" s="59">
        <f t="shared" si="42"/>
        <v>283.48738729114024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7</v>
      </c>
      <c r="DO30" s="12">
        <f>IF('Données projet'!$A$166&gt;35,DO29+DN30-DW29,IF(A30&lt;'Données projet'!$A$166,$DL$205^A30,IF(A30='Données projet'!$A$166,'Données projet'!$B$166,DO29+DN30-DW29)))</f>
        <v>84</v>
      </c>
      <c r="DP30" s="17">
        <f>DO30*VLOOKUP('Données projet'!$B$14,Paramètres!$A$1:$I$89,3,0)*VLOOKUP('Données projet'!$B$14,Paramètres!$A$1:$I$89,5,0)</f>
        <v>85.176000000000002</v>
      </c>
      <c r="DQ30" s="13">
        <f t="shared" si="43"/>
        <v>23.398088487656441</v>
      </c>
      <c r="DR30" s="20">
        <f t="shared" si="16"/>
        <v>189.09987078266829</v>
      </c>
      <c r="DS30" s="59">
        <f t="shared" si="17"/>
        <v>478.76653744933498</v>
      </c>
      <c r="DT30" s="59">
        <f ca="1">AVERAGE(OFFSET($DS$3,0,0,'Données projet'!$E$14+1,1))-AVERAGE(OFFSET($H$3,0,0,'Données projet'!$E$14+1,1))</f>
        <v>475.47920969424894</v>
      </c>
      <c r="DU30" s="59">
        <f t="shared" si="44"/>
        <v>271.73544012419364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7</v>
      </c>
      <c r="EJ30" s="12">
        <f>IF('Données projet'!$A$192&gt;35,EJ29+EI30-ER29,IF(A30&lt;'Données projet'!$A$192,$EG$205^A30,IF(A30='Données projet'!$A$192,'Données projet'!$B$192,EJ29+EI30-ER29)))</f>
        <v>84</v>
      </c>
      <c r="EK30" s="17">
        <f>EJ30*VLOOKUP('Données projet'!$B$15,Paramètres!$A$1:$I$89,3,0)*VLOOKUP('Données projet'!$B$15,Paramètres!$A$1:$I$89,5,0)</f>
        <v>76.003200000000007</v>
      </c>
      <c r="EL30" s="13">
        <f t="shared" si="45"/>
        <v>21.157049992000456</v>
      </c>
      <c r="EM30" s="20">
        <f t="shared" si="19"/>
        <v>169.22076873606747</v>
      </c>
      <c r="EN30" s="59">
        <f t="shared" si="20"/>
        <v>458.88743540273413</v>
      </c>
      <c r="EO30" s="59">
        <f ca="1">AVERAGE(OFFSET($EN$3,0,0,'Données projet'!$E$15+1,1))-AVERAGE(OFFSET($H$3,0,0,'Données projet'!$E$15+1,1))</f>
        <v>428.8489304403459</v>
      </c>
      <c r="EP30" s="59">
        <f t="shared" si="46"/>
        <v>247.01165577562966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5.2</v>
      </c>
      <c r="FE30" s="12">
        <f>IF('Données projet'!$A$218&gt;35,FE29+FD30-FM29,IF(A30&lt;'Données projet'!$A$218,$FB$205^A30,IF(A30='Données projet'!$A$218,'Données projet'!$B$218,FE29+FD30-FM29)))</f>
        <v>138.39999999999998</v>
      </c>
      <c r="FF30" s="17">
        <f>FE30*VLOOKUP('Données projet'!$B$16,Paramètres!$A$1:$I$89,3,0)*VLOOKUP('Données projet'!$B$16,Paramètres!$A$1:$I$89,5,0)</f>
        <v>125.22431999999996</v>
      </c>
      <c r="FG30" s="13">
        <f t="shared" si="47"/>
        <v>32.890447642602773</v>
      </c>
      <c r="FH30" s="20">
        <f t="shared" si="22"/>
        <v>275.38322031086642</v>
      </c>
      <c r="FI30" s="59">
        <f t="shared" si="23"/>
        <v>565.04988697753311</v>
      </c>
      <c r="FJ30" s="59">
        <f ca="1">AVERAGE(OFFSET($FI$3,0,0,'Données projet'!$E$16+1,1))-AVERAGE(OFFSET($H$3,0,0,'Données projet'!$E$16+1,1))</f>
        <v>245.25496369542458</v>
      </c>
      <c r="FK30" s="59">
        <f t="shared" si="48"/>
        <v>342.30266518164211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 t="e">
        <f>N31*VLOOKUP('Données projet'!$B$9,Paramètres!$A$1:$I$89,3,0)*VLOOKUP('Données projet'!$B$9,Paramètres!$A$1:$I$89,5,0)</f>
        <v>#N/A</v>
      </c>
      <c r="P31" s="13" t="e">
        <f t="shared" si="33"/>
        <v>#N/A</v>
      </c>
      <c r="Q31" s="20" t="e">
        <f t="shared" si="2"/>
        <v>#N/A</v>
      </c>
      <c r="R31" s="59" t="e">
        <f t="shared" si="0"/>
        <v>#N/A</v>
      </c>
      <c r="S31" s="59" t="e">
        <f ca="1">AVERAGE(OFFSET($R$3,0,0,'Données projet'!$E$9+1,1))-AVERAGE(OFFSET($H$3,0,0,'Données projet'!$E$9+1,1))</f>
        <v>#N/A</v>
      </c>
      <c r="T31" s="59" t="e">
        <f t="shared" si="34"/>
        <v>#N/A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 t="e">
        <f>EXP(-LN(2)/35)*Z30+(1-EXP(-LN(2)/35))/(LN(2)/35)*V31*W31*VLOOKUP('Données projet'!$B$9,Paramètres!$A$1:$I$89,3,0)*0.475*44/12</f>
        <v>#N/A</v>
      </c>
      <c r="AA31" s="21" t="e">
        <f>EXP(-LN(2)/25)*AA30+(1-EXP(-LN(2)/25))/(LN(2)/25)*Calculateur!V31*Calculateur!X31*VLOOKUP('Données projet'!$B$9,Paramètres!$A$1:$I$89,3,0)*0.475*44/12</f>
        <v>#N/A</v>
      </c>
      <c r="AB31" s="21" t="e">
        <f>EXP(-LN(2)/2)*AB30+(1-EXP(-LN(2)/2))/(LN(2)/2)*V31*Y31*VLOOKUP('Données projet'!$B$9,Paramètres!$A$1:$I$89,3,0)*0.475*44/12</f>
        <v>#N/A</v>
      </c>
      <c r="AC31" s="22" t="e">
        <f t="shared" si="3"/>
        <v>#N/A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12</v>
      </c>
      <c r="AI31" s="13">
        <f>IF('Données projet'!$A$62&gt;35,AI30+AH31-AQ30,IF(A31&lt;'Données projet'!$A$62,$AF$205^A31,IF(A31='Données projet'!$A$62,'Données projet'!$B$62,AI30+AH31-AQ30)))</f>
        <v>150.99999999999994</v>
      </c>
      <c r="AJ31" s="13">
        <f>AI31*VLOOKUP('Données projet'!$B$10,Paramètres!$A$1:$I$89,3,0)*VLOOKUP('Données projet'!$B$10,Paramètres!$A$1:$I$89,5,0)</f>
        <v>131.91359999999997</v>
      </c>
      <c r="AK31" s="13">
        <f t="shared" si="35"/>
        <v>34.438159352115974</v>
      </c>
      <c r="AL31" s="20">
        <f t="shared" si="4"/>
        <v>289.72931420493524</v>
      </c>
      <c r="AM31" s="59">
        <f t="shared" si="5"/>
        <v>580.61820309382415</v>
      </c>
      <c r="AN31" s="59">
        <f ca="1">AVERAGE(OFFSET($AM$3,0,0,'Données projet'!$E$10+1,1))-AVERAGE(OFFSET($H$3,0,0,'Données projet'!$E$10+1,1))</f>
        <v>338.55719679154777</v>
      </c>
      <c r="AO31" s="59">
        <f t="shared" si="36"/>
        <v>371.26234252426531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6.2820512820512819</v>
      </c>
      <c r="BD31" s="12">
        <f>IF('Données projet'!$A$88&gt;35,BD30+BC31-BL30,IF(A31&lt;'Données projet'!$A$88,$BA$205^A31,IF(A31='Données projet'!$A$88,'Données projet'!$B$88,BD30+BC31-BL30)))</f>
        <v>86.153846153846189</v>
      </c>
      <c r="BE31" s="13">
        <f>BD31*VLOOKUP('Données projet'!$B$11,Paramètres!$A$1:$I$89,3,0)*VLOOKUP('Données projet'!$B$11,Paramètres!$A$1:$I$89,5,0)</f>
        <v>81.984000000000037</v>
      </c>
      <c r="BF31" s="13">
        <f t="shared" si="37"/>
        <v>22.621588649697724</v>
      </c>
      <c r="BG31" s="20">
        <f t="shared" si="7"/>
        <v>182.18806689822361</v>
      </c>
      <c r="BH31" s="59">
        <f t="shared" si="8"/>
        <v>473.07695578711247</v>
      </c>
      <c r="BI31" s="59">
        <f ca="1">AVERAGE(OFFSET($BH$3,0,0,'Données projet'!$E$11+1,1))-AVERAGE(OFFSET($H$3,0,0,'Données projet'!$E$11+1,1))</f>
        <v>351.6178679548006</v>
      </c>
      <c r="BJ31" s="59">
        <f t="shared" si="38"/>
        <v>244.7141066773861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3.4358974358974361</v>
      </c>
      <c r="BY31" s="12">
        <f>IF('Données projet'!$A$114&gt;35,BY30+BX31-CG30,IF(A31&lt;'Données projet'!$A$114,$BV$205^A31,IF(A31='Données projet'!$A$114,'Données projet'!$B$114,BY30+BX31-CG30)))</f>
        <v>75.674695651659619</v>
      </c>
      <c r="BZ31" s="13">
        <f>BY31*VLOOKUP('Données projet'!$B$12,Paramètres!$A$1:$I$89,3,0)*VLOOKUP('Données projet'!$B$12,Paramètres!$A$1:$I$89,5,0)</f>
        <v>35.415757564976701</v>
      </c>
      <c r="CA31" s="13">
        <f t="shared" si="39"/>
        <v>10.775120214299996</v>
      </c>
      <c r="CB31" s="20">
        <f t="shared" si="10"/>
        <v>80.449112132240245</v>
      </c>
      <c r="CC31" s="59">
        <f t="shared" si="11"/>
        <v>371.33800102112912</v>
      </c>
      <c r="CD31" s="59">
        <f ca="1">AVERAGE(OFFSET($CC$3,0,0,'Données projet'!$E$12+1,1))-AVERAGE(OFFSET($H$3,0,0,'Données projet'!$E$12+1,1))</f>
        <v>246.66630850723385</v>
      </c>
      <c r="CE31" s="59">
        <f t="shared" si="40"/>
        <v>145.34368562171613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11.5</v>
      </c>
      <c r="CT31" s="12">
        <f>IF('Données projet'!$A$140&gt;35,CT30+CS31-DB30,IF(A31&lt;'Données projet'!$A$140,$CQ$205^A31,IF(A31='Données projet'!$A$140,'Données projet'!$B$140,CT30+CS31-DB30)))</f>
        <v>120.49999999999997</v>
      </c>
      <c r="CU31" s="17">
        <f>CT31*VLOOKUP('Données projet'!$B$13,Paramètres!$A$1:$I$89,3,0)*VLOOKUP('Données projet'!$B$13,Paramètres!$A$1:$I$89,5,0)</f>
        <v>93.989999999999981</v>
      </c>
      <c r="CV31" s="13">
        <f t="shared" si="41"/>
        <v>25.525074036970079</v>
      </c>
      <c r="CW31" s="20">
        <f t="shared" si="13"/>
        <v>208.15542061438953</v>
      </c>
      <c r="CX31" s="59">
        <f t="shared" si="14"/>
        <v>499.04430950327838</v>
      </c>
      <c r="CY31" s="59">
        <f ca="1">AVERAGE(OFFSET($CX$3,0,0,'Données projet'!$E$13+1,1))-AVERAGE(OFFSET($H$3,0,0,'Données projet'!$E$13+1,1))</f>
        <v>292.57482726862594</v>
      </c>
      <c r="CZ31" s="59">
        <f t="shared" si="42"/>
        <v>283.48738729114024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7</v>
      </c>
      <c r="DO31" s="12">
        <f>IF('Données projet'!$A$166&gt;35,DO30+DN31-DW30,IF(A31&lt;'Données projet'!$A$166,$DL$205^A31,IF(A31='Données projet'!$A$166,'Données projet'!$B$166,DO30+DN31-DW30)))</f>
        <v>91</v>
      </c>
      <c r="DP31" s="17">
        <f>DO31*VLOOKUP('Données projet'!$B$14,Paramètres!$A$1:$I$89,3,0)*VLOOKUP('Données projet'!$B$14,Paramètres!$A$1:$I$89,5,0)</f>
        <v>92.274000000000001</v>
      </c>
      <c r="DQ31" s="13">
        <f t="shared" si="43"/>
        <v>25.112860036087575</v>
      </c>
      <c r="DR31" s="20">
        <f t="shared" si="16"/>
        <v>204.4487812295192</v>
      </c>
      <c r="DS31" s="59">
        <f t="shared" si="17"/>
        <v>495.33767011840803</v>
      </c>
      <c r="DT31" s="59">
        <f ca="1">AVERAGE(OFFSET($DS$3,0,0,'Données projet'!$E$14+1,1))-AVERAGE(OFFSET($H$3,0,0,'Données projet'!$E$14+1,1))</f>
        <v>475.47920969424894</v>
      </c>
      <c r="DU31" s="59">
        <f t="shared" si="44"/>
        <v>271.73544012419364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7</v>
      </c>
      <c r="EJ31" s="12">
        <f>IF('Données projet'!$A$192&gt;35,EJ30+EI31-ER30,IF(A31&lt;'Données projet'!$A$192,$EG$205^A31,IF(A31='Données projet'!$A$192,'Données projet'!$B$192,EJ30+EI31-ER30)))</f>
        <v>91</v>
      </c>
      <c r="EK31" s="17">
        <f>EJ31*VLOOKUP('Données projet'!$B$15,Paramètres!$A$1:$I$89,3,0)*VLOOKUP('Données projet'!$B$15,Paramètres!$A$1:$I$89,5,0)</f>
        <v>82.336799999999997</v>
      </c>
      <c r="EL31" s="13">
        <f t="shared" si="45"/>
        <v>22.707582950885364</v>
      </c>
      <c r="EM31" s="20">
        <f t="shared" si="19"/>
        <v>182.95230030612535</v>
      </c>
      <c r="EN31" s="59">
        <f t="shared" si="20"/>
        <v>473.84118919501418</v>
      </c>
      <c r="EO31" s="59">
        <f ca="1">AVERAGE(OFFSET($EN$3,0,0,'Données projet'!$E$15+1,1))-AVERAGE(OFFSET($H$3,0,0,'Données projet'!$E$15+1,1))</f>
        <v>428.8489304403459</v>
      </c>
      <c r="EP31" s="59">
        <f t="shared" si="46"/>
        <v>247.01165577562966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5.2</v>
      </c>
      <c r="FE31" s="12">
        <f>IF('Données projet'!$A$218&gt;35,FE30+FD31-FM30,IF(A31&lt;'Données projet'!$A$218,$FB$205^A31,IF(A31='Données projet'!$A$218,'Données projet'!$B$218,FE30+FD31-FM30)))</f>
        <v>143.59999999999997</v>
      </c>
      <c r="FF31" s="17">
        <f>FE31*VLOOKUP('Données projet'!$B$16,Paramètres!$A$1:$I$89,3,0)*VLOOKUP('Données projet'!$B$16,Paramètres!$A$1:$I$89,5,0)</f>
        <v>129.92927999999995</v>
      </c>
      <c r="FG31" s="13">
        <f t="shared" si="47"/>
        <v>33.980017499256149</v>
      </c>
      <c r="FH31" s="20">
        <f t="shared" si="22"/>
        <v>285.47535981120433</v>
      </c>
      <c r="FI31" s="59">
        <f t="shared" si="23"/>
        <v>576.36424870009319</v>
      </c>
      <c r="FJ31" s="59">
        <f ca="1">AVERAGE(OFFSET($FI$3,0,0,'Données projet'!$E$16+1,1))-AVERAGE(OFFSET($H$3,0,0,'Données projet'!$E$16+1,1))</f>
        <v>245.25496369542458</v>
      </c>
      <c r="FK31" s="59">
        <f t="shared" si="48"/>
        <v>342.30266518164211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 t="e">
        <f>N32*VLOOKUP('Données projet'!$B$9,Paramètres!$A$1:$I$89,3,0)*VLOOKUP('Données projet'!$B$9,Paramètres!$A$1:$I$89,5,0)</f>
        <v>#N/A</v>
      </c>
      <c r="P32" s="13" t="e">
        <f t="shared" si="33"/>
        <v>#N/A</v>
      </c>
      <c r="Q32" s="20" t="e">
        <f t="shared" si="2"/>
        <v>#N/A</v>
      </c>
      <c r="R32" s="59" t="e">
        <f t="shared" si="0"/>
        <v>#N/A</v>
      </c>
      <c r="S32" s="59" t="e">
        <f ca="1">AVERAGE(OFFSET($R$3,0,0,'Données projet'!$E$9+1,1))-AVERAGE(OFFSET($H$3,0,0,'Données projet'!$E$9+1,1))</f>
        <v>#N/A</v>
      </c>
      <c r="T32" s="59" t="e">
        <f t="shared" si="34"/>
        <v>#N/A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 t="e">
        <f>EXP(-LN(2)/35)*Z31+(1-EXP(-LN(2)/35))/(LN(2)/35)*V32*W32*VLOOKUP('Données projet'!$B$9,Paramètres!$A$1:$I$89,3,0)*0.475*44/12</f>
        <v>#N/A</v>
      </c>
      <c r="AA32" s="21" t="e">
        <f>EXP(-LN(2)/25)*AA31+(1-EXP(-LN(2)/25))/(LN(2)/25)*Calculateur!V32*Calculateur!X32*VLOOKUP('Données projet'!$B$9,Paramètres!$A$1:$I$89,3,0)*0.475*44/12</f>
        <v>#N/A</v>
      </c>
      <c r="AB32" s="21" t="e">
        <f>EXP(-LN(2)/2)*AB31+(1-EXP(-LN(2)/2))/(LN(2)/2)*V32*Y32*VLOOKUP('Données projet'!$B$9,Paramètres!$A$1:$I$89,3,0)*0.475*44/12</f>
        <v>#N/A</v>
      </c>
      <c r="AC32" s="22" t="e">
        <f t="shared" si="3"/>
        <v>#N/A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12</v>
      </c>
      <c r="AI32" s="13">
        <f>IF('Données projet'!$A$62&gt;35,AI31+AH32-AQ31,IF(A32&lt;'Données projet'!$A$62,$AF$205^A32,IF(A32='Données projet'!$A$62,'Données projet'!$B$62,AI31+AH32-AQ31)))</f>
        <v>162.99999999999994</v>
      </c>
      <c r="AJ32" s="13">
        <f>AI32*VLOOKUP('Données projet'!$B$10,Paramètres!$A$1:$I$89,3,0)*VLOOKUP('Données projet'!$B$10,Paramètres!$A$1:$I$89,5,0)</f>
        <v>142.39679999999996</v>
      </c>
      <c r="AK32" s="13">
        <f t="shared" si="35"/>
        <v>36.84553508447695</v>
      </c>
      <c r="AL32" s="20">
        <f t="shared" si="4"/>
        <v>312.18040027213061</v>
      </c>
      <c r="AM32" s="59">
        <f t="shared" si="5"/>
        <v>604.29151138324175</v>
      </c>
      <c r="AN32" s="59">
        <f ca="1">AVERAGE(OFFSET($AM$3,0,0,'Données projet'!$E$10+1,1))-AVERAGE(OFFSET($H$3,0,0,'Données projet'!$E$10+1,1))</f>
        <v>338.55719679154777</v>
      </c>
      <c r="AO32" s="59">
        <f t="shared" si="36"/>
        <v>371.26234252426531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6.2820512820512819</v>
      </c>
      <c r="BD32" s="12">
        <f>IF('Données projet'!$A$88&gt;35,BD31+BC32-BL31,IF(A32&lt;'Données projet'!$A$88,$BA$205^A32,IF(A32='Données projet'!$A$88,'Données projet'!$B$88,BD31+BC32-BL31)))</f>
        <v>92.435897435897473</v>
      </c>
      <c r="BE32" s="13">
        <f>BD32*VLOOKUP('Données projet'!$B$11,Paramètres!$A$1:$I$89,3,0)*VLOOKUP('Données projet'!$B$11,Paramètres!$A$1:$I$89,5,0)</f>
        <v>87.962000000000032</v>
      </c>
      <c r="BF32" s="13">
        <f t="shared" si="37"/>
        <v>24.073055170979362</v>
      </c>
      <c r="BG32" s="20">
        <f t="shared" si="7"/>
        <v>195.12772108945578</v>
      </c>
      <c r="BH32" s="59">
        <f t="shared" si="8"/>
        <v>487.23883220056689</v>
      </c>
      <c r="BI32" s="59">
        <f ca="1">AVERAGE(OFFSET($BH$3,0,0,'Données projet'!$E$11+1,1))-AVERAGE(OFFSET($H$3,0,0,'Données projet'!$E$11+1,1))</f>
        <v>351.6178679548006</v>
      </c>
      <c r="BJ32" s="59">
        <f t="shared" si="38"/>
        <v>244.7141066773861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3.4358974358974361</v>
      </c>
      <c r="BY32" s="12">
        <f>IF('Données projet'!$A$114&gt;35,BY31+BX32-CG31,IF(A32&lt;'Données projet'!$A$114,$BV$205^A32,IF(A32='Données projet'!$A$114,'Données projet'!$B$114,BY31+BX32-CG31)))</f>
        <v>88.319390750591623</v>
      </c>
      <c r="BZ32" s="13">
        <f>BY32*VLOOKUP('Données projet'!$B$12,Paramètres!$A$1:$I$89,3,0)*VLOOKUP('Données projet'!$B$12,Paramètres!$A$1:$I$89,5,0)</f>
        <v>41.333474871276877</v>
      </c>
      <c r="CA32" s="13">
        <f t="shared" si="39"/>
        <v>12.351407186530604</v>
      </c>
      <c r="CB32" s="20">
        <f t="shared" si="10"/>
        <v>93.501169584014704</v>
      </c>
      <c r="CC32" s="59">
        <f t="shared" si="11"/>
        <v>385.61228069512583</v>
      </c>
      <c r="CD32" s="59">
        <f ca="1">AVERAGE(OFFSET($CC$3,0,0,'Données projet'!$E$12+1,1))-AVERAGE(OFFSET($H$3,0,0,'Données projet'!$E$12+1,1))</f>
        <v>246.66630850723385</v>
      </c>
      <c r="CE32" s="59">
        <f t="shared" si="40"/>
        <v>145.34368562171613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11.5</v>
      </c>
      <c r="CT32" s="12">
        <f>IF('Données projet'!$A$140&gt;35,CT31+CS32-DB31,IF(A32&lt;'Données projet'!$A$140,$CQ$205^A32,IF(A32='Données projet'!$A$140,'Données projet'!$B$140,CT31+CS32-DB31)))</f>
        <v>131.99999999999997</v>
      </c>
      <c r="CU32" s="17">
        <f>CT32*VLOOKUP('Données projet'!$B$13,Paramètres!$A$1:$I$89,3,0)*VLOOKUP('Données projet'!$B$13,Paramètres!$A$1:$I$89,5,0)</f>
        <v>102.95999999999998</v>
      </c>
      <c r="CV32" s="13">
        <f t="shared" si="41"/>
        <v>27.665975080374633</v>
      </c>
      <c r="CW32" s="20">
        <f t="shared" si="13"/>
        <v>227.50690659831912</v>
      </c>
      <c r="CX32" s="59">
        <f t="shared" si="14"/>
        <v>519.61801770943021</v>
      </c>
      <c r="CY32" s="59">
        <f ca="1">AVERAGE(OFFSET($CX$3,0,0,'Données projet'!$E$13+1,1))-AVERAGE(OFFSET($H$3,0,0,'Données projet'!$E$13+1,1))</f>
        <v>292.57482726862594</v>
      </c>
      <c r="CZ32" s="59">
        <f t="shared" si="42"/>
        <v>283.48738729114024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7</v>
      </c>
      <c r="DO32" s="12">
        <f>IF('Données projet'!$A$166&gt;35,DO31+DN32-DW31,IF(A32&lt;'Données projet'!$A$166,$DL$205^A32,IF(A32='Données projet'!$A$166,'Données projet'!$B$166,DO31+DN32-DW31)))</f>
        <v>98</v>
      </c>
      <c r="DP32" s="17">
        <f>DO32*VLOOKUP('Données projet'!$B$14,Paramètres!$A$1:$I$89,3,0)*VLOOKUP('Données projet'!$B$14,Paramètres!$A$1:$I$89,5,0)</f>
        <v>99.372000000000014</v>
      </c>
      <c r="DQ32" s="13">
        <f t="shared" si="43"/>
        <v>26.812330397327713</v>
      </c>
      <c r="DR32" s="20">
        <f t="shared" si="16"/>
        <v>219.7710421086791</v>
      </c>
      <c r="DS32" s="59">
        <f t="shared" si="17"/>
        <v>511.88215321979021</v>
      </c>
      <c r="DT32" s="59">
        <f ca="1">AVERAGE(OFFSET($DS$3,0,0,'Données projet'!$E$14+1,1))-AVERAGE(OFFSET($H$3,0,0,'Données projet'!$E$14+1,1))</f>
        <v>475.47920969424894</v>
      </c>
      <c r="DU32" s="59">
        <f t="shared" si="44"/>
        <v>271.73544012419364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7</v>
      </c>
      <c r="EJ32" s="12">
        <f>IF('Données projet'!$A$192&gt;35,EJ31+EI32-ER31,IF(A32&lt;'Données projet'!$A$192,$EG$205^A32,IF(A32='Données projet'!$A$192,'Données projet'!$B$192,EJ31+EI32-ER31)))</f>
        <v>98</v>
      </c>
      <c r="EK32" s="17">
        <f>EJ32*VLOOKUP('Données projet'!$B$15,Paramètres!$A$1:$I$89,3,0)*VLOOKUP('Données projet'!$B$15,Paramètres!$A$1:$I$89,5,0)</f>
        <v>88.670400000000001</v>
      </c>
      <c r="EL32" s="13">
        <f t="shared" si="45"/>
        <v>24.244280250395512</v>
      </c>
      <c r="EM32" s="20">
        <f t="shared" si="19"/>
        <v>196.65973476943884</v>
      </c>
      <c r="EN32" s="59">
        <f t="shared" si="20"/>
        <v>488.77084588054998</v>
      </c>
      <c r="EO32" s="59">
        <f ca="1">AVERAGE(OFFSET($EN$3,0,0,'Données projet'!$E$15+1,1))-AVERAGE(OFFSET($H$3,0,0,'Données projet'!$E$15+1,1))</f>
        <v>428.8489304403459</v>
      </c>
      <c r="EP32" s="59">
        <f t="shared" si="46"/>
        <v>247.01165577562966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5.2</v>
      </c>
      <c r="FE32" s="12">
        <f>IF('Données projet'!$A$218&gt;35,FE31+FD32-FM31,IF(A32&lt;'Données projet'!$A$218,$FB$205^A32,IF(A32='Données projet'!$A$218,'Données projet'!$B$218,FE31+FD32-FM31)))</f>
        <v>148.79999999999995</v>
      </c>
      <c r="FF32" s="17">
        <f>FE32*VLOOKUP('Données projet'!$B$16,Paramètres!$A$1:$I$89,3,0)*VLOOKUP('Données projet'!$B$16,Paramètres!$A$1:$I$89,5,0)</f>
        <v>134.63423999999998</v>
      </c>
      <c r="FG32" s="13">
        <f t="shared" si="47"/>
        <v>35.065003380589694</v>
      </c>
      <c r="FH32" s="20">
        <f t="shared" si="22"/>
        <v>295.55951555452697</v>
      </c>
      <c r="FI32" s="59">
        <f t="shared" si="23"/>
        <v>587.67062666563811</v>
      </c>
      <c r="FJ32" s="59">
        <f ca="1">AVERAGE(OFFSET($FI$3,0,0,'Données projet'!$E$16+1,1))-AVERAGE(OFFSET($H$3,0,0,'Données projet'!$E$16+1,1))</f>
        <v>245.25496369542458</v>
      </c>
      <c r="FK32" s="59">
        <f t="shared" si="48"/>
        <v>342.30266518164211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 t="e">
        <f>N33*VLOOKUP('Données projet'!$B$9,Paramètres!$A$1:$I$89,3,0)*VLOOKUP('Données projet'!$B$9,Paramètres!$A$1:$I$89,5,0)</f>
        <v>#N/A</v>
      </c>
      <c r="P33" s="13" t="e">
        <f t="shared" si="33"/>
        <v>#N/A</v>
      </c>
      <c r="Q33" s="20" t="e">
        <f t="shared" si="2"/>
        <v>#N/A</v>
      </c>
      <c r="R33" s="59" t="e">
        <f t="shared" si="0"/>
        <v>#N/A</v>
      </c>
      <c r="S33" s="59" t="e">
        <f ca="1">AVERAGE(OFFSET($R$3,0,0,'Données projet'!$E$9+1,1))-AVERAGE(OFFSET($H$3,0,0,'Données projet'!$E$9+1,1))</f>
        <v>#N/A</v>
      </c>
      <c r="T33" s="59" t="e">
        <f t="shared" si="34"/>
        <v>#N/A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 t="e">
        <f>EXP(-LN(2)/35)*Z32+(1-EXP(-LN(2)/35))/(LN(2)/35)*V33*W33*VLOOKUP('Données projet'!$B$9,Paramètres!$A$1:$I$89,3,0)*0.475*44/12</f>
        <v>#N/A</v>
      </c>
      <c r="AA33" s="21" t="e">
        <f>EXP(-LN(2)/25)*AA32+(1-EXP(-LN(2)/25))/(LN(2)/25)*Calculateur!V33*Calculateur!X33*VLOOKUP('Données projet'!$B$9,Paramètres!$A$1:$I$89,3,0)*0.475*44/12</f>
        <v>#N/A</v>
      </c>
      <c r="AB33" s="21" t="e">
        <f>EXP(-LN(2)/2)*AB32+(1-EXP(-LN(2)/2))/(LN(2)/2)*V33*Y33*VLOOKUP('Données projet'!$B$9,Paramètres!$A$1:$I$89,3,0)*0.475*44/12</f>
        <v>#N/A</v>
      </c>
      <c r="AC33" s="22" t="e">
        <f t="shared" si="3"/>
        <v>#N/A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175</v>
      </c>
      <c r="AG33" s="12">
        <f>VLOOKUP(A33,'Données projet'!$A$61:$I$81,9,0)</f>
        <v>12</v>
      </c>
      <c r="AH33" s="12">
        <f t="array" ref="AH33">INDEX(AG:AG,MIN(IF(ISNUMBER(AG33:AG229),ROW(AG33:AG229),"")))</f>
        <v>12</v>
      </c>
      <c r="AI33" s="13">
        <f>IF('Données projet'!$A$62&gt;35,AI32+AH33-AQ32,IF(A33&lt;'Données projet'!$A$62,$AF$205^A33,IF(A33='Données projet'!$A$62,'Données projet'!$B$62,AI32+AH33-AQ32)))</f>
        <v>174.99999999999994</v>
      </c>
      <c r="AJ33" s="13">
        <f>AI33*VLOOKUP('Données projet'!$B$10,Paramètres!$A$1:$I$89,3,0)*VLOOKUP('Données projet'!$B$10,Paramètres!$A$1:$I$89,5,0)</f>
        <v>152.87999999999997</v>
      </c>
      <c r="AK33" s="13">
        <f t="shared" si="35"/>
        <v>39.232349774697852</v>
      </c>
      <c r="AL33" s="20">
        <f t="shared" si="4"/>
        <v>334.59567585759868</v>
      </c>
      <c r="AM33" s="59">
        <f t="shared" si="5"/>
        <v>627.92900919093199</v>
      </c>
      <c r="AN33" s="59">
        <f ca="1">AVERAGE(OFFSET($AM$3,0,0,'Données projet'!$E$10+1,1))-AVERAGE(OFFSET($H$3,0,0,'Données projet'!$E$10+1,1))</f>
        <v>338.55719679154777</v>
      </c>
      <c r="AO33" s="59">
        <f t="shared" si="36"/>
        <v>371.26234252426531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98.717948717948715</v>
      </c>
      <c r="BB33" s="12">
        <f>VLOOKUP(A33,'Données projet'!$A$87:$I$107,9,0)</f>
        <v>6.2820512820512819</v>
      </c>
      <c r="BC33" s="12">
        <f t="array" ref="BC33">INDEX(BB:BB,MIN(IF(ISNUMBER(BB33:BB229),ROW(BB33:BB229),"")))</f>
        <v>6.2820512820512819</v>
      </c>
      <c r="BD33" s="12">
        <f>IF('Données projet'!$A$88&gt;35,BD32+BC33-BL32,IF(A33&lt;'Données projet'!$A$88,$BA$205^A33,IF(A33='Données projet'!$A$88,'Données projet'!$B$88,BD32+BC33-BL32)))</f>
        <v>98.717948717948758</v>
      </c>
      <c r="BE33" s="13">
        <f>BD33*VLOOKUP('Données projet'!$B$11,Paramètres!$A$1:$I$89,3,0)*VLOOKUP('Données projet'!$B$11,Paramètres!$A$1:$I$89,5,0)</f>
        <v>93.94000000000004</v>
      </c>
      <c r="BF33" s="13">
        <f t="shared" si="37"/>
        <v>25.513075604240793</v>
      </c>
      <c r="BG33" s="20">
        <f t="shared" si="7"/>
        <v>208.04744001071947</v>
      </c>
      <c r="BH33" s="59">
        <f t="shared" si="8"/>
        <v>501.38077334405278</v>
      </c>
      <c r="BI33" s="59">
        <f ca="1">AVERAGE(OFFSET($BH$3,0,0,'Données projet'!$E$11+1,1))-AVERAGE(OFFSET($H$3,0,0,'Données projet'!$E$11+1,1))</f>
        <v>351.6178679548006</v>
      </c>
      <c r="BJ33" s="59">
        <f t="shared" si="38"/>
        <v>244.7141066773861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103.07692307692308</v>
      </c>
      <c r="BW33" s="12">
        <f>VLOOKUP(A33,'Données projet'!$A$113:$I$133,9,0)</f>
        <v>3.4358974358974361</v>
      </c>
      <c r="BX33" s="12">
        <f t="array" ref="BX33">INDEX(BW:BW,MIN(IF(ISNUMBER(BW33:BW229),ROW(BW33:BW229),"")))</f>
        <v>3.4358974358974361</v>
      </c>
      <c r="BY33" s="12">
        <f>IF('Données projet'!$A$114&gt;35,BY32+BX33-CG32,IF(A33&lt;'Données projet'!$A$114,$BV$205^A33,IF(A33='Données projet'!$A$114,'Données projet'!$B$114,BY32+BX33-CG32)))</f>
        <v>103.07692307692308</v>
      </c>
      <c r="BZ33" s="13">
        <f>BY33*VLOOKUP('Données projet'!$B$12,Paramètres!$A$1:$I$89,3,0)*VLOOKUP('Données projet'!$B$12,Paramètres!$A$1:$I$89,5,0)</f>
        <v>48.240000000000009</v>
      </c>
      <c r="CA33" s="13">
        <f t="shared" si="39"/>
        <v>14.15828839524373</v>
      </c>
      <c r="CB33" s="20">
        <f t="shared" si="10"/>
        <v>108.6770189550495</v>
      </c>
      <c r="CC33" s="59">
        <f t="shared" si="11"/>
        <v>402.01035228838282</v>
      </c>
      <c r="CD33" s="59">
        <f ca="1">AVERAGE(OFFSET($CC$3,0,0,'Données projet'!$E$12+1,1))-AVERAGE(OFFSET($H$3,0,0,'Données projet'!$E$12+1,1))</f>
        <v>246.66630850723385</v>
      </c>
      <c r="CE33" s="59">
        <f t="shared" si="40"/>
        <v>145.34368562171613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11.5</v>
      </c>
      <c r="CT33" s="12">
        <f>IF('Données projet'!$A$140&gt;35,CT32+CS33-DB32,IF(A33&lt;'Données projet'!$A$140,$CQ$205^A33,IF(A33='Données projet'!$A$140,'Données projet'!$B$140,CT32+CS33-DB32)))</f>
        <v>143.49999999999997</v>
      </c>
      <c r="CU33" s="17">
        <f>CT33*VLOOKUP('Données projet'!$B$13,Paramètres!$A$1:$I$89,3,0)*VLOOKUP('Données projet'!$B$13,Paramètres!$A$1:$I$89,5,0)</f>
        <v>111.92999999999998</v>
      </c>
      <c r="CV33" s="13">
        <f t="shared" si="41"/>
        <v>29.785246291563833</v>
      </c>
      <c r="CW33" s="20">
        <f t="shared" si="13"/>
        <v>246.82072062447358</v>
      </c>
      <c r="CX33" s="59">
        <f t="shared" si="14"/>
        <v>540.15405395780692</v>
      </c>
      <c r="CY33" s="59">
        <f ca="1">AVERAGE(OFFSET($CX$3,0,0,'Données projet'!$E$13+1,1))-AVERAGE(OFFSET($H$3,0,0,'Données projet'!$E$13+1,1))</f>
        <v>292.57482726862594</v>
      </c>
      <c r="CZ33" s="59">
        <f t="shared" si="42"/>
        <v>283.48738729114024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105</v>
      </c>
      <c r="DM33" s="12">
        <f>VLOOKUP(A33,'Données projet'!$A$165:$I$185,9,0)</f>
        <v>7</v>
      </c>
      <c r="DN33" s="12">
        <f t="array" ref="DN33">INDEX(DM:DM,MIN(IF(ISNUMBER(DM33:DM229),ROW(DM33:DM229),"")))</f>
        <v>7</v>
      </c>
      <c r="DO33" s="12">
        <f>IF('Données projet'!$A$166&gt;35,DO32+DN33-DW32,IF(A33&lt;'Données projet'!$A$166,$DL$205^A33,IF(A33='Données projet'!$A$166,'Données projet'!$B$166,DO32+DN33-DW32)))</f>
        <v>105</v>
      </c>
      <c r="DP33" s="17">
        <f>DO33*VLOOKUP('Données projet'!$B$14,Paramètres!$A$1:$I$89,3,0)*VLOOKUP('Données projet'!$B$14,Paramètres!$A$1:$I$89,5,0)</f>
        <v>106.47</v>
      </c>
      <c r="DQ33" s="13">
        <f t="shared" si="43"/>
        <v>28.49771681771891</v>
      </c>
      <c r="DR33" s="20">
        <f t="shared" si="16"/>
        <v>235.06877345752704</v>
      </c>
      <c r="DS33" s="59">
        <f t="shared" si="17"/>
        <v>528.40210679086033</v>
      </c>
      <c r="DT33" s="59">
        <f ca="1">AVERAGE(OFFSET($DS$3,0,0,'Données projet'!$E$14+1,1))-AVERAGE(OFFSET($H$3,0,0,'Données projet'!$E$14+1,1))</f>
        <v>475.47920969424894</v>
      </c>
      <c r="DU33" s="59">
        <f t="shared" si="44"/>
        <v>271.73544012419364</v>
      </c>
      <c r="DV33" s="15">
        <f>IF(ISNA(VLOOKUP(A33,'Données projet'!$A$165:$I$185,3,0)),0,VLOOKUP(A33,'Données projet'!$A$165:$I$185,3,0))</f>
        <v>1</v>
      </c>
      <c r="DW33" s="15">
        <f>IF(ISNA(VLOOKUP(A33,'Données projet'!$A$165:$I$185,4,0)),0,VLOOKUP(A33,'Données projet'!$A$165:$I$185,4,0))</f>
        <v>29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105</v>
      </c>
      <c r="EH33" s="12">
        <f>VLOOKUP(A33,'Données projet'!$A$191:$I$211,9,0)</f>
        <v>7</v>
      </c>
      <c r="EI33" s="12">
        <f t="array" ref="EI33">INDEX(EH:EH,MIN(IF(ISNUMBER(EH33:EH229),ROW(EH33:EH229),"")))</f>
        <v>7</v>
      </c>
      <c r="EJ33" s="12">
        <f>IF('Données projet'!$A$192&gt;35,EJ32+EI33-ER32,IF(A33&lt;'Données projet'!$A$192,$EG$205^A33,IF(A33='Données projet'!$A$192,'Données projet'!$B$192,EJ32+EI33-ER32)))</f>
        <v>105</v>
      </c>
      <c r="EK33" s="17">
        <f>EJ33*VLOOKUP('Données projet'!$B$15,Paramètres!$A$1:$I$89,3,0)*VLOOKUP('Données projet'!$B$15,Paramètres!$A$1:$I$89,5,0)</f>
        <v>95.004000000000005</v>
      </c>
      <c r="EL33" s="13">
        <f t="shared" si="45"/>
        <v>25.768242550600785</v>
      </c>
      <c r="EM33" s="20">
        <f t="shared" si="19"/>
        <v>210.34498910896306</v>
      </c>
      <c r="EN33" s="59">
        <f t="shared" si="20"/>
        <v>503.67832244229635</v>
      </c>
      <c r="EO33" s="59">
        <f ca="1">AVERAGE(OFFSET($EN$3,0,0,'Données projet'!$E$15+1,1))-AVERAGE(OFFSET($H$3,0,0,'Données projet'!$E$15+1,1))</f>
        <v>428.8489304403459</v>
      </c>
      <c r="EP33" s="59">
        <f t="shared" si="46"/>
        <v>247.01165577562966</v>
      </c>
      <c r="EQ33" s="15">
        <f>IF(ISNA(VLOOKUP(A33,'Données projet'!$A$191:$I$211,3,0)),0,VLOOKUP(A33,'Données projet'!$A$191:$I$211,3,0))</f>
        <v>1</v>
      </c>
      <c r="ER33" s="15">
        <f>IF(ISNA(VLOOKUP(A33,'Données projet'!$A$191:$I$211,4,0)),0,VLOOKUP(A33,'Données projet'!$A$191:$I$211,4,0))</f>
        <v>29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154</v>
      </c>
      <c r="FC33" s="12">
        <f>VLOOKUP(A33,'Données projet'!$A$217:$I$237,9,0)</f>
        <v>5.2</v>
      </c>
      <c r="FD33" s="12">
        <f t="array" ref="FD33">INDEX(FC:FC,MIN(IF(ISNUMBER(FC33:FC229),ROW(FC33:FC229),"")))</f>
        <v>5.2</v>
      </c>
      <c r="FE33" s="12">
        <f>IF('Données projet'!$A$218&gt;35,FE32+FD33-FM32,IF(A33&lt;'Données projet'!$A$218,$FB$205^A33,IF(A33='Données projet'!$A$218,'Données projet'!$B$218,FE32+FD33-FM32)))</f>
        <v>153.99999999999994</v>
      </c>
      <c r="FF33" s="17">
        <f>FE33*VLOOKUP('Données projet'!$B$16,Paramètres!$A$1:$I$89,3,0)*VLOOKUP('Données projet'!$B$16,Paramètres!$A$1:$I$89,5,0)</f>
        <v>139.33919999999995</v>
      </c>
      <c r="FG33" s="13">
        <f t="shared" si="47"/>
        <v>36.145583836349623</v>
      </c>
      <c r="FH33" s="20">
        <f t="shared" si="22"/>
        <v>305.63599851497548</v>
      </c>
      <c r="FI33" s="59">
        <f t="shared" si="23"/>
        <v>598.9693318483088</v>
      </c>
      <c r="FJ33" s="59">
        <f ca="1">AVERAGE(OFFSET($FI$3,0,0,'Données projet'!$E$16+1,1))-AVERAGE(OFFSET($H$3,0,0,'Données projet'!$E$16+1,1))</f>
        <v>245.25496369542458</v>
      </c>
      <c r="FK33" s="59">
        <f t="shared" si="48"/>
        <v>342.30266518164211</v>
      </c>
      <c r="FL33" s="15">
        <f>IF(ISNA(VLOOKUP(A33,'Données projet'!$A$217:$I$237,3,0)),0,VLOOKUP(A33,'Données projet'!$A$217:$I$237,3,0))</f>
        <v>5</v>
      </c>
      <c r="FM33" s="15">
        <f>IF(ISNA(VLOOKUP(A33,'Données projet'!$A$217:$I$237,4,0)),0,VLOOKUP(A33,'Données projet'!$A$217:$I$237,4,0))</f>
        <v>6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 t="e">
        <f>N34*VLOOKUP('Données projet'!$B$9,Paramètres!$A$1:$I$89,3,0)*VLOOKUP('Données projet'!$B$9,Paramètres!$A$1:$I$89,5,0)</f>
        <v>#N/A</v>
      </c>
      <c r="P34" s="13" t="e">
        <f t="shared" si="33"/>
        <v>#N/A</v>
      </c>
      <c r="Q34" s="20" t="e">
        <f t="shared" si="2"/>
        <v>#N/A</v>
      </c>
      <c r="R34" s="59" t="e">
        <f t="shared" si="0"/>
        <v>#N/A</v>
      </c>
      <c r="S34" s="59" t="e">
        <f ca="1">AVERAGE(OFFSET($R$3,0,0,'Données projet'!$E$9+1,1))-AVERAGE(OFFSET($H$3,0,0,'Données projet'!$E$9+1,1))</f>
        <v>#N/A</v>
      </c>
      <c r="T34" s="59" t="e">
        <f t="shared" si="34"/>
        <v>#N/A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 t="e">
        <f>EXP(-LN(2)/35)*Z33+(1-EXP(-LN(2)/35))/(LN(2)/35)*V34*W34*VLOOKUP('Données projet'!$B$9,Paramètres!$A$1:$I$89,3,0)*0.475*44/12</f>
        <v>#N/A</v>
      </c>
      <c r="AA34" s="21" t="e">
        <f>EXP(-LN(2)/25)*AA33+(1-EXP(-LN(2)/25))/(LN(2)/25)*Calculateur!V34*Calculateur!X34*VLOOKUP('Données projet'!$B$9,Paramètres!$A$1:$I$89,3,0)*0.475*44/12</f>
        <v>#N/A</v>
      </c>
      <c r="AB34" s="21" t="e">
        <f>EXP(-LN(2)/2)*AB33+(1-EXP(-LN(2)/2))/(LN(2)/2)*V34*Y34*VLOOKUP('Données projet'!$B$9,Paramètres!$A$1:$I$89,3,0)*0.475*44/12</f>
        <v>#N/A</v>
      </c>
      <c r="AC34" s="22" t="e">
        <f t="shared" si="3"/>
        <v>#N/A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10.6</v>
      </c>
      <c r="AI34" s="13">
        <f>IF('Données projet'!$A$62&gt;35,AI33+AH34-AQ33,IF(A34&lt;'Données projet'!$A$62,$AF$205^A34,IF(A34='Données projet'!$A$62,'Données projet'!$B$62,AI33+AH34-AQ33)))</f>
        <v>129.59999999999994</v>
      </c>
      <c r="AJ34" s="13">
        <f>AI34*VLOOKUP('Données projet'!$B$10,Paramètres!$A$1:$I$89,3,0)*VLOOKUP('Données projet'!$B$10,Paramètres!$A$1:$I$89,5,0)</f>
        <v>113.21855999999995</v>
      </c>
      <c r="AK34" s="13">
        <f t="shared" si="35"/>
        <v>30.088024911766361</v>
      </c>
      <c r="AL34" s="20">
        <f t="shared" si="4"/>
        <v>249.59230205465971</v>
      </c>
      <c r="AM34" s="59">
        <f t="shared" si="5"/>
        <v>542.925635387993</v>
      </c>
      <c r="AN34" s="59">
        <f ca="1">AVERAGE(OFFSET($AM$3,0,0,'Données projet'!$E$10+1,1))-AVERAGE(OFFSET($H$3,0,0,'Données projet'!$E$10+1,1))</f>
        <v>338.55719679154777</v>
      </c>
      <c r="AO34" s="59">
        <f t="shared" si="36"/>
        <v>371.26234252426531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6.1538461538461515</v>
      </c>
      <c r="BD34" s="12">
        <f>IF('Données projet'!$A$88&gt;35,BD33+BC34-BL33,IF(A34&lt;'Données projet'!$A$88,$BA$205^A34,IF(A34='Données projet'!$A$88,'Données projet'!$B$88,BD33+BC34-BL33)))</f>
        <v>104.8717948717949</v>
      </c>
      <c r="BE34" s="13">
        <f>BD34*VLOOKUP('Données projet'!$B$11,Paramètres!$A$1:$I$89,3,0)*VLOOKUP('Données projet'!$B$11,Paramètres!$A$1:$I$89,5,0)</f>
        <v>99.796000000000035</v>
      </c>
      <c r="BF34" s="13">
        <f t="shared" si="37"/>
        <v>26.913391586854008</v>
      </c>
      <c r="BG34" s="20">
        <f t="shared" si="7"/>
        <v>220.68552368043743</v>
      </c>
      <c r="BH34" s="59">
        <f t="shared" si="8"/>
        <v>514.01885701377068</v>
      </c>
      <c r="BI34" s="59">
        <f ca="1">AVERAGE(OFFSET($BH$3,0,0,'Données projet'!$E$11+1,1))-AVERAGE(OFFSET($H$3,0,0,'Données projet'!$E$11+1,1))</f>
        <v>351.6178679548006</v>
      </c>
      <c r="BJ34" s="59">
        <f t="shared" si="38"/>
        <v>244.7141066773861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10.402930402930403</v>
      </c>
      <c r="BY34" s="12">
        <f>IF('Données projet'!$A$114&gt;35,BY33+BX34-CG33,IF(A34&lt;'Données projet'!$A$114,$BV$205^A34,IF(A34='Données projet'!$A$114,'Données projet'!$B$114,BY33+BX34-CG33)))</f>
        <v>113.47985347985349</v>
      </c>
      <c r="BZ34" s="13">
        <f>BY34*VLOOKUP('Données projet'!$B$12,Paramètres!$A$1:$I$89,3,0)*VLOOKUP('Données projet'!$B$12,Paramètres!$A$1:$I$89,5,0)</f>
        <v>53.108571428571437</v>
      </c>
      <c r="CA34" s="13">
        <f t="shared" si="39"/>
        <v>15.413722027781299</v>
      </c>
      <c r="CB34" s="20">
        <f t="shared" si="10"/>
        <v>119.34299443648099</v>
      </c>
      <c r="CC34" s="59">
        <f t="shared" si="11"/>
        <v>412.67632776981429</v>
      </c>
      <c r="CD34" s="59">
        <f ca="1">AVERAGE(OFFSET($CC$3,0,0,'Données projet'!$E$12+1,1))-AVERAGE(OFFSET($H$3,0,0,'Données projet'!$E$12+1,1))</f>
        <v>246.66630850723385</v>
      </c>
      <c r="CE34" s="59">
        <f t="shared" si="40"/>
        <v>145.34368562171613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>
        <f>VLOOKUP(A34,'Données projet'!$A$139:$I$159,2,0)</f>
        <v>155</v>
      </c>
      <c r="CR34" s="12">
        <f>VLOOKUP(A34,'Données projet'!$A$139:$I$159,9,0)</f>
        <v>11.5</v>
      </c>
      <c r="CS34" s="12">
        <f t="array" ref="CS34">INDEX(CR:CR,MIN(IF(ISNUMBER(CR34:CR230),ROW(CR34:CR230),"")))</f>
        <v>11.5</v>
      </c>
      <c r="CT34" s="12">
        <f>IF('Données projet'!$A$140&gt;35,CT33+CS34-DB33,IF(A34&lt;'Données projet'!$A$140,$CQ$205^A34,IF(A34='Données projet'!$A$140,'Données projet'!$B$140,CT33+CS34-DB33)))</f>
        <v>154.99999999999997</v>
      </c>
      <c r="CU34" s="17">
        <f>CT34*VLOOKUP('Données projet'!$B$13,Paramètres!$A$1:$I$89,3,0)*VLOOKUP('Données projet'!$B$13,Paramètres!$A$1:$I$89,5,0)</f>
        <v>120.89999999999998</v>
      </c>
      <c r="CV34" s="13">
        <f t="shared" si="41"/>
        <v>31.884818143351602</v>
      </c>
      <c r="CW34" s="20">
        <f t="shared" si="13"/>
        <v>266.10022493300397</v>
      </c>
      <c r="CX34" s="59">
        <f t="shared" si="14"/>
        <v>559.43355826633729</v>
      </c>
      <c r="CY34" s="59">
        <f ca="1">AVERAGE(OFFSET($CX$3,0,0,'Données projet'!$E$13+1,1))-AVERAGE(OFFSET($H$3,0,0,'Données projet'!$E$13+1,1))</f>
        <v>292.57482726862594</v>
      </c>
      <c r="CZ34" s="59">
        <f t="shared" si="42"/>
        <v>283.48738729114024</v>
      </c>
      <c r="DA34" s="15">
        <f>IF(ISNA(VLOOKUP(A34,'Données projet'!$A$139:$I$159,3,0)),0,VLOOKUP(A34,'Données projet'!$A$139:$I$159,3,0))</f>
        <v>2</v>
      </c>
      <c r="DB34" s="15">
        <f>IF(ISNA(VLOOKUP(A34,'Données projet'!$A$139:$I$159,4,0)),0,VLOOKUP(A34,'Données projet'!$A$139:$I$159,4,0))</f>
        <v>36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</v>
      </c>
      <c r="DO34" s="12">
        <f>IF('Données projet'!$A$166&gt;35,DO33+DN34-DW33,IF(A34&lt;'Données projet'!$A$166,$DL$205^A34,IF(A34='Données projet'!$A$166,'Données projet'!$B$166,DO33+DN34-DW33)))</f>
        <v>84</v>
      </c>
      <c r="DP34" s="17">
        <f>DO34*VLOOKUP('Données projet'!$B$14,Paramètres!$A$1:$I$89,3,0)*VLOOKUP('Données projet'!$B$14,Paramètres!$A$1:$I$89,5,0)</f>
        <v>85.176000000000002</v>
      </c>
      <c r="DQ34" s="13">
        <f t="shared" si="43"/>
        <v>23.398088487656441</v>
      </c>
      <c r="DR34" s="20">
        <f t="shared" si="16"/>
        <v>189.09987078266829</v>
      </c>
      <c r="DS34" s="59">
        <f t="shared" si="17"/>
        <v>482.4332041160016</v>
      </c>
      <c r="DT34" s="59">
        <f ca="1">AVERAGE(OFFSET($DS$3,0,0,'Données projet'!$E$14+1,1))-AVERAGE(OFFSET($H$3,0,0,'Données projet'!$E$14+1,1))</f>
        <v>475.47920969424894</v>
      </c>
      <c r="DU34" s="59">
        <f t="shared" si="44"/>
        <v>271.73544012419364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8</v>
      </c>
      <c r="EJ34" s="12">
        <f>IF('Données projet'!$A$192&gt;35,EJ33+EI34-ER33,IF(A34&lt;'Données projet'!$A$192,$EG$205^A34,IF(A34='Données projet'!$A$192,'Données projet'!$B$192,EJ33+EI34-ER33)))</f>
        <v>84</v>
      </c>
      <c r="EK34" s="17">
        <f>EJ34*VLOOKUP('Données projet'!$B$15,Paramètres!$A$1:$I$89,3,0)*VLOOKUP('Données projet'!$B$15,Paramètres!$A$1:$I$89,5,0)</f>
        <v>76.003200000000007</v>
      </c>
      <c r="EL34" s="13">
        <f t="shared" si="45"/>
        <v>21.157049992000456</v>
      </c>
      <c r="EM34" s="20">
        <f t="shared" si="19"/>
        <v>169.22076873606747</v>
      </c>
      <c r="EN34" s="59">
        <f t="shared" si="20"/>
        <v>462.55410206940076</v>
      </c>
      <c r="EO34" s="59">
        <f ca="1">AVERAGE(OFFSET($EN$3,0,0,'Données projet'!$E$15+1,1))-AVERAGE(OFFSET($H$3,0,0,'Données projet'!$E$15+1,1))</f>
        <v>428.8489304403459</v>
      </c>
      <c r="EP34" s="59">
        <f t="shared" si="46"/>
        <v>247.01165577562966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4.2</v>
      </c>
      <c r="FE34" s="12">
        <f>IF('Données projet'!$A$218&gt;35,FE33+FD34-FM33,IF(A34&lt;'Données projet'!$A$218,$FB$205^A34,IF(A34='Données projet'!$A$218,'Données projet'!$B$218,FE33+FD34-FM33)))</f>
        <v>152.19999999999993</v>
      </c>
      <c r="FF34" s="17">
        <f>FE34*VLOOKUP('Données projet'!$B$16,Paramètres!$A$1:$I$89,3,0)*VLOOKUP('Données projet'!$B$16,Paramètres!$A$1:$I$89,5,0)</f>
        <v>137.71055999999993</v>
      </c>
      <c r="FG34" s="13">
        <f t="shared" si="47"/>
        <v>35.772024702085233</v>
      </c>
      <c r="FH34" s="20">
        <f t="shared" si="22"/>
        <v>302.14883502279832</v>
      </c>
      <c r="FI34" s="59">
        <f t="shared" si="23"/>
        <v>595.48216835613164</v>
      </c>
      <c r="FJ34" s="59">
        <f ca="1">AVERAGE(OFFSET($FI$3,0,0,'Données projet'!$E$16+1,1))-AVERAGE(OFFSET($H$3,0,0,'Données projet'!$E$16+1,1))</f>
        <v>245.25496369542458</v>
      </c>
      <c r="FK34" s="59">
        <f t="shared" si="48"/>
        <v>342.30266518164211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 t="e">
        <f>N35*VLOOKUP('Données projet'!$B$9,Paramètres!$A$1:$I$89,3,0)*VLOOKUP('Données projet'!$B$9,Paramètres!$A$1:$I$89,5,0)</f>
        <v>#N/A</v>
      </c>
      <c r="P35" s="13" t="e">
        <f t="shared" si="33"/>
        <v>#N/A</v>
      </c>
      <c r="Q35" s="20" t="e">
        <f t="shared" ref="Q35:Q66" si="53">(O35+P35)*0.475*44/12</f>
        <v>#N/A</v>
      </c>
      <c r="R35" s="59" t="e">
        <f t="shared" si="0"/>
        <v>#N/A</v>
      </c>
      <c r="S35" s="59" t="e">
        <f ca="1">AVERAGE(OFFSET($R$3,0,0,'Données projet'!$E$9+1,1))-AVERAGE(OFFSET($H$3,0,0,'Données projet'!$E$9+1,1))</f>
        <v>#N/A</v>
      </c>
      <c r="T35" s="59" t="e">
        <f t="shared" si="34"/>
        <v>#N/A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 t="e">
        <f>EXP(-LN(2)/35)*Z34+(1-EXP(-LN(2)/35))/(LN(2)/35)*V35*W35*VLOOKUP('Données projet'!$B$9,Paramètres!$A$1:$I$89,3,0)*0.475*44/12</f>
        <v>#N/A</v>
      </c>
      <c r="AA35" s="21" t="e">
        <f>EXP(-LN(2)/25)*AA34+(1-EXP(-LN(2)/25))/(LN(2)/25)*Calculateur!V35*Calculateur!X35*VLOOKUP('Données projet'!$B$9,Paramètres!$A$1:$I$89,3,0)*0.475*44/12</f>
        <v>#N/A</v>
      </c>
      <c r="AB35" s="21" t="e">
        <f>EXP(-LN(2)/2)*AB34+(1-EXP(-LN(2)/2))/(LN(2)/2)*V35*Y35*VLOOKUP('Données projet'!$B$9,Paramètres!$A$1:$I$89,3,0)*0.475*44/12</f>
        <v>#N/A</v>
      </c>
      <c r="AC35" s="22" t="e">
        <f t="shared" si="3"/>
        <v>#N/A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10.6</v>
      </c>
      <c r="AI35" s="13">
        <f>IF('Données projet'!$A$62&gt;35,AI34+AH35-AQ34,IF(A35&lt;'Données projet'!$A$62,$AF$205^A35,IF(A35='Données projet'!$A$62,'Données projet'!$B$62,AI34+AH35-AQ34)))</f>
        <v>140.19999999999993</v>
      </c>
      <c r="AJ35" s="13">
        <f>AI35*VLOOKUP('Données projet'!$B$10,Paramètres!$A$1:$I$89,3,0)*VLOOKUP('Données projet'!$B$10,Paramètres!$A$1:$I$89,5,0)</f>
        <v>122.47871999999997</v>
      </c>
      <c r="AK35" s="13">
        <f t="shared" si="35"/>
        <v>32.252430308903975</v>
      </c>
      <c r="AL35" s="20">
        <f t="shared" si="4"/>
        <v>269.49008678800766</v>
      </c>
      <c r="AM35" s="59">
        <f t="shared" si="5"/>
        <v>562.82342012134097</v>
      </c>
      <c r="AN35" s="59">
        <f ca="1">AVERAGE(OFFSET($AM$3,0,0,'Données projet'!$E$10+1,1))-AVERAGE(OFFSET($H$3,0,0,'Données projet'!$E$10+1,1))</f>
        <v>338.55719679154777</v>
      </c>
      <c r="AO35" s="59">
        <f t="shared" si="36"/>
        <v>371.26234252426531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6.1538461538461515</v>
      </c>
      <c r="BD35" s="12">
        <f>IF('Données projet'!$A$88&gt;35,BD34+BC35-BL34,IF(A35&lt;'Données projet'!$A$88,$BA$205^A35,IF(A35='Données projet'!$A$88,'Données projet'!$B$88,BD34+BC35-BL34)))</f>
        <v>111.02564102564105</v>
      </c>
      <c r="BE35" s="13">
        <f>BD35*VLOOKUP('Données projet'!$B$11,Paramètres!$A$1:$I$89,3,0)*VLOOKUP('Données projet'!$B$11,Paramètres!$A$1:$I$89,5,0)</f>
        <v>105.65200000000003</v>
      </c>
      <c r="BF35" s="13">
        <f t="shared" si="37"/>
        <v>28.304169779393426</v>
      </c>
      <c r="BG35" s="20">
        <f t="shared" si="7"/>
        <v>233.30699569911027</v>
      </c>
      <c r="BH35" s="59">
        <f t="shared" si="8"/>
        <v>526.64032903244356</v>
      </c>
      <c r="BI35" s="59">
        <f ca="1">AVERAGE(OFFSET($BH$3,0,0,'Données projet'!$E$11+1,1))-AVERAGE(OFFSET($H$3,0,0,'Données projet'!$E$11+1,1))</f>
        <v>351.6178679548006</v>
      </c>
      <c r="BJ35" s="59">
        <f t="shared" si="38"/>
        <v>244.7141066773861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10.402930402930403</v>
      </c>
      <c r="BY35" s="12">
        <f>IF('Données projet'!$A$114&gt;35,BY34+BX35-CG34,IF(A35&lt;'Données projet'!$A$114,$BV$205^A35,IF(A35='Données projet'!$A$114,'Données projet'!$B$114,BY34+BX35-CG34)))</f>
        <v>123.8827838827839</v>
      </c>
      <c r="BZ35" s="13">
        <f>BY35*VLOOKUP('Données projet'!$B$12,Paramètres!$A$1:$I$89,3,0)*VLOOKUP('Données projet'!$B$12,Paramètres!$A$1:$I$89,5,0)</f>
        <v>57.977142857142866</v>
      </c>
      <c r="CA35" s="13">
        <f t="shared" si="39"/>
        <v>16.655810903261287</v>
      </c>
      <c r="CB35" s="20">
        <f t="shared" si="10"/>
        <v>129.98572779937055</v>
      </c>
      <c r="CC35" s="59">
        <f t="shared" si="11"/>
        <v>423.31906113270384</v>
      </c>
      <c r="CD35" s="59">
        <f ca="1">AVERAGE(OFFSET($CC$3,0,0,'Données projet'!$E$12+1,1))-AVERAGE(OFFSET($H$3,0,0,'Données projet'!$E$12+1,1))</f>
        <v>246.66630850723385</v>
      </c>
      <c r="CE35" s="59">
        <f t="shared" si="40"/>
        <v>145.34368562171613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11.5</v>
      </c>
      <c r="CT35" s="12">
        <f>IF('Données projet'!$A$140&gt;35,CT34+CS35-DB34,IF(A35&lt;'Données projet'!$A$140,$CQ$205^A35,IF(A35='Données projet'!$A$140,'Données projet'!$B$140,CT34+CS35-DB34)))</f>
        <v>130.49999999999997</v>
      </c>
      <c r="CU35" s="17">
        <f>CT35*VLOOKUP('Données projet'!$B$13,Paramètres!$A$1:$I$89,3,0)*VLOOKUP('Données projet'!$B$13,Paramètres!$A$1:$I$89,5,0)</f>
        <v>101.78999999999998</v>
      </c>
      <c r="CV35" s="13">
        <f t="shared" si="41"/>
        <v>27.38799903683508</v>
      </c>
      <c r="CW35" s="20">
        <f t="shared" si="13"/>
        <v>224.98501498915437</v>
      </c>
      <c r="CX35" s="59">
        <f t="shared" si="14"/>
        <v>518.31834832248774</v>
      </c>
      <c r="CY35" s="59">
        <f ca="1">AVERAGE(OFFSET($CX$3,0,0,'Données projet'!$E$13+1,1))-AVERAGE(OFFSET($H$3,0,0,'Données projet'!$E$13+1,1))</f>
        <v>292.57482726862594</v>
      </c>
      <c r="CZ35" s="59">
        <f t="shared" si="42"/>
        <v>283.48738729114024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</v>
      </c>
      <c r="DO35" s="12">
        <f>IF('Données projet'!$A$166&gt;35,DO34+DN35-DW34,IF(A35&lt;'Données projet'!$A$166,$DL$205^A35,IF(A35='Données projet'!$A$166,'Données projet'!$B$166,DO34+DN35-DW34)))</f>
        <v>92</v>
      </c>
      <c r="DP35" s="17">
        <f>DO35*VLOOKUP('Données projet'!$B$14,Paramètres!$A$1:$I$89,3,0)*VLOOKUP('Données projet'!$B$14,Paramètres!$A$1:$I$89,5,0)</f>
        <v>93.288000000000011</v>
      </c>
      <c r="DQ35" s="13">
        <f t="shared" si="43"/>
        <v>25.356547829040977</v>
      </c>
      <c r="DR35" s="20">
        <f t="shared" si="16"/>
        <v>206.63925413557971</v>
      </c>
      <c r="DS35" s="59">
        <f t="shared" si="17"/>
        <v>499.97258746891305</v>
      </c>
      <c r="DT35" s="59">
        <f ca="1">AVERAGE(OFFSET($DS$3,0,0,'Données projet'!$E$14+1,1))-AVERAGE(OFFSET($H$3,0,0,'Données projet'!$E$14+1,1))</f>
        <v>475.47920969424894</v>
      </c>
      <c r="DU35" s="59">
        <f t="shared" si="44"/>
        <v>271.73544012419364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8</v>
      </c>
      <c r="EJ35" s="12">
        <f>IF('Données projet'!$A$192&gt;35,EJ34+EI35-ER34,IF(A35&lt;'Données projet'!$A$192,$EG$205^A35,IF(A35='Données projet'!$A$192,'Données projet'!$B$192,EJ34+EI35-ER34)))</f>
        <v>92</v>
      </c>
      <c r="EK35" s="17">
        <f>EJ35*VLOOKUP('Données projet'!$B$15,Paramètres!$A$1:$I$89,3,0)*VLOOKUP('Données projet'!$B$15,Paramètres!$A$1:$I$89,5,0)</f>
        <v>83.241600000000005</v>
      </c>
      <c r="EL35" s="13">
        <f t="shared" si="45"/>
        <v>22.927930643846508</v>
      </c>
      <c r="EM35" s="20">
        <f t="shared" si="19"/>
        <v>184.91193253803269</v>
      </c>
      <c r="EN35" s="59">
        <f t="shared" si="20"/>
        <v>478.24526587136597</v>
      </c>
      <c r="EO35" s="59">
        <f ca="1">AVERAGE(OFFSET($EN$3,0,0,'Données projet'!$E$15+1,1))-AVERAGE(OFFSET($H$3,0,0,'Données projet'!$E$15+1,1))</f>
        <v>428.8489304403459</v>
      </c>
      <c r="EP35" s="59">
        <f t="shared" si="46"/>
        <v>247.01165577562966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4.2</v>
      </c>
      <c r="FE35" s="12">
        <f>IF('Données projet'!$A$218&gt;35,FE34+FD35-FM34,IF(A35&lt;'Données projet'!$A$218,$FB$205^A35,IF(A35='Données projet'!$A$218,'Données projet'!$B$218,FE34+FD35-FM34)))</f>
        <v>156.39999999999992</v>
      </c>
      <c r="FF35" s="17">
        <f>FE35*VLOOKUP('Données projet'!$B$16,Paramètres!$A$1:$I$89,3,0)*VLOOKUP('Données projet'!$B$16,Paramètres!$A$1:$I$89,5,0)</f>
        <v>141.51071999999994</v>
      </c>
      <c r="FG35" s="13">
        <f t="shared" si="47"/>
        <v>36.642873749766764</v>
      </c>
      <c r="FH35" s="20">
        <f t="shared" si="22"/>
        <v>310.28417578084361</v>
      </c>
      <c r="FI35" s="59">
        <f t="shared" si="23"/>
        <v>603.61750911417698</v>
      </c>
      <c r="FJ35" s="59">
        <f ca="1">AVERAGE(OFFSET($FI$3,0,0,'Données projet'!$E$16+1,1))-AVERAGE(OFFSET($H$3,0,0,'Données projet'!$E$16+1,1))</f>
        <v>245.25496369542458</v>
      </c>
      <c r="FK35" s="59">
        <f t="shared" si="48"/>
        <v>342.30266518164211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 t="e">
        <f>N36*VLOOKUP('Données projet'!$B$9,Paramètres!$A$1:$I$89,3,0)*VLOOKUP('Données projet'!$B$9,Paramètres!$A$1:$I$89,5,0)</f>
        <v>#N/A</v>
      </c>
      <c r="P36" s="13" t="e">
        <f t="shared" si="33"/>
        <v>#N/A</v>
      </c>
      <c r="Q36" s="20" t="e">
        <f t="shared" si="53"/>
        <v>#N/A</v>
      </c>
      <c r="R36" s="59" t="e">
        <f t="shared" si="0"/>
        <v>#N/A</v>
      </c>
      <c r="S36" s="59" t="e">
        <f ca="1">AVERAGE(OFFSET($R$3,0,0,'Données projet'!$E$9+1,1))-AVERAGE(OFFSET($H$3,0,0,'Données projet'!$E$9+1,1))</f>
        <v>#N/A</v>
      </c>
      <c r="T36" s="59" t="e">
        <f t="shared" si="34"/>
        <v>#N/A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 t="e">
        <f>EXP(-LN(2)/35)*Z35+(1-EXP(-LN(2)/35))/(LN(2)/35)*V36*W36*VLOOKUP('Données projet'!$B$9,Paramètres!$A$1:$I$89,3,0)*0.475*44/12</f>
        <v>#N/A</v>
      </c>
      <c r="AA36" s="21" t="e">
        <f>EXP(-LN(2)/25)*AA35+(1-EXP(-LN(2)/25))/(LN(2)/25)*Calculateur!V36*Calculateur!X36*VLOOKUP('Données projet'!$B$9,Paramètres!$A$1:$I$89,3,0)*0.475*44/12</f>
        <v>#N/A</v>
      </c>
      <c r="AB36" s="21" t="e">
        <f>EXP(-LN(2)/2)*AB35+(1-EXP(-LN(2)/2))/(LN(2)/2)*V36*Y36*VLOOKUP('Données projet'!$B$9,Paramètres!$A$1:$I$89,3,0)*0.475*44/12</f>
        <v>#N/A</v>
      </c>
      <c r="AC36" s="22" t="e">
        <f t="shared" si="3"/>
        <v>#N/A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10.6</v>
      </c>
      <c r="AI36" s="13">
        <f>IF('Données projet'!$A$62&gt;35,AI35+AH36-AQ35,IF(A36&lt;'Données projet'!$A$62,$AF$205^A36,IF(A36='Données projet'!$A$62,'Données projet'!$B$62,AI35+AH36-AQ35)))</f>
        <v>150.79999999999993</v>
      </c>
      <c r="AJ36" s="13">
        <f>AI36*VLOOKUP('Données projet'!$B$10,Paramètres!$A$1:$I$89,3,0)*VLOOKUP('Données projet'!$B$10,Paramètres!$A$1:$I$89,5,0)</f>
        <v>131.73887999999994</v>
      </c>
      <c r="AK36" s="13">
        <f t="shared" si="35"/>
        <v>34.397852193895829</v>
      </c>
      <c r="AL36" s="20">
        <f t="shared" si="4"/>
        <v>289.35480857103511</v>
      </c>
      <c r="AM36" s="59">
        <f t="shared" si="5"/>
        <v>582.68814190436842</v>
      </c>
      <c r="AN36" s="59">
        <f ca="1">AVERAGE(OFFSET($AM$3,0,0,'Données projet'!$E$10+1,1))-AVERAGE(OFFSET($H$3,0,0,'Données projet'!$E$10+1,1))</f>
        <v>338.55719679154777</v>
      </c>
      <c r="AO36" s="59">
        <f t="shared" si="36"/>
        <v>371.26234252426531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6.1538461538461515</v>
      </c>
      <c r="BD36" s="12">
        <f>IF('Données projet'!$A$88&gt;35,BD35+BC36-BL35,IF(A36&lt;'Données projet'!$A$88,$BA$205^A36,IF(A36='Données projet'!$A$88,'Données projet'!$B$88,BD35+BC36-BL35)))</f>
        <v>117.1794871794872</v>
      </c>
      <c r="BE36" s="13">
        <f>BD36*VLOOKUP('Données projet'!$B$11,Paramètres!$A$1:$I$89,3,0)*VLOOKUP('Données projet'!$B$11,Paramètres!$A$1:$I$89,5,0)</f>
        <v>111.50800000000002</v>
      </c>
      <c r="BF36" s="13">
        <f t="shared" si="37"/>
        <v>29.685999090183582</v>
      </c>
      <c r="BG36" s="20">
        <f t="shared" si="7"/>
        <v>245.9128817487364</v>
      </c>
      <c r="BH36" s="59">
        <f t="shared" si="8"/>
        <v>539.24621508206974</v>
      </c>
      <c r="BI36" s="59">
        <f ca="1">AVERAGE(OFFSET($BH$3,0,0,'Données projet'!$E$11+1,1))-AVERAGE(OFFSET($H$3,0,0,'Données projet'!$E$11+1,1))</f>
        <v>351.6178679548006</v>
      </c>
      <c r="BJ36" s="59">
        <f t="shared" si="38"/>
        <v>244.7141066773861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10.402930402930403</v>
      </c>
      <c r="BY36" s="12">
        <f>IF('Données projet'!$A$114&gt;35,BY35+BX36-CG35,IF(A36&lt;'Données projet'!$A$114,$BV$205^A36,IF(A36='Données projet'!$A$114,'Données projet'!$B$114,BY35+BX36-CG35)))</f>
        <v>134.28571428571431</v>
      </c>
      <c r="BZ36" s="13">
        <f>BY36*VLOOKUP('Données projet'!$B$12,Paramètres!$A$1:$I$89,3,0)*VLOOKUP('Données projet'!$B$12,Paramètres!$A$1:$I$89,5,0)</f>
        <v>62.845714285714294</v>
      </c>
      <c r="CA36" s="13">
        <f t="shared" si="39"/>
        <v>17.885803038990584</v>
      </c>
      <c r="CB36" s="20">
        <f t="shared" si="10"/>
        <v>140.60739267386097</v>
      </c>
      <c r="CC36" s="59">
        <f t="shared" si="11"/>
        <v>433.94072600719426</v>
      </c>
      <c r="CD36" s="59">
        <f ca="1">AVERAGE(OFFSET($CC$3,0,0,'Données projet'!$E$12+1,1))-AVERAGE(OFFSET($H$3,0,0,'Données projet'!$E$12+1,1))</f>
        <v>246.66630850723385</v>
      </c>
      <c r="CE36" s="59">
        <f t="shared" si="40"/>
        <v>145.34368562171613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11.5</v>
      </c>
      <c r="CT36" s="12">
        <f>IF('Données projet'!$A$140&gt;35,CT35+CS36-DB35,IF(A36&lt;'Données projet'!$A$140,$CQ$205^A36,IF(A36='Données projet'!$A$140,'Données projet'!$B$140,CT35+CS36-DB35)))</f>
        <v>141.99999999999997</v>
      </c>
      <c r="CU36" s="17">
        <f>CT36*VLOOKUP('Données projet'!$B$13,Paramètres!$A$1:$I$89,3,0)*VLOOKUP('Données projet'!$B$13,Paramètres!$A$1:$I$89,5,0)</f>
        <v>110.75999999999998</v>
      </c>
      <c r="CV36" s="13">
        <f t="shared" si="41"/>
        <v>29.509974682362923</v>
      </c>
      <c r="CW36" s="20">
        <f t="shared" si="13"/>
        <v>244.30353923844871</v>
      </c>
      <c r="CX36" s="59">
        <f t="shared" si="14"/>
        <v>537.63687257178208</v>
      </c>
      <c r="CY36" s="59">
        <f ca="1">AVERAGE(OFFSET($CX$3,0,0,'Données projet'!$E$13+1,1))-AVERAGE(OFFSET($H$3,0,0,'Données projet'!$E$13+1,1))</f>
        <v>292.57482726862594</v>
      </c>
      <c r="CZ36" s="59">
        <f t="shared" si="42"/>
        <v>283.48738729114024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</v>
      </c>
      <c r="DO36" s="12">
        <f>IF('Données projet'!$A$166&gt;35,DO35+DN36-DW35,IF(A36&lt;'Données projet'!$A$166,$DL$205^A36,IF(A36='Données projet'!$A$166,'Données projet'!$B$166,DO35+DN36-DW35)))</f>
        <v>100</v>
      </c>
      <c r="DP36" s="17">
        <f>DO36*VLOOKUP('Données projet'!$B$14,Paramètres!$A$1:$I$89,3,0)*VLOOKUP('Données projet'!$B$14,Paramètres!$A$1:$I$89,5,0)</f>
        <v>101.4</v>
      </c>
      <c r="DQ36" s="13">
        <f t="shared" si="43"/>
        <v>27.295257887453797</v>
      </c>
      <c r="DR36" s="20">
        <f t="shared" si="16"/>
        <v>224.14424082064872</v>
      </c>
      <c r="DS36" s="59">
        <f t="shared" si="17"/>
        <v>517.477574153982</v>
      </c>
      <c r="DT36" s="59">
        <f ca="1">AVERAGE(OFFSET($DS$3,0,0,'Données projet'!$E$14+1,1))-AVERAGE(OFFSET($H$3,0,0,'Données projet'!$E$14+1,1))</f>
        <v>475.47920969424894</v>
      </c>
      <c r="DU36" s="59">
        <f t="shared" si="44"/>
        <v>271.73544012419364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8</v>
      </c>
      <c r="EJ36" s="12">
        <f>IF('Données projet'!$A$192&gt;35,EJ35+EI36-ER35,IF(A36&lt;'Données projet'!$A$192,$EG$205^A36,IF(A36='Données projet'!$A$192,'Données projet'!$B$192,EJ35+EI36-ER35)))</f>
        <v>100</v>
      </c>
      <c r="EK36" s="17">
        <f>EJ36*VLOOKUP('Données projet'!$B$15,Paramètres!$A$1:$I$89,3,0)*VLOOKUP('Données projet'!$B$15,Paramètres!$A$1:$I$89,5,0)</f>
        <v>90.47999999999999</v>
      </c>
      <c r="EL36" s="13">
        <f t="shared" si="45"/>
        <v>24.680953573367994</v>
      </c>
      <c r="EM36" s="20">
        <f t="shared" si="19"/>
        <v>200.57199414028256</v>
      </c>
      <c r="EN36" s="59">
        <f t="shared" si="20"/>
        <v>493.9053274736159</v>
      </c>
      <c r="EO36" s="59">
        <f ca="1">AVERAGE(OFFSET($EN$3,0,0,'Données projet'!$E$15+1,1))-AVERAGE(OFFSET($H$3,0,0,'Données projet'!$E$15+1,1))</f>
        <v>428.8489304403459</v>
      </c>
      <c r="EP36" s="59">
        <f t="shared" si="46"/>
        <v>247.01165577562966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4.2</v>
      </c>
      <c r="FE36" s="12">
        <f>IF('Données projet'!$A$218&gt;35,FE35+FD36-FM35,IF(A36&lt;'Données projet'!$A$218,$FB$205^A36,IF(A36='Données projet'!$A$218,'Données projet'!$B$218,FE35+FD36-FM35)))</f>
        <v>160.59999999999991</v>
      </c>
      <c r="FF36" s="17">
        <f>FE36*VLOOKUP('Données projet'!$B$16,Paramètres!$A$1:$I$89,3,0)*VLOOKUP('Données projet'!$B$16,Paramètres!$A$1:$I$89,5,0)</f>
        <v>145.31087999999991</v>
      </c>
      <c r="FG36" s="13">
        <f t="shared" si="47"/>
        <v>37.511004575106362</v>
      </c>
      <c r="FH36" s="20">
        <f t="shared" si="22"/>
        <v>318.41478230164341</v>
      </c>
      <c r="FI36" s="59">
        <f t="shared" si="23"/>
        <v>611.74811563497678</v>
      </c>
      <c r="FJ36" s="59">
        <f ca="1">AVERAGE(OFFSET($FI$3,0,0,'Données projet'!$E$16+1,1))-AVERAGE(OFFSET($H$3,0,0,'Données projet'!$E$16+1,1))</f>
        <v>245.25496369542458</v>
      </c>
      <c r="FK36" s="59">
        <f t="shared" si="48"/>
        <v>342.30266518164211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 t="e">
        <f>N37*VLOOKUP('Données projet'!$B$9,Paramètres!$A$1:$I$89,3,0)*VLOOKUP('Données projet'!$B$9,Paramètres!$A$1:$I$89,5,0)</f>
        <v>#N/A</v>
      </c>
      <c r="P37" s="13" t="e">
        <f t="shared" si="33"/>
        <v>#N/A</v>
      </c>
      <c r="Q37" s="20" t="e">
        <f t="shared" si="53"/>
        <v>#N/A</v>
      </c>
      <c r="R37" s="59" t="e">
        <f t="shared" si="0"/>
        <v>#N/A</v>
      </c>
      <c r="S37" s="59" t="e">
        <f ca="1">AVERAGE(OFFSET($R$3,0,0,'Données projet'!$E$9+1,1))-AVERAGE(OFFSET($H$3,0,0,'Données projet'!$E$9+1,1))</f>
        <v>#N/A</v>
      </c>
      <c r="T37" s="59" t="e">
        <f t="shared" si="34"/>
        <v>#N/A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 t="e">
        <f>EXP(-LN(2)/35)*Z36+(1-EXP(-LN(2)/35))/(LN(2)/35)*V37*W37*VLOOKUP('Données projet'!$B$9,Paramètres!$A$1:$I$89,3,0)*0.475*44/12</f>
        <v>#N/A</v>
      </c>
      <c r="AA37" s="21" t="e">
        <f>EXP(-LN(2)/25)*AA36+(1-EXP(-LN(2)/25))/(LN(2)/25)*Calculateur!V37*Calculateur!X37*VLOOKUP('Données projet'!$B$9,Paramètres!$A$1:$I$89,3,0)*0.475*44/12</f>
        <v>#N/A</v>
      </c>
      <c r="AB37" s="21" t="e">
        <f>EXP(-LN(2)/2)*AB36+(1-EXP(-LN(2)/2))/(LN(2)/2)*V37*Y37*VLOOKUP('Données projet'!$B$9,Paramètres!$A$1:$I$89,3,0)*0.475*44/12</f>
        <v>#N/A</v>
      </c>
      <c r="AC37" s="22" t="e">
        <f t="shared" si="3"/>
        <v>#N/A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10.6</v>
      </c>
      <c r="AI37" s="13">
        <f>IF('Données projet'!$A$62&gt;35,AI36+AH37-AQ36,IF(A37&lt;'Données projet'!$A$62,$AF$205^A37,IF(A37='Données projet'!$A$62,'Données projet'!$B$62,AI36+AH37-AQ36)))</f>
        <v>161.39999999999992</v>
      </c>
      <c r="AJ37" s="13">
        <f>AI37*VLOOKUP('Données projet'!$B$10,Paramètres!$A$1:$I$89,3,0)*VLOOKUP('Données projet'!$B$10,Paramètres!$A$1:$I$89,5,0)</f>
        <v>140.99903999999995</v>
      </c>
      <c r="AK37" s="13">
        <f t="shared" si="35"/>
        <v>36.525776729948824</v>
      </c>
      <c r="AL37" s="20">
        <f t="shared" si="4"/>
        <v>309.18905580466077</v>
      </c>
      <c r="AM37" s="59">
        <f t="shared" si="5"/>
        <v>602.52238913799408</v>
      </c>
      <c r="AN37" s="59">
        <f ca="1">AVERAGE(OFFSET($AM$3,0,0,'Données projet'!$E$10+1,1))-AVERAGE(OFFSET($H$3,0,0,'Données projet'!$E$10+1,1))</f>
        <v>338.55719679154777</v>
      </c>
      <c r="AO37" s="59">
        <f t="shared" si="36"/>
        <v>371.26234252426531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6.1538461538461515</v>
      </c>
      <c r="BD37" s="12">
        <f>IF('Données projet'!$A$88&gt;35,BD36+BC37-BL36,IF(A37&lt;'Données projet'!$A$88,$BA$205^A37,IF(A37='Données projet'!$A$88,'Données projet'!$B$88,BD36+BC37-BL36)))</f>
        <v>123.33333333333334</v>
      </c>
      <c r="BE37" s="13">
        <f>BD37*VLOOKUP('Données projet'!$B$11,Paramètres!$A$1:$I$89,3,0)*VLOOKUP('Données projet'!$B$11,Paramètres!$A$1:$I$89,5,0)</f>
        <v>117.364</v>
      </c>
      <c r="BF37" s="13">
        <f t="shared" si="37"/>
        <v>31.059403079292686</v>
      </c>
      <c r="BG37" s="20">
        <f t="shared" si="7"/>
        <v>258.50409369643472</v>
      </c>
      <c r="BH37" s="59">
        <f t="shared" si="8"/>
        <v>551.83742702976804</v>
      </c>
      <c r="BI37" s="59">
        <f ca="1">AVERAGE(OFFSET($BH$3,0,0,'Données projet'!$E$11+1,1))-AVERAGE(OFFSET($H$3,0,0,'Données projet'!$E$11+1,1))</f>
        <v>351.6178679548006</v>
      </c>
      <c r="BJ37" s="59">
        <f t="shared" si="38"/>
        <v>244.7141066773861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10.402930402930403</v>
      </c>
      <c r="BY37" s="12">
        <f>IF('Données projet'!$A$114&gt;35,BY36+BX37-CG36,IF(A37&lt;'Données projet'!$A$114,$BV$205^A37,IF(A37='Données projet'!$A$114,'Données projet'!$B$114,BY36+BX37-CG36)))</f>
        <v>144.6886446886447</v>
      </c>
      <c r="BZ37" s="13">
        <f>BY37*VLOOKUP('Données projet'!$B$12,Paramètres!$A$1:$I$89,3,0)*VLOOKUP('Données projet'!$B$12,Paramètres!$A$1:$I$89,5,0)</f>
        <v>67.714285714285722</v>
      </c>
      <c r="CA37" s="13">
        <f t="shared" si="39"/>
        <v>19.104742100396511</v>
      </c>
      <c r="CB37" s="20">
        <f t="shared" si="10"/>
        <v>151.20980677723819</v>
      </c>
      <c r="CC37" s="59">
        <f t="shared" si="11"/>
        <v>444.54314011057147</v>
      </c>
      <c r="CD37" s="59">
        <f ca="1">AVERAGE(OFFSET($CC$3,0,0,'Données projet'!$E$12+1,1))-AVERAGE(OFFSET($H$3,0,0,'Données projet'!$E$12+1,1))</f>
        <v>246.66630850723385</v>
      </c>
      <c r="CE37" s="59">
        <f t="shared" si="40"/>
        <v>145.34368562171613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11.5</v>
      </c>
      <c r="CT37" s="12">
        <f>IF('Données projet'!$A$140&gt;35,CT36+CS37-DB36,IF(A37&lt;'Données projet'!$A$140,$CQ$205^A37,IF(A37='Données projet'!$A$140,'Données projet'!$B$140,CT36+CS37-DB36)))</f>
        <v>153.49999999999997</v>
      </c>
      <c r="CU37" s="17">
        <f>CT37*VLOOKUP('Données projet'!$B$13,Paramètres!$A$1:$I$89,3,0)*VLOOKUP('Données projet'!$B$13,Paramètres!$A$1:$I$89,5,0)</f>
        <v>119.72999999999998</v>
      </c>
      <c r="CV37" s="13">
        <f t="shared" si="41"/>
        <v>31.612017974790529</v>
      </c>
      <c r="CW37" s="20">
        <f t="shared" si="13"/>
        <v>263.58734797276014</v>
      </c>
      <c r="CX37" s="59">
        <f t="shared" si="14"/>
        <v>556.92068130609346</v>
      </c>
      <c r="CY37" s="59">
        <f ca="1">AVERAGE(OFFSET($CX$3,0,0,'Données projet'!$E$13+1,1))-AVERAGE(OFFSET($H$3,0,0,'Données projet'!$E$13+1,1))</f>
        <v>292.57482726862594</v>
      </c>
      <c r="CZ37" s="59">
        <f t="shared" si="42"/>
        <v>283.48738729114024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</v>
      </c>
      <c r="DO37" s="12">
        <f>IF('Données projet'!$A$166&gt;35,DO36+DN37-DW36,IF(A37&lt;'Données projet'!$A$166,$DL$205^A37,IF(A37='Données projet'!$A$166,'Données projet'!$B$166,DO36+DN37-DW36)))</f>
        <v>108</v>
      </c>
      <c r="DP37" s="17">
        <f>DO37*VLOOKUP('Données projet'!$B$14,Paramètres!$A$1:$I$89,3,0)*VLOOKUP('Données projet'!$B$14,Paramètres!$A$1:$I$89,5,0)</f>
        <v>109.51200000000001</v>
      </c>
      <c r="DQ37" s="13">
        <f t="shared" si="43"/>
        <v>29.215978230632555</v>
      </c>
      <c r="DR37" s="20">
        <f t="shared" si="16"/>
        <v>241.61789541835174</v>
      </c>
      <c r="DS37" s="59">
        <f t="shared" si="17"/>
        <v>534.95122875168499</v>
      </c>
      <c r="DT37" s="59">
        <f ca="1">AVERAGE(OFFSET($DS$3,0,0,'Données projet'!$E$14+1,1))-AVERAGE(OFFSET($H$3,0,0,'Données projet'!$E$14+1,1))</f>
        <v>475.47920969424894</v>
      </c>
      <c r="DU37" s="59">
        <f t="shared" si="44"/>
        <v>271.73544012419364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8</v>
      </c>
      <c r="EJ37" s="12">
        <f>IF('Données projet'!$A$192&gt;35,EJ36+EI37-ER36,IF(A37&lt;'Données projet'!$A$192,$EG$205^A37,IF(A37='Données projet'!$A$192,'Données projet'!$B$192,EJ36+EI37-ER36)))</f>
        <v>108</v>
      </c>
      <c r="EK37" s="17">
        <f>EJ37*VLOOKUP('Données projet'!$B$15,Paramètres!$A$1:$I$89,3,0)*VLOOKUP('Données projet'!$B$15,Paramètres!$A$1:$I$89,5,0)</f>
        <v>97.718399999999988</v>
      </c>
      <c r="EL37" s="13">
        <f t="shared" si="45"/>
        <v>26.417709819192194</v>
      </c>
      <c r="EM37" s="20">
        <f t="shared" si="19"/>
        <v>216.20372460175972</v>
      </c>
      <c r="EN37" s="59">
        <f t="shared" si="20"/>
        <v>509.537057935093</v>
      </c>
      <c r="EO37" s="59">
        <f ca="1">AVERAGE(OFFSET($EN$3,0,0,'Données projet'!$E$15+1,1))-AVERAGE(OFFSET($H$3,0,0,'Données projet'!$E$15+1,1))</f>
        <v>428.8489304403459</v>
      </c>
      <c r="EP37" s="59">
        <f t="shared" si="46"/>
        <v>247.01165577562966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4.2</v>
      </c>
      <c r="FE37" s="12">
        <f>IF('Données projet'!$A$218&gt;35,FE36+FD37-FM36,IF(A37&lt;'Données projet'!$A$218,$FB$205^A37,IF(A37='Données projet'!$A$218,'Données projet'!$B$218,FE36+FD37-FM36)))</f>
        <v>164.7999999999999</v>
      </c>
      <c r="FF37" s="17">
        <f>FE37*VLOOKUP('Données projet'!$B$16,Paramètres!$A$1:$I$89,3,0)*VLOOKUP('Données projet'!$B$16,Paramètres!$A$1:$I$89,5,0)</f>
        <v>149.11103999999989</v>
      </c>
      <c r="FG37" s="13">
        <f t="shared" si="47"/>
        <v>38.376496436982357</v>
      </c>
      <c r="FH37" s="20">
        <f t="shared" si="22"/>
        <v>326.54079262774405</v>
      </c>
      <c r="FI37" s="59">
        <f t="shared" si="23"/>
        <v>619.87412596107743</v>
      </c>
      <c r="FJ37" s="59">
        <f ca="1">AVERAGE(OFFSET($FI$3,0,0,'Données projet'!$E$16+1,1))-AVERAGE(OFFSET($H$3,0,0,'Données projet'!$E$16+1,1))</f>
        <v>245.25496369542458</v>
      </c>
      <c r="FK37" s="59">
        <f t="shared" si="48"/>
        <v>342.30266518164211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 t="e">
        <f>N38*VLOOKUP('Données projet'!$B$9,Paramètres!$A$1:$I$89,3,0)*VLOOKUP('Données projet'!$B$9,Paramètres!$A$1:$I$89,5,0)</f>
        <v>#N/A</v>
      </c>
      <c r="P38" s="13" t="e">
        <f t="shared" si="33"/>
        <v>#N/A</v>
      </c>
      <c r="Q38" s="20" t="e">
        <f t="shared" si="53"/>
        <v>#N/A</v>
      </c>
      <c r="R38" s="59" t="e">
        <f t="shared" si="0"/>
        <v>#N/A</v>
      </c>
      <c r="S38" s="59" t="e">
        <f ca="1">AVERAGE(OFFSET($R$3,0,0,'Données projet'!$E$9+1,1))-AVERAGE(OFFSET($H$3,0,0,'Données projet'!$E$9+1,1))</f>
        <v>#N/A</v>
      </c>
      <c r="T38" s="59" t="e">
        <f t="shared" si="34"/>
        <v>#N/A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 t="e">
        <f>EXP(-LN(2)/35)*Z37+(1-EXP(-LN(2)/35))/(LN(2)/35)*V38*W38*VLOOKUP('Données projet'!$B$9,Paramètres!$A$1:$I$89,3,0)*0.475*44/12</f>
        <v>#N/A</v>
      </c>
      <c r="AA38" s="21" t="e">
        <f>EXP(-LN(2)/25)*AA37+(1-EXP(-LN(2)/25))/(LN(2)/25)*Calculateur!V38*Calculateur!X38*VLOOKUP('Données projet'!$B$9,Paramètres!$A$1:$I$89,3,0)*0.475*44/12</f>
        <v>#N/A</v>
      </c>
      <c r="AB38" s="21" t="e">
        <f>EXP(-LN(2)/2)*AB37+(1-EXP(-LN(2)/2))/(LN(2)/2)*V38*Y38*VLOOKUP('Données projet'!$B$9,Paramètres!$A$1:$I$89,3,0)*0.475*44/12</f>
        <v>#N/A</v>
      </c>
      <c r="AC38" s="22" t="e">
        <f t="shared" si="3"/>
        <v>#N/A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172</v>
      </c>
      <c r="AG38" s="12">
        <f>VLOOKUP(A38,'Données projet'!$A$61:$I$81,9,0)</f>
        <v>10.6</v>
      </c>
      <c r="AH38" s="12">
        <f t="array" ref="AH38">INDEX(AG:AG,MIN(IF(ISNUMBER(AG38:AG234),ROW(AG38:AG234),"")))</f>
        <v>10.6</v>
      </c>
      <c r="AI38" s="13">
        <f>IF('Données projet'!$A$62&gt;35,AI37+AH38-AQ37,IF(A38&lt;'Données projet'!$A$62,$AF$205^A38,IF(A38='Données projet'!$A$62,'Données projet'!$B$62,AI37+AH38-AQ37)))</f>
        <v>171.99999999999991</v>
      </c>
      <c r="AJ38" s="13">
        <f>AI38*VLOOKUP('Données projet'!$B$10,Paramètres!$A$1:$I$89,3,0)*VLOOKUP('Données projet'!$B$10,Paramètres!$A$1:$I$89,5,0)</f>
        <v>150.25919999999996</v>
      </c>
      <c r="AK38" s="13">
        <f t="shared" si="35"/>
        <v>38.637483830798729</v>
      </c>
      <c r="AL38" s="20">
        <f t="shared" si="4"/>
        <v>328.99505767197434</v>
      </c>
      <c r="AM38" s="59">
        <f t="shared" si="5"/>
        <v>622.32839100530759</v>
      </c>
      <c r="AN38" s="59">
        <f ca="1">AVERAGE(OFFSET($AM$3,0,0,'Données projet'!$E$10+1,1))-AVERAGE(OFFSET($H$3,0,0,'Données projet'!$E$10+1,1))</f>
        <v>338.55719679154777</v>
      </c>
      <c r="AO38" s="59">
        <f t="shared" si="36"/>
        <v>371.26234252426531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129.48717948717947</v>
      </c>
      <c r="BB38" s="12">
        <f>VLOOKUP(A38,'Données projet'!$A$87:$I$107,9,0)</f>
        <v>6.1538461538461515</v>
      </c>
      <c r="BC38" s="12">
        <f t="array" ref="BC38">INDEX(BB:BB,MIN(IF(ISNUMBER(BB38:BB234),ROW(BB38:BB234),"")))</f>
        <v>6.1538461538461515</v>
      </c>
      <c r="BD38" s="12">
        <f>IF('Données projet'!$A$88&gt;35,BD37+BC38-BL37,IF(A38&lt;'Données projet'!$A$88,$BA$205^A38,IF(A38='Données projet'!$A$88,'Données projet'!$B$88,BD37+BC38-BL37)))</f>
        <v>129.4871794871795</v>
      </c>
      <c r="BE38" s="13">
        <f>BD38*VLOOKUP('Données projet'!$B$11,Paramètres!$A$1:$I$89,3,0)*VLOOKUP('Données projet'!$B$11,Paramètres!$A$1:$I$89,5,0)</f>
        <v>123.22000000000001</v>
      </c>
      <c r="BF38" s="13">
        <f t="shared" si="37"/>
        <v>32.42485010818541</v>
      </c>
      <c r="BG38" s="20">
        <f t="shared" si="7"/>
        <v>271.0814472717563</v>
      </c>
      <c r="BH38" s="59">
        <f t="shared" si="8"/>
        <v>564.41478060508962</v>
      </c>
      <c r="BI38" s="59">
        <f ca="1">AVERAGE(OFFSET($BH$3,0,0,'Données projet'!$E$11+1,1))-AVERAGE(OFFSET($H$3,0,0,'Données projet'!$E$11+1,1))</f>
        <v>351.6178679548006</v>
      </c>
      <c r="BJ38" s="59">
        <f t="shared" si="38"/>
        <v>244.7141066773861</v>
      </c>
      <c r="BK38" s="15">
        <f>IF(ISNA(VLOOKUP(A38,'Données projet'!$A$87:$I$107,3,0)),0,VLOOKUP(A38,'Données projet'!$A$87:$I$107,3,0))</f>
        <v>2</v>
      </c>
      <c r="BL38" s="15">
        <f>IF(ISNA(VLOOKUP(A38,'Données projet'!$A$87:$I$107,4,0)),0,VLOOKUP(A38,'Données projet'!$A$87:$I$107,4,0))</f>
        <v>26.282051282051281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10.402930402930403</v>
      </c>
      <c r="BY38" s="12">
        <f>IF('Données projet'!$A$114&gt;35,BY37+BX38-CG37,IF(A38&lt;'Données projet'!$A$114,$BV$205^A38,IF(A38='Données projet'!$A$114,'Données projet'!$B$114,BY37+BX38-CG37)))</f>
        <v>155.09157509157509</v>
      </c>
      <c r="BZ38" s="13">
        <f>BY38*VLOOKUP('Données projet'!$B$12,Paramètres!$A$1:$I$89,3,0)*VLOOKUP('Données projet'!$B$12,Paramètres!$A$1:$I$89,5,0)</f>
        <v>72.582857142857151</v>
      </c>
      <c r="CA38" s="13">
        <f t="shared" si="39"/>
        <v>20.31351317084026</v>
      </c>
      <c r="CB38" s="20">
        <f t="shared" si="10"/>
        <v>161.79451162968965</v>
      </c>
      <c r="CC38" s="59">
        <f t="shared" si="11"/>
        <v>455.12784496302299</v>
      </c>
      <c r="CD38" s="59">
        <f ca="1">AVERAGE(OFFSET($CC$3,0,0,'Données projet'!$E$12+1,1))-AVERAGE(OFFSET($H$3,0,0,'Données projet'!$E$12+1,1))</f>
        <v>246.66630850723385</v>
      </c>
      <c r="CE38" s="59">
        <f t="shared" si="40"/>
        <v>145.34368562171613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11.5</v>
      </c>
      <c r="CT38" s="12">
        <f>IF('Données projet'!$A$140&gt;35,CT37+CS38-DB37,IF(A38&lt;'Données projet'!$A$140,$CQ$205^A38,IF(A38='Données projet'!$A$140,'Données projet'!$B$140,CT37+CS38-DB37)))</f>
        <v>164.99999999999997</v>
      </c>
      <c r="CU38" s="17">
        <f>CT38*VLOOKUP('Données projet'!$B$13,Paramètres!$A$1:$I$89,3,0)*VLOOKUP('Données projet'!$B$13,Paramètres!$A$1:$I$89,5,0)</f>
        <v>128.69999999999999</v>
      </c>
      <c r="CV38" s="13">
        <f t="shared" si="41"/>
        <v>33.695792019186115</v>
      </c>
      <c r="CW38" s="20">
        <f t="shared" si="13"/>
        <v>282.83933776674911</v>
      </c>
      <c r="CX38" s="59">
        <f t="shared" si="14"/>
        <v>576.17267110008243</v>
      </c>
      <c r="CY38" s="59">
        <f ca="1">AVERAGE(OFFSET($CX$3,0,0,'Données projet'!$E$13+1,1))-AVERAGE(OFFSET($H$3,0,0,'Données projet'!$E$13+1,1))</f>
        <v>292.57482726862594</v>
      </c>
      <c r="CZ38" s="59">
        <f t="shared" si="42"/>
        <v>283.48738729114024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116</v>
      </c>
      <c r="DM38" s="12">
        <f>VLOOKUP(A38,'Données projet'!$A$165:$I$185,9,0)</f>
        <v>8</v>
      </c>
      <c r="DN38" s="12">
        <f t="array" ref="DN38">INDEX(DM:DM,MIN(IF(ISNUMBER(DM38:DM234),ROW(DM38:DM234),"")))</f>
        <v>8</v>
      </c>
      <c r="DO38" s="12">
        <f>IF('Données projet'!$A$166&gt;35,DO37+DN38-DW37,IF(A38&lt;'Données projet'!$A$166,$DL$205^A38,IF(A38='Données projet'!$A$166,'Données projet'!$B$166,DO37+DN38-DW37)))</f>
        <v>116</v>
      </c>
      <c r="DP38" s="17">
        <f>DO38*VLOOKUP('Données projet'!$B$14,Paramètres!$A$1:$I$89,3,0)*VLOOKUP('Données projet'!$B$14,Paramètres!$A$1:$I$89,5,0)</f>
        <v>117.62400000000001</v>
      </c>
      <c r="DQ38" s="13">
        <f t="shared" si="43"/>
        <v>31.120192961985413</v>
      </c>
      <c r="DR38" s="20">
        <f t="shared" si="16"/>
        <v>259.06280274212457</v>
      </c>
      <c r="DS38" s="59">
        <f t="shared" si="17"/>
        <v>552.39613607545789</v>
      </c>
      <c r="DT38" s="59">
        <f ca="1">AVERAGE(OFFSET($DS$3,0,0,'Données projet'!$E$14+1,1))-AVERAGE(OFFSET($H$3,0,0,'Données projet'!$E$14+1,1))</f>
        <v>475.47920969424894</v>
      </c>
      <c r="DU38" s="59">
        <f t="shared" si="44"/>
        <v>271.73544012419364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116</v>
      </c>
      <c r="EH38" s="12">
        <f>VLOOKUP(A38,'Données projet'!$A$191:$I$211,9,0)</f>
        <v>8</v>
      </c>
      <c r="EI38" s="12">
        <f t="array" ref="EI38">INDEX(EH:EH,MIN(IF(ISNUMBER(EH38:EH234),ROW(EH38:EH234),"")))</f>
        <v>8</v>
      </c>
      <c r="EJ38" s="12">
        <f>IF('Données projet'!$A$192&gt;35,EJ37+EI38-ER37,IF(A38&lt;'Données projet'!$A$192,$EG$205^A38,IF(A38='Données projet'!$A$192,'Données projet'!$B$192,EJ37+EI38-ER37)))</f>
        <v>116</v>
      </c>
      <c r="EK38" s="17">
        <f>EJ38*VLOOKUP('Données projet'!$B$15,Paramètres!$A$1:$I$89,3,0)*VLOOKUP('Données projet'!$B$15,Paramètres!$A$1:$I$89,5,0)</f>
        <v>104.9568</v>
      </c>
      <c r="EL38" s="13">
        <f t="shared" si="45"/>
        <v>28.139541339232373</v>
      </c>
      <c r="EM38" s="20">
        <f t="shared" si="19"/>
        <v>231.8094611658297</v>
      </c>
      <c r="EN38" s="59">
        <f t="shared" si="20"/>
        <v>525.14279449916307</v>
      </c>
      <c r="EO38" s="59">
        <f ca="1">AVERAGE(OFFSET($EN$3,0,0,'Données projet'!$E$15+1,1))-AVERAGE(OFFSET($H$3,0,0,'Données projet'!$E$15+1,1))</f>
        <v>428.8489304403459</v>
      </c>
      <c r="EP38" s="59">
        <f t="shared" si="46"/>
        <v>247.01165577562966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169</v>
      </c>
      <c r="FC38" s="12">
        <f>VLOOKUP(A38,'Données projet'!$A$217:$I$237,9,0)</f>
        <v>4.2</v>
      </c>
      <c r="FD38" s="12">
        <f t="array" ref="FD38">INDEX(FC:FC,MIN(IF(ISNUMBER(FC38:FC234),ROW(FC38:FC234),"")))</f>
        <v>4.2</v>
      </c>
      <c r="FE38" s="12">
        <f>IF('Données projet'!$A$218&gt;35,FE37+FD38-FM37,IF(A38&lt;'Données projet'!$A$218,$FB$205^A38,IF(A38='Données projet'!$A$218,'Données projet'!$B$218,FE37+FD38-FM37)))</f>
        <v>168.99999999999989</v>
      </c>
      <c r="FF38" s="17">
        <f>FE38*VLOOKUP('Données projet'!$B$16,Paramètres!$A$1:$I$89,3,0)*VLOOKUP('Données projet'!$B$16,Paramètres!$A$1:$I$89,5,0)</f>
        <v>152.91119999999989</v>
      </c>
      <c r="FG38" s="13">
        <f t="shared" si="47"/>
        <v>39.239424324197508</v>
      </c>
      <c r="FH38" s="20">
        <f t="shared" si="22"/>
        <v>334.66233736464375</v>
      </c>
      <c r="FI38" s="59">
        <f t="shared" si="23"/>
        <v>627.99567069797706</v>
      </c>
      <c r="FJ38" s="59">
        <f ca="1">AVERAGE(OFFSET($FI$3,0,0,'Données projet'!$E$16+1,1))-AVERAGE(OFFSET($H$3,0,0,'Données projet'!$E$16+1,1))</f>
        <v>245.25496369542458</v>
      </c>
      <c r="FK38" s="59">
        <f t="shared" si="48"/>
        <v>342.30266518164211</v>
      </c>
      <c r="FL38" s="15">
        <f>IF(ISNA(VLOOKUP(A38,'Données projet'!$A$217:$I$237,3,0)),0,VLOOKUP(A38,'Données projet'!$A$217:$I$237,3,0))</f>
        <v>6</v>
      </c>
      <c r="FM38" s="15">
        <f>IF(ISNA(VLOOKUP(A38,'Données projet'!$A$217:$I$237,4,0)),0,VLOOKUP(A38,'Données projet'!$A$217:$I$237,4,0))</f>
        <v>5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 t="e">
        <f>N39*VLOOKUP('Données projet'!$B$9,Paramètres!$A$1:$I$89,3,0)*VLOOKUP('Données projet'!$B$9,Paramètres!$A$1:$I$89,5,0)</f>
        <v>#N/A</v>
      </c>
      <c r="P39" s="13" t="e">
        <f t="shared" si="33"/>
        <v>#N/A</v>
      </c>
      <c r="Q39" s="20" t="e">
        <f t="shared" si="53"/>
        <v>#N/A</v>
      </c>
      <c r="R39" s="59" t="e">
        <f t="shared" si="0"/>
        <v>#N/A</v>
      </c>
      <c r="S39" s="59" t="e">
        <f ca="1">AVERAGE(OFFSET($R$3,0,0,'Données projet'!$E$9+1,1))-AVERAGE(OFFSET($H$3,0,0,'Données projet'!$E$9+1,1))</f>
        <v>#N/A</v>
      </c>
      <c r="T39" s="59" t="e">
        <f t="shared" si="34"/>
        <v>#N/A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 t="e">
        <f>EXP(-LN(2)/35)*Z38+(1-EXP(-LN(2)/35))/(LN(2)/35)*V39*W39*VLOOKUP('Données projet'!$B$9,Paramètres!$A$1:$I$89,3,0)*0.475*44/12</f>
        <v>#N/A</v>
      </c>
      <c r="AA39" s="21" t="e">
        <f>EXP(-LN(2)/25)*AA38+(1-EXP(-LN(2)/25))/(LN(2)/25)*Calculateur!V39*Calculateur!X39*VLOOKUP('Données projet'!$B$9,Paramètres!$A$1:$I$89,3,0)*0.475*44/12</f>
        <v>#N/A</v>
      </c>
      <c r="AB39" s="21" t="e">
        <f>EXP(-LN(2)/2)*AB38+(1-EXP(-LN(2)/2))/(LN(2)/2)*V39*Y39*VLOOKUP('Données projet'!$B$9,Paramètres!$A$1:$I$89,3,0)*0.475*44/12</f>
        <v>#N/A</v>
      </c>
      <c r="AC39" s="22" t="e">
        <f t="shared" si="3"/>
        <v>#N/A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9.6</v>
      </c>
      <c r="AI39" s="13">
        <f>IF('Données projet'!$A$62&gt;35,AI38+AH39-AQ38,IF(A39&lt;'Données projet'!$A$62,$AF$205^A39,IF(A39='Données projet'!$A$62,'Données projet'!$B$62,AI38+AH39-AQ38)))</f>
        <v>181.59999999999991</v>
      </c>
      <c r="AJ39" s="13">
        <f>AI39*VLOOKUP('Données projet'!$B$10,Paramètres!$A$1:$I$89,3,0)*VLOOKUP('Données projet'!$B$10,Paramètres!$A$1:$I$89,5,0)</f>
        <v>158.64575999999994</v>
      </c>
      <c r="AK39" s="13">
        <f t="shared" si="35"/>
        <v>40.536911851071054</v>
      </c>
      <c r="AL39" s="20">
        <f t="shared" si="4"/>
        <v>346.9098201406153</v>
      </c>
      <c r="AM39" s="59">
        <f t="shared" si="5"/>
        <v>640.24315347394861</v>
      </c>
      <c r="AN39" s="59">
        <f ca="1">AVERAGE(OFFSET($AM$3,0,0,'Données projet'!$E$10+1,1))-AVERAGE(OFFSET($H$3,0,0,'Données projet'!$E$10+1,1))</f>
        <v>338.55719679154777</v>
      </c>
      <c r="AO39" s="59">
        <f t="shared" si="36"/>
        <v>371.26234252426531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5.7692307692307709</v>
      </c>
      <c r="BD39" s="12">
        <f>IF('Données projet'!$A$88&gt;35,BD38+BC39-BL38,IF(A39&lt;'Données projet'!$A$88,$BA$205^A39,IF(A39='Données projet'!$A$88,'Données projet'!$B$88,BD38+BC39-BL38)))</f>
        <v>108.97435897435899</v>
      </c>
      <c r="BE39" s="13">
        <f>BD39*VLOOKUP('Données projet'!$B$11,Paramètres!$A$1:$I$89,3,0)*VLOOKUP('Données projet'!$B$11,Paramètres!$A$1:$I$89,5,0)</f>
        <v>103.7</v>
      </c>
      <c r="BF39" s="13">
        <f t="shared" si="37"/>
        <v>27.841598996112509</v>
      </c>
      <c r="BG39" s="20">
        <f t="shared" si="7"/>
        <v>229.1016182515626</v>
      </c>
      <c r="BH39" s="59">
        <f t="shared" si="8"/>
        <v>522.43495158489588</v>
      </c>
      <c r="BI39" s="59">
        <f ca="1">AVERAGE(OFFSET($BH$3,0,0,'Données projet'!$E$11+1,1))-AVERAGE(OFFSET($H$3,0,0,'Données projet'!$E$11+1,1))</f>
        <v>351.6178679548006</v>
      </c>
      <c r="BJ39" s="59">
        <f t="shared" si="38"/>
        <v>244.7141066773861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10.402930402930403</v>
      </c>
      <c r="BY39" s="12">
        <f>IF('Données projet'!$A$114&gt;35,BY38+BX39-CG38,IF(A39&lt;'Données projet'!$A$114,$BV$205^A39,IF(A39='Données projet'!$A$114,'Données projet'!$B$114,BY38+BX39-CG38)))</f>
        <v>165.49450549450549</v>
      </c>
      <c r="BZ39" s="13">
        <f>BY39*VLOOKUP('Données projet'!$B$12,Paramètres!$A$1:$I$89,3,0)*VLOOKUP('Données projet'!$B$12,Paramètres!$A$1:$I$89,5,0)</f>
        <v>77.451428571428565</v>
      </c>
      <c r="CA39" s="13">
        <f t="shared" si="39"/>
        <v>21.512875879677669</v>
      </c>
      <c r="CB39" s="20">
        <f t="shared" si="10"/>
        <v>172.36283025234334</v>
      </c>
      <c r="CC39" s="59">
        <f t="shared" si="11"/>
        <v>465.69616358567669</v>
      </c>
      <c r="CD39" s="59">
        <f ca="1">AVERAGE(OFFSET($CC$3,0,0,'Données projet'!$E$12+1,1))-AVERAGE(OFFSET($H$3,0,0,'Données projet'!$E$12+1,1))</f>
        <v>246.66630850723385</v>
      </c>
      <c r="CE39" s="59">
        <f t="shared" si="40"/>
        <v>145.34368562171613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11.5</v>
      </c>
      <c r="CT39" s="12">
        <f>IF('Données projet'!$A$140&gt;35,CT38+CS39-DB38,IF(A39&lt;'Données projet'!$A$140,$CQ$205^A39,IF(A39='Données projet'!$A$140,'Données projet'!$B$140,CT38+CS39-DB38)))</f>
        <v>176.49999999999997</v>
      </c>
      <c r="CU39" s="17">
        <f>CT39*VLOOKUP('Données projet'!$B$13,Paramètres!$A$1:$I$89,3,0)*VLOOKUP('Données projet'!$B$13,Paramètres!$A$1:$I$89,5,0)</f>
        <v>137.66999999999999</v>
      </c>
      <c r="CV39" s="13">
        <f t="shared" si="41"/>
        <v>35.762714965854656</v>
      </c>
      <c r="CW39" s="20">
        <f t="shared" si="13"/>
        <v>302.06197856553018</v>
      </c>
      <c r="CX39" s="59">
        <f t="shared" si="14"/>
        <v>595.3953118988635</v>
      </c>
      <c r="CY39" s="59">
        <f ca="1">AVERAGE(OFFSET($CX$3,0,0,'Données projet'!$E$13+1,1))-AVERAGE(OFFSET($H$3,0,0,'Données projet'!$E$13+1,1))</f>
        <v>292.57482726862594</v>
      </c>
      <c r="CZ39" s="59">
        <f t="shared" si="42"/>
        <v>283.48738729114024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8.4</v>
      </c>
      <c r="DO39" s="12">
        <f>IF('Données projet'!$A$166&gt;35,DO38+DN39-DW38,IF(A39&lt;'Données projet'!$A$166,$DL$205^A39,IF(A39='Données projet'!$A$166,'Données projet'!$B$166,DO38+DN39-DW38)))</f>
        <v>124.4</v>
      </c>
      <c r="DP39" s="17">
        <f>DO39*VLOOKUP('Données projet'!$B$14,Paramètres!$A$1:$I$89,3,0)*VLOOKUP('Données projet'!$B$14,Paramètres!$A$1:$I$89,5,0)</f>
        <v>126.1416</v>
      </c>
      <c r="DQ39" s="13">
        <f t="shared" si="43"/>
        <v>33.10323903126482</v>
      </c>
      <c r="DR39" s="20">
        <f t="shared" si="16"/>
        <v>277.35142797945286</v>
      </c>
      <c r="DS39" s="59">
        <f t="shared" si="17"/>
        <v>570.68476131278612</v>
      </c>
      <c r="DT39" s="59">
        <f ca="1">AVERAGE(OFFSET($DS$3,0,0,'Données projet'!$E$14+1,1))-AVERAGE(OFFSET($H$3,0,0,'Données projet'!$E$14+1,1))</f>
        <v>475.47920969424894</v>
      </c>
      <c r="DU39" s="59">
        <f t="shared" si="44"/>
        <v>271.73544012419364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8.4</v>
      </c>
      <c r="EJ39" s="12">
        <f>IF('Données projet'!$A$192&gt;35,EJ38+EI39-ER38,IF(A39&lt;'Données projet'!$A$192,$EG$205^A39,IF(A39='Données projet'!$A$192,'Données projet'!$B$192,EJ38+EI39-ER38)))</f>
        <v>124.4</v>
      </c>
      <c r="EK39" s="17">
        <f>EJ39*VLOOKUP('Données projet'!$B$15,Paramètres!$A$1:$I$89,3,0)*VLOOKUP('Données projet'!$B$15,Paramètres!$A$1:$I$89,5,0)</f>
        <v>112.55712000000001</v>
      </c>
      <c r="EL39" s="13">
        <f t="shared" si="45"/>
        <v>29.932653834140599</v>
      </c>
      <c r="EM39" s="20">
        <f t="shared" si="19"/>
        <v>248.16968942779488</v>
      </c>
      <c r="EN39" s="59">
        <f t="shared" si="20"/>
        <v>541.50302276112825</v>
      </c>
      <c r="EO39" s="59">
        <f ca="1">AVERAGE(OFFSET($EN$3,0,0,'Données projet'!$E$15+1,1))-AVERAGE(OFFSET($H$3,0,0,'Données projet'!$E$15+1,1))</f>
        <v>428.8489304403459</v>
      </c>
      <c r="EP39" s="59">
        <f t="shared" si="46"/>
        <v>247.01165577562966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3.8</v>
      </c>
      <c r="FE39" s="12">
        <f>IF('Données projet'!$A$218&gt;35,FE38+FD39-FM38,IF(A39&lt;'Données projet'!$A$218,$FB$205^A39,IF(A39='Données projet'!$A$218,'Données projet'!$B$218,FE38+FD39-FM38)))</f>
        <v>167.7999999999999</v>
      </c>
      <c r="FF39" s="17">
        <f>FE39*VLOOKUP('Données projet'!$B$16,Paramètres!$A$1:$I$89,3,0)*VLOOKUP('Données projet'!$B$16,Paramètres!$A$1:$I$89,5,0)</f>
        <v>151.8254399999999</v>
      </c>
      <c r="FG39" s="13">
        <f t="shared" si="47"/>
        <v>38.993130915848106</v>
      </c>
      <c r="FH39" s="20">
        <f t="shared" si="22"/>
        <v>332.34234434510194</v>
      </c>
      <c r="FI39" s="59">
        <f t="shared" si="23"/>
        <v>625.67567767843525</v>
      </c>
      <c r="FJ39" s="59">
        <f ca="1">AVERAGE(OFFSET($FI$3,0,0,'Données projet'!$E$16+1,1))-AVERAGE(OFFSET($H$3,0,0,'Données projet'!$E$16+1,1))</f>
        <v>245.25496369542458</v>
      </c>
      <c r="FK39" s="59">
        <f t="shared" si="48"/>
        <v>342.30266518164211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 t="e">
        <f>N40*VLOOKUP('Données projet'!$B$9,Paramètres!$A$1:$I$89,3,0)*VLOOKUP('Données projet'!$B$9,Paramètres!$A$1:$I$89,5,0)</f>
        <v>#N/A</v>
      </c>
      <c r="P40" s="13" t="e">
        <f t="shared" si="33"/>
        <v>#N/A</v>
      </c>
      <c r="Q40" s="20" t="e">
        <f t="shared" si="53"/>
        <v>#N/A</v>
      </c>
      <c r="R40" s="59" t="e">
        <f t="shared" si="0"/>
        <v>#N/A</v>
      </c>
      <c r="S40" s="59" t="e">
        <f ca="1">AVERAGE(OFFSET($R$3,0,0,'Données projet'!$E$9+1,1))-AVERAGE(OFFSET($H$3,0,0,'Données projet'!$E$9+1,1))</f>
        <v>#N/A</v>
      </c>
      <c r="T40" s="59" t="e">
        <f t="shared" si="34"/>
        <v>#N/A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 t="e">
        <f>EXP(-LN(2)/35)*Z39+(1-EXP(-LN(2)/35))/(LN(2)/35)*V40*W40*VLOOKUP('Données projet'!$B$9,Paramètres!$A$1:$I$89,3,0)*0.475*44/12</f>
        <v>#N/A</v>
      </c>
      <c r="AA40" s="21" t="e">
        <f>EXP(-LN(2)/25)*AA39+(1-EXP(-LN(2)/25))/(LN(2)/25)*Calculateur!V40*Calculateur!X40*VLOOKUP('Données projet'!$B$9,Paramètres!$A$1:$I$89,3,0)*0.475*44/12</f>
        <v>#N/A</v>
      </c>
      <c r="AB40" s="21" t="e">
        <f>EXP(-LN(2)/2)*AB39+(1-EXP(-LN(2)/2))/(LN(2)/2)*V40*Y40*VLOOKUP('Données projet'!$B$9,Paramètres!$A$1:$I$89,3,0)*0.475*44/12</f>
        <v>#N/A</v>
      </c>
      <c r="AC40" s="22" t="e">
        <f t="shared" si="3"/>
        <v>#N/A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9.6</v>
      </c>
      <c r="AI40" s="13">
        <f>IF('Données projet'!$A$62&gt;35,AI39+AH40-AQ39,IF(A40&lt;'Données projet'!$A$62,$AF$205^A40,IF(A40='Données projet'!$A$62,'Données projet'!$B$62,AI39+AH40-AQ39)))</f>
        <v>191.1999999999999</v>
      </c>
      <c r="AJ40" s="13">
        <f>AI40*VLOOKUP('Données projet'!$B$10,Paramètres!$A$1:$I$89,3,0)*VLOOKUP('Données projet'!$B$10,Paramètres!$A$1:$I$89,5,0)</f>
        <v>167.03231999999994</v>
      </c>
      <c r="AK40" s="13">
        <f t="shared" si="35"/>
        <v>42.424682267054841</v>
      </c>
      <c r="AL40" s="20">
        <f t="shared" si="4"/>
        <v>364.80427894845371</v>
      </c>
      <c r="AM40" s="59">
        <f t="shared" si="5"/>
        <v>658.13761228178703</v>
      </c>
      <c r="AN40" s="59">
        <f ca="1">AVERAGE(OFFSET($AM$3,0,0,'Données projet'!$E$10+1,1))-AVERAGE(OFFSET($H$3,0,0,'Données projet'!$E$10+1,1))</f>
        <v>338.55719679154777</v>
      </c>
      <c r="AO40" s="59">
        <f t="shared" si="36"/>
        <v>371.26234252426531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5.7692307692307709</v>
      </c>
      <c r="BD40" s="12">
        <f>IF('Données projet'!$A$88&gt;35,BD39+BC40-BL39,IF(A40&lt;'Données projet'!$A$88,$BA$205^A40,IF(A40='Données projet'!$A$88,'Données projet'!$B$88,BD39+BC40-BL39)))</f>
        <v>114.74358974358977</v>
      </c>
      <c r="BE40" s="13">
        <f>BD40*VLOOKUP('Données projet'!$B$11,Paramètres!$A$1:$I$89,3,0)*VLOOKUP('Données projet'!$B$11,Paramètres!$A$1:$I$89,5,0)</f>
        <v>109.19000000000001</v>
      </c>
      <c r="BF40" s="13">
        <f t="shared" si="37"/>
        <v>29.140060241717325</v>
      </c>
      <c r="BG40" s="20">
        <f t="shared" si="7"/>
        <v>240.92485492099104</v>
      </c>
      <c r="BH40" s="59">
        <f t="shared" si="8"/>
        <v>534.2581882543243</v>
      </c>
      <c r="BI40" s="59">
        <f ca="1">AVERAGE(OFFSET($BH$3,0,0,'Données projet'!$E$11+1,1))-AVERAGE(OFFSET($H$3,0,0,'Données projet'!$E$11+1,1))</f>
        <v>351.6178679548006</v>
      </c>
      <c r="BJ40" s="59">
        <f t="shared" si="38"/>
        <v>244.7141066773861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10.402930402930403</v>
      </c>
      <c r="BY40" s="12">
        <f>IF('Données projet'!$A$114&gt;35,BY39+BX40-CG39,IF(A40&lt;'Données projet'!$A$114,$BV$205^A40,IF(A40='Données projet'!$A$114,'Données projet'!$B$114,BY39+BX40-CG39)))</f>
        <v>175.89743589743588</v>
      </c>
      <c r="BZ40" s="13">
        <f>BY40*VLOOKUP('Données projet'!$B$12,Paramètres!$A$1:$I$89,3,0)*VLOOKUP('Données projet'!$B$12,Paramètres!$A$1:$I$89,5,0)</f>
        <v>82.32</v>
      </c>
      <c r="CA40" s="13">
        <f t="shared" si="39"/>
        <v>22.703488958112253</v>
      </c>
      <c r="CB40" s="20">
        <f t="shared" si="10"/>
        <v>182.91590993537883</v>
      </c>
      <c r="CC40" s="59">
        <f t="shared" si="11"/>
        <v>476.24924326871212</v>
      </c>
      <c r="CD40" s="59">
        <f ca="1">AVERAGE(OFFSET($CC$3,0,0,'Données projet'!$E$12+1,1))-AVERAGE(OFFSET($H$3,0,0,'Données projet'!$E$12+1,1))</f>
        <v>246.66630850723385</v>
      </c>
      <c r="CE40" s="59">
        <f t="shared" si="40"/>
        <v>145.34368562171613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>
        <f>VLOOKUP(A40,'Données projet'!$A$139:$I$159,2,0)</f>
        <v>188</v>
      </c>
      <c r="CR40" s="12">
        <f>VLOOKUP(A40,'Données projet'!$A$139:$I$159,9,0)</f>
        <v>11.5</v>
      </c>
      <c r="CS40" s="12">
        <f t="array" ref="CS40">INDEX(CR:CR,MIN(IF(ISNUMBER(CR40:CR236),ROW(CR40:CR236),"")))</f>
        <v>11.5</v>
      </c>
      <c r="CT40" s="12">
        <f>IF('Données projet'!$A$140&gt;35,CT39+CS40-DB39,IF(A40&lt;'Données projet'!$A$140,$CQ$205^A40,IF(A40='Données projet'!$A$140,'Données projet'!$B$140,CT39+CS40-DB39)))</f>
        <v>187.99999999999997</v>
      </c>
      <c r="CU40" s="17">
        <f>CT40*VLOOKUP('Données projet'!$B$13,Paramètres!$A$1:$I$89,3,0)*VLOOKUP('Données projet'!$B$13,Paramètres!$A$1:$I$89,5,0)</f>
        <v>146.63999999999999</v>
      </c>
      <c r="CV40" s="13">
        <f t="shared" si="41"/>
        <v>37.814009712703026</v>
      </c>
      <c r="CW40" s="20">
        <f t="shared" si="13"/>
        <v>321.25740024962437</v>
      </c>
      <c r="CX40" s="59">
        <f t="shared" si="14"/>
        <v>614.59073358295768</v>
      </c>
      <c r="CY40" s="59">
        <f ca="1">AVERAGE(OFFSET($CX$3,0,0,'Données projet'!$E$13+1,1))-AVERAGE(OFFSET($H$3,0,0,'Données projet'!$E$13+1,1))</f>
        <v>292.57482726862594</v>
      </c>
      <c r="CZ40" s="59">
        <f t="shared" si="42"/>
        <v>283.48738729114024</v>
      </c>
      <c r="DA40" s="15">
        <f>IF(ISNA(VLOOKUP(A40,'Données projet'!$A$139:$I$159,3,0)),0,VLOOKUP(A40,'Données projet'!$A$139:$I$159,3,0))</f>
        <v>3</v>
      </c>
      <c r="DB40" s="15">
        <f>IF(ISNA(VLOOKUP(A40,'Données projet'!$A$139:$I$159,4,0)),0,VLOOKUP(A40,'Données projet'!$A$139:$I$159,4,0))</f>
        <v>36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8.4</v>
      </c>
      <c r="DO40" s="12">
        <f>IF('Données projet'!$A$166&gt;35,DO39+DN40-DW39,IF(A40&lt;'Données projet'!$A$166,$DL$205^A40,IF(A40='Données projet'!$A$166,'Données projet'!$B$166,DO39+DN40-DW39)))</f>
        <v>132.80000000000001</v>
      </c>
      <c r="DP40" s="17">
        <f>DO40*VLOOKUP('Données projet'!$B$14,Paramètres!$A$1:$I$89,3,0)*VLOOKUP('Données projet'!$B$14,Paramètres!$A$1:$I$89,5,0)</f>
        <v>134.65920000000003</v>
      </c>
      <c r="DQ40" s="13">
        <f t="shared" si="43"/>
        <v>35.07074737441733</v>
      </c>
      <c r="DR40" s="20">
        <f t="shared" si="16"/>
        <v>295.61299167711019</v>
      </c>
      <c r="DS40" s="59">
        <f t="shared" si="17"/>
        <v>588.9463250104435</v>
      </c>
      <c r="DT40" s="59">
        <f ca="1">AVERAGE(OFFSET($DS$3,0,0,'Données projet'!$E$14+1,1))-AVERAGE(OFFSET($H$3,0,0,'Données projet'!$E$14+1,1))</f>
        <v>475.47920969424894</v>
      </c>
      <c r="DU40" s="59">
        <f t="shared" si="44"/>
        <v>271.73544012419364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8.4</v>
      </c>
      <c r="EJ40" s="12">
        <f>IF('Données projet'!$A$192&gt;35,EJ39+EI40-ER39,IF(A40&lt;'Données projet'!$A$192,$EG$205^A40,IF(A40='Données projet'!$A$192,'Données projet'!$B$192,EJ39+EI40-ER39)))</f>
        <v>132.80000000000001</v>
      </c>
      <c r="EK40" s="17">
        <f>EJ40*VLOOKUP('Données projet'!$B$15,Paramètres!$A$1:$I$89,3,0)*VLOOKUP('Données projet'!$B$15,Paramètres!$A$1:$I$89,5,0)</f>
        <v>120.15744000000001</v>
      </c>
      <c r="EL40" s="13">
        <f t="shared" si="45"/>
        <v>31.711716786129845</v>
      </c>
      <c r="EM40" s="20">
        <f t="shared" si="19"/>
        <v>264.50544806917611</v>
      </c>
      <c r="EN40" s="59">
        <f t="shared" si="20"/>
        <v>557.83878140250943</v>
      </c>
      <c r="EO40" s="59">
        <f ca="1">AVERAGE(OFFSET($EN$3,0,0,'Données projet'!$E$15+1,1))-AVERAGE(OFFSET($H$3,0,0,'Données projet'!$E$15+1,1))</f>
        <v>428.8489304403459</v>
      </c>
      <c r="EP40" s="59">
        <f t="shared" si="46"/>
        <v>247.01165577562966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3.8</v>
      </c>
      <c r="FE40" s="12">
        <f>IF('Données projet'!$A$218&gt;35,FE39+FD40-FM39,IF(A40&lt;'Données projet'!$A$218,$FB$205^A40,IF(A40='Données projet'!$A$218,'Données projet'!$B$218,FE39+FD40-FM39)))</f>
        <v>171.59999999999991</v>
      </c>
      <c r="FF40" s="17">
        <f>FE40*VLOOKUP('Données projet'!$B$16,Paramètres!$A$1:$I$89,3,0)*VLOOKUP('Données projet'!$B$16,Paramètres!$A$1:$I$89,5,0)</f>
        <v>155.26367999999991</v>
      </c>
      <c r="FG40" s="13">
        <f t="shared" si="47"/>
        <v>39.77236412265178</v>
      </c>
      <c r="FH40" s="20">
        <f t="shared" si="22"/>
        <v>339.68777684695164</v>
      </c>
      <c r="FI40" s="59">
        <f t="shared" si="23"/>
        <v>633.02111018028495</v>
      </c>
      <c r="FJ40" s="59">
        <f ca="1">AVERAGE(OFFSET($FI$3,0,0,'Données projet'!$E$16+1,1))-AVERAGE(OFFSET($H$3,0,0,'Données projet'!$E$16+1,1))</f>
        <v>245.25496369542458</v>
      </c>
      <c r="FK40" s="59">
        <f t="shared" si="48"/>
        <v>342.30266518164211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 t="e">
        <f>N41*VLOOKUP('Données projet'!$B$9,Paramètres!$A$1:$I$89,3,0)*VLOOKUP('Données projet'!$B$9,Paramètres!$A$1:$I$89,5,0)</f>
        <v>#N/A</v>
      </c>
      <c r="P41" s="13" t="e">
        <f t="shared" si="33"/>
        <v>#N/A</v>
      </c>
      <c r="Q41" s="20" t="e">
        <f t="shared" si="53"/>
        <v>#N/A</v>
      </c>
      <c r="R41" s="59" t="e">
        <f t="shared" si="0"/>
        <v>#N/A</v>
      </c>
      <c r="S41" s="59" t="e">
        <f ca="1">AVERAGE(OFFSET($R$3,0,0,'Données projet'!$E$9+1,1))-AVERAGE(OFFSET($H$3,0,0,'Données projet'!$E$9+1,1))</f>
        <v>#N/A</v>
      </c>
      <c r="T41" s="59" t="e">
        <f t="shared" si="34"/>
        <v>#N/A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 t="e">
        <f>EXP(-LN(2)/35)*Z40+(1-EXP(-LN(2)/35))/(LN(2)/35)*V41*W41*VLOOKUP('Données projet'!$B$9,Paramètres!$A$1:$I$89,3,0)*0.475*44/12</f>
        <v>#N/A</v>
      </c>
      <c r="AA41" s="21" t="e">
        <f>EXP(-LN(2)/25)*AA40+(1-EXP(-LN(2)/25))/(LN(2)/25)*Calculateur!V41*Calculateur!X41*VLOOKUP('Données projet'!$B$9,Paramètres!$A$1:$I$89,3,0)*0.475*44/12</f>
        <v>#N/A</v>
      </c>
      <c r="AB41" s="21" t="e">
        <f>EXP(-LN(2)/2)*AB40+(1-EXP(-LN(2)/2))/(LN(2)/2)*V41*Y41*VLOOKUP('Données projet'!$B$9,Paramètres!$A$1:$I$89,3,0)*0.475*44/12</f>
        <v>#N/A</v>
      </c>
      <c r="AC41" s="22" t="e">
        <f t="shared" si="3"/>
        <v>#N/A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9.6</v>
      </c>
      <c r="AI41" s="13">
        <f>IF('Données projet'!$A$62&gt;35,AI40+AH41-AQ40,IF(A41&lt;'Données projet'!$A$62,$AF$205^A41,IF(A41='Données projet'!$A$62,'Données projet'!$B$62,AI40+AH41-AQ40)))</f>
        <v>200.7999999999999</v>
      </c>
      <c r="AJ41" s="13">
        <f>AI41*VLOOKUP('Données projet'!$B$10,Paramètres!$A$1:$I$89,3,0)*VLOOKUP('Données projet'!$B$10,Paramètres!$A$1:$I$89,5,0)</f>
        <v>175.41887999999992</v>
      </c>
      <c r="AK41" s="13">
        <f t="shared" si="35"/>
        <v>44.301447184391158</v>
      </c>
      <c r="AL41" s="20">
        <f t="shared" si="4"/>
        <v>382.67956984614779</v>
      </c>
      <c r="AM41" s="59">
        <f t="shared" si="5"/>
        <v>676.0129031794811</v>
      </c>
      <c r="AN41" s="59">
        <f ca="1">AVERAGE(OFFSET($AM$3,0,0,'Données projet'!$E$10+1,1))-AVERAGE(OFFSET($H$3,0,0,'Données projet'!$E$10+1,1))</f>
        <v>338.55719679154777</v>
      </c>
      <c r="AO41" s="59">
        <f t="shared" si="36"/>
        <v>371.26234252426531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5.7692307692307709</v>
      </c>
      <c r="BD41" s="12">
        <f>IF('Données projet'!$A$88&gt;35,BD40+BC41-BL40,IF(A41&lt;'Données projet'!$A$88,$BA$205^A41,IF(A41='Données projet'!$A$88,'Données projet'!$B$88,BD40+BC41-BL40)))</f>
        <v>120.51282051282054</v>
      </c>
      <c r="BE41" s="13">
        <f>BD41*VLOOKUP('Données projet'!$B$11,Paramètres!$A$1:$I$89,3,0)*VLOOKUP('Données projet'!$B$11,Paramètres!$A$1:$I$89,5,0)</f>
        <v>114.68000000000002</v>
      </c>
      <c r="BF41" s="13">
        <f t="shared" si="37"/>
        <v>30.430941046845955</v>
      </c>
      <c r="BG41" s="20">
        <f t="shared" si="7"/>
        <v>252.73488898992335</v>
      </c>
      <c r="BH41" s="59">
        <f t="shared" si="8"/>
        <v>546.06822232325669</v>
      </c>
      <c r="BI41" s="59">
        <f ca="1">AVERAGE(OFFSET($BH$3,0,0,'Données projet'!$E$11+1,1))-AVERAGE(OFFSET($H$3,0,0,'Données projet'!$E$11+1,1))</f>
        <v>351.6178679548006</v>
      </c>
      <c r="BJ41" s="59">
        <f t="shared" si="38"/>
        <v>244.7141066773861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10.402930402930403</v>
      </c>
      <c r="BY41" s="12">
        <f>IF('Données projet'!$A$114&gt;35,BY40+BX41-CG40,IF(A41&lt;'Données projet'!$A$114,$BV$205^A41,IF(A41='Données projet'!$A$114,'Données projet'!$B$114,BY40+BX41-CG40)))</f>
        <v>186.30036630036628</v>
      </c>
      <c r="BZ41" s="13">
        <f>BY41*VLOOKUP('Données projet'!$B$12,Paramètres!$A$1:$I$89,3,0)*VLOOKUP('Données projet'!$B$12,Paramètres!$A$1:$I$89,5,0)</f>
        <v>87.188571428571422</v>
      </c>
      <c r="CA41" s="13">
        <f t="shared" si="39"/>
        <v>23.885928818198035</v>
      </c>
      <c r="CB41" s="20">
        <f t="shared" si="10"/>
        <v>193.45475459645681</v>
      </c>
      <c r="CC41" s="59">
        <f t="shared" si="11"/>
        <v>486.78808792979009</v>
      </c>
      <c r="CD41" s="59">
        <f ca="1">AVERAGE(OFFSET($CC$3,0,0,'Données projet'!$E$12+1,1))-AVERAGE(OFFSET($H$3,0,0,'Données projet'!$E$12+1,1))</f>
        <v>246.66630850723385</v>
      </c>
      <c r="CE41" s="59">
        <f t="shared" si="40"/>
        <v>145.34368562171613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11.142857142857142</v>
      </c>
      <c r="CT41" s="12">
        <f>IF('Données projet'!$A$140&gt;35,CT40+CS41-DB40,IF(A41&lt;'Données projet'!$A$140,$CQ$205^A41,IF(A41='Données projet'!$A$140,'Données projet'!$B$140,CT40+CS41-DB40)))</f>
        <v>163.14285714285711</v>
      </c>
      <c r="CU41" s="17">
        <f>CT41*VLOOKUP('Données projet'!$B$13,Paramètres!$A$1:$I$89,3,0)*VLOOKUP('Données projet'!$B$13,Paramètres!$A$1:$I$89,5,0)</f>
        <v>127.25142857142855</v>
      </c>
      <c r="CV41" s="13">
        <f t="shared" si="41"/>
        <v>33.360457439554281</v>
      </c>
      <c r="CW41" s="20">
        <f t="shared" si="13"/>
        <v>279.73236813579507</v>
      </c>
      <c r="CX41" s="59">
        <f t="shared" si="14"/>
        <v>573.06570146912838</v>
      </c>
      <c r="CY41" s="59">
        <f ca="1">AVERAGE(OFFSET($CX$3,0,0,'Données projet'!$E$13+1,1))-AVERAGE(OFFSET($H$3,0,0,'Données projet'!$E$13+1,1))</f>
        <v>292.57482726862594</v>
      </c>
      <c r="CZ41" s="59">
        <f t="shared" si="42"/>
        <v>283.48738729114024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8.4</v>
      </c>
      <c r="DO41" s="12">
        <f>IF('Données projet'!$A$166&gt;35,DO40+DN41-DW40,IF(A41&lt;'Données projet'!$A$166,$DL$205^A41,IF(A41='Données projet'!$A$166,'Données projet'!$B$166,DO40+DN41-DW40)))</f>
        <v>141.20000000000002</v>
      </c>
      <c r="DP41" s="17">
        <f>DO41*VLOOKUP('Données projet'!$B$14,Paramètres!$A$1:$I$89,3,0)*VLOOKUP('Données projet'!$B$14,Paramètres!$A$1:$I$89,5,0)</f>
        <v>143.17680000000004</v>
      </c>
      <c r="DQ41" s="13">
        <f t="shared" si="43"/>
        <v>37.023812674521515</v>
      </c>
      <c r="DR41" s="20">
        <f t="shared" si="16"/>
        <v>313.84940040812506</v>
      </c>
      <c r="DS41" s="59">
        <f t="shared" si="17"/>
        <v>607.18273374145838</v>
      </c>
      <c r="DT41" s="59">
        <f ca="1">AVERAGE(OFFSET($DS$3,0,0,'Données projet'!$E$14+1,1))-AVERAGE(OFFSET($H$3,0,0,'Données projet'!$E$14+1,1))</f>
        <v>475.47920969424894</v>
      </c>
      <c r="DU41" s="59">
        <f t="shared" si="44"/>
        <v>271.73544012419364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8.4</v>
      </c>
      <c r="EJ41" s="12">
        <f>IF('Données projet'!$A$192&gt;35,EJ40+EI41-ER40,IF(A41&lt;'Données projet'!$A$192,$EG$205^A41,IF(A41='Données projet'!$A$192,'Données projet'!$B$192,EJ40+EI41-ER40)))</f>
        <v>141.20000000000002</v>
      </c>
      <c r="EK41" s="17">
        <f>EJ41*VLOOKUP('Données projet'!$B$15,Paramètres!$A$1:$I$89,3,0)*VLOOKUP('Données projet'!$B$15,Paramètres!$A$1:$I$89,5,0)</f>
        <v>127.75776</v>
      </c>
      <c r="EL41" s="13">
        <f t="shared" si="45"/>
        <v>33.477720030956604</v>
      </c>
      <c r="EM41" s="20">
        <f t="shared" si="19"/>
        <v>280.81846105391611</v>
      </c>
      <c r="EN41" s="59">
        <f t="shared" si="20"/>
        <v>574.15179438724942</v>
      </c>
      <c r="EO41" s="59">
        <f ca="1">AVERAGE(OFFSET($EN$3,0,0,'Données projet'!$E$15+1,1))-AVERAGE(OFFSET($H$3,0,0,'Données projet'!$E$15+1,1))</f>
        <v>428.8489304403459</v>
      </c>
      <c r="EP41" s="59">
        <f t="shared" si="46"/>
        <v>247.01165577562966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3.8</v>
      </c>
      <c r="FE41" s="12">
        <f>IF('Données projet'!$A$218&gt;35,FE40+FD41-FM40,IF(A41&lt;'Données projet'!$A$218,$FB$205^A41,IF(A41='Données projet'!$A$218,'Données projet'!$B$218,FE40+FD41-FM40)))</f>
        <v>175.39999999999992</v>
      </c>
      <c r="FF41" s="17">
        <f>FE41*VLOOKUP('Données projet'!$B$16,Paramètres!$A$1:$I$89,3,0)*VLOOKUP('Données projet'!$B$16,Paramètres!$A$1:$I$89,5,0)</f>
        <v>158.70191999999992</v>
      </c>
      <c r="FG41" s="13">
        <f t="shared" si="47"/>
        <v>40.549591173644728</v>
      </c>
      <c r="FH41" s="20">
        <f t="shared" si="22"/>
        <v>347.02971529409774</v>
      </c>
      <c r="FI41" s="59">
        <f t="shared" si="23"/>
        <v>640.363048627431</v>
      </c>
      <c r="FJ41" s="59">
        <f ca="1">AVERAGE(OFFSET($FI$3,0,0,'Données projet'!$E$16+1,1))-AVERAGE(OFFSET($H$3,0,0,'Données projet'!$E$16+1,1))</f>
        <v>245.25496369542458</v>
      </c>
      <c r="FK41" s="59">
        <f t="shared" si="48"/>
        <v>342.30266518164211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 t="e">
        <f>N42*VLOOKUP('Données projet'!$B$9,Paramètres!$A$1:$I$89,3,0)*VLOOKUP('Données projet'!$B$9,Paramètres!$A$1:$I$89,5,0)</f>
        <v>#N/A</v>
      </c>
      <c r="P42" s="13" t="e">
        <f t="shared" si="33"/>
        <v>#N/A</v>
      </c>
      <c r="Q42" s="20" t="e">
        <f t="shared" si="53"/>
        <v>#N/A</v>
      </c>
      <c r="R42" s="59" t="e">
        <f t="shared" si="0"/>
        <v>#N/A</v>
      </c>
      <c r="S42" s="59" t="e">
        <f ca="1">AVERAGE(OFFSET($R$3,0,0,'Données projet'!$E$9+1,1))-AVERAGE(OFFSET($H$3,0,0,'Données projet'!$E$9+1,1))</f>
        <v>#N/A</v>
      </c>
      <c r="T42" s="59" t="e">
        <f t="shared" si="34"/>
        <v>#N/A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 t="e">
        <f>EXP(-LN(2)/35)*Z41+(1-EXP(-LN(2)/35))/(LN(2)/35)*V42*W42*VLOOKUP('Données projet'!$B$9,Paramètres!$A$1:$I$89,3,0)*0.475*44/12</f>
        <v>#N/A</v>
      </c>
      <c r="AA42" s="21" t="e">
        <f>EXP(-LN(2)/25)*AA41+(1-EXP(-LN(2)/25))/(LN(2)/25)*Calculateur!V42*Calculateur!X42*VLOOKUP('Données projet'!$B$9,Paramètres!$A$1:$I$89,3,0)*0.475*44/12</f>
        <v>#N/A</v>
      </c>
      <c r="AB42" s="21" t="e">
        <f>EXP(-LN(2)/2)*AB41+(1-EXP(-LN(2)/2))/(LN(2)/2)*V42*Y42*VLOOKUP('Données projet'!$B$9,Paramètres!$A$1:$I$89,3,0)*0.475*44/12</f>
        <v>#N/A</v>
      </c>
      <c r="AC42" s="22" t="e">
        <f t="shared" si="3"/>
        <v>#N/A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9.6</v>
      </c>
      <c r="AI42" s="13">
        <f>IF('Données projet'!$A$62&gt;35,AI41+AH42-AQ41,IF(A42&lt;'Données projet'!$A$62,$AF$205^A42,IF(A42='Données projet'!$A$62,'Données projet'!$B$62,AI41+AH42-AQ41)))</f>
        <v>210.39999999999989</v>
      </c>
      <c r="AJ42" s="13">
        <f>AI42*VLOOKUP('Données projet'!$B$10,Paramètres!$A$1:$I$89,3,0)*VLOOKUP('Données projet'!$B$10,Paramètres!$A$1:$I$89,5,0)</f>
        <v>183.80543999999995</v>
      </c>
      <c r="AK42" s="13">
        <f t="shared" si="35"/>
        <v>46.167792832806036</v>
      </c>
      <c r="AL42" s="20">
        <f t="shared" si="4"/>
        <v>400.53671385047045</v>
      </c>
      <c r="AM42" s="59">
        <f t="shared" si="5"/>
        <v>693.87004718380376</v>
      </c>
      <c r="AN42" s="59">
        <f ca="1">AVERAGE(OFFSET($AM$3,0,0,'Données projet'!$E$10+1,1))-AVERAGE(OFFSET($H$3,0,0,'Données projet'!$E$10+1,1))</f>
        <v>338.55719679154777</v>
      </c>
      <c r="AO42" s="59">
        <f t="shared" si="36"/>
        <v>371.26234252426531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5.7692307692307709</v>
      </c>
      <c r="BD42" s="12">
        <f>IF('Données projet'!$A$88&gt;35,BD41+BC42-BL41,IF(A42&lt;'Données projet'!$A$88,$BA$205^A42,IF(A42='Données projet'!$A$88,'Données projet'!$B$88,BD41+BC42-BL41)))</f>
        <v>126.28205128205131</v>
      </c>
      <c r="BE42" s="13">
        <f>BD42*VLOOKUP('Données projet'!$B$11,Paramètres!$A$1:$I$89,3,0)*VLOOKUP('Données projet'!$B$11,Paramètres!$A$1:$I$89,5,0)</f>
        <v>120.17000000000003</v>
      </c>
      <c r="BF42" s="13">
        <f t="shared" si="37"/>
        <v>31.714645735009839</v>
      </c>
      <c r="BG42" s="20">
        <f t="shared" si="7"/>
        <v>264.53242465514222</v>
      </c>
      <c r="BH42" s="59">
        <f t="shared" si="8"/>
        <v>557.86575798847548</v>
      </c>
      <c r="BI42" s="59">
        <f ca="1">AVERAGE(OFFSET($BH$3,0,0,'Données projet'!$E$11+1,1))-AVERAGE(OFFSET($H$3,0,0,'Données projet'!$E$11+1,1))</f>
        <v>351.6178679548006</v>
      </c>
      <c r="BJ42" s="59">
        <f t="shared" si="38"/>
        <v>244.7141066773861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10.402930402930403</v>
      </c>
      <c r="BY42" s="12">
        <f>IF('Données projet'!$A$114&gt;35,BY41+BX42-CG41,IF(A42&lt;'Données projet'!$A$114,$BV$205^A42,IF(A42='Données projet'!$A$114,'Données projet'!$B$114,BY41+BX42-CG41)))</f>
        <v>196.70329670329667</v>
      </c>
      <c r="BZ42" s="13">
        <f>BY42*VLOOKUP('Données projet'!$B$12,Paramètres!$A$1:$I$89,3,0)*VLOOKUP('Données projet'!$B$12,Paramètres!$A$1:$I$89,5,0)</f>
        <v>92.05714285714285</v>
      </c>
      <c r="CA42" s="13">
        <f t="shared" si="39"/>
        <v>25.060703863036977</v>
      </c>
      <c r="CB42" s="20">
        <f t="shared" si="10"/>
        <v>203.9802497043132</v>
      </c>
      <c r="CC42" s="59">
        <f t="shared" si="11"/>
        <v>497.31358303764648</v>
      </c>
      <c r="CD42" s="59">
        <f ca="1">AVERAGE(OFFSET($CC$3,0,0,'Données projet'!$E$12+1,1))-AVERAGE(OFFSET($H$3,0,0,'Données projet'!$E$12+1,1))</f>
        <v>246.66630850723385</v>
      </c>
      <c r="CE42" s="59">
        <f t="shared" si="40"/>
        <v>145.34368562171613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11.142857142857142</v>
      </c>
      <c r="CT42" s="12">
        <f>IF('Données projet'!$A$140&gt;35,CT41+CS42-DB41,IF(A42&lt;'Données projet'!$A$140,$CQ$205^A42,IF(A42='Données projet'!$A$140,'Données projet'!$B$140,CT41+CS42-DB41)))</f>
        <v>174.28571428571425</v>
      </c>
      <c r="CU42" s="17">
        <f>CT42*VLOOKUP('Données projet'!$B$13,Paramètres!$A$1:$I$89,3,0)*VLOOKUP('Données projet'!$B$13,Paramètres!$A$1:$I$89,5,0)</f>
        <v>135.94285714285712</v>
      </c>
      <c r="CV42" s="13">
        <f t="shared" si="41"/>
        <v>35.365986273808367</v>
      </c>
      <c r="CW42" s="20">
        <f t="shared" si="13"/>
        <v>298.36290228402572</v>
      </c>
      <c r="CX42" s="59">
        <f t="shared" si="14"/>
        <v>591.69623561735898</v>
      </c>
      <c r="CY42" s="59">
        <f ca="1">AVERAGE(OFFSET($CX$3,0,0,'Données projet'!$E$13+1,1))-AVERAGE(OFFSET($H$3,0,0,'Données projet'!$E$13+1,1))</f>
        <v>292.57482726862594</v>
      </c>
      <c r="CZ42" s="59">
        <f t="shared" si="42"/>
        <v>283.48738729114024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8.4</v>
      </c>
      <c r="DO42" s="12">
        <f>IF('Données projet'!$A$166&gt;35,DO41+DN42-DW41,IF(A42&lt;'Données projet'!$A$166,$DL$205^A42,IF(A42='Données projet'!$A$166,'Données projet'!$B$166,DO41+DN42-DW41)))</f>
        <v>149.60000000000002</v>
      </c>
      <c r="DP42" s="17">
        <f>DO42*VLOOKUP('Données projet'!$B$14,Paramètres!$A$1:$I$89,3,0)*VLOOKUP('Données projet'!$B$14,Paramètres!$A$1:$I$89,5,0)</f>
        <v>151.69440000000003</v>
      </c>
      <c r="DQ42" s="13">
        <f t="shared" si="43"/>
        <v>38.963392010880654</v>
      </c>
      <c r="DR42" s="20">
        <f t="shared" si="16"/>
        <v>332.06232108561716</v>
      </c>
      <c r="DS42" s="59">
        <f t="shared" si="17"/>
        <v>625.39565441895047</v>
      </c>
      <c r="DT42" s="59">
        <f ca="1">AVERAGE(OFFSET($DS$3,0,0,'Données projet'!$E$14+1,1))-AVERAGE(OFFSET($H$3,0,0,'Données projet'!$E$14+1,1))</f>
        <v>475.47920969424894</v>
      </c>
      <c r="DU42" s="59">
        <f t="shared" si="44"/>
        <v>271.73544012419364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8.4</v>
      </c>
      <c r="EJ42" s="12">
        <f>IF('Données projet'!$A$192&gt;35,EJ41+EI42-ER41,IF(A42&lt;'Données projet'!$A$192,$EG$205^A42,IF(A42='Données projet'!$A$192,'Données projet'!$B$192,EJ41+EI42-ER41)))</f>
        <v>149.60000000000002</v>
      </c>
      <c r="EK42" s="17">
        <f>EJ42*VLOOKUP('Données projet'!$B$15,Paramètres!$A$1:$I$89,3,0)*VLOOKUP('Données projet'!$B$15,Paramètres!$A$1:$I$89,5,0)</f>
        <v>135.35808</v>
      </c>
      <c r="EL42" s="13">
        <f t="shared" si="45"/>
        <v>35.231528980112834</v>
      </c>
      <c r="EM42" s="20">
        <f t="shared" si="19"/>
        <v>297.11023564036316</v>
      </c>
      <c r="EN42" s="59">
        <f t="shared" si="20"/>
        <v>590.44356897369653</v>
      </c>
      <c r="EO42" s="59">
        <f ca="1">AVERAGE(OFFSET($EN$3,0,0,'Données projet'!$E$15+1,1))-AVERAGE(OFFSET($H$3,0,0,'Données projet'!$E$15+1,1))</f>
        <v>428.8489304403459</v>
      </c>
      <c r="EP42" s="59">
        <f t="shared" si="46"/>
        <v>247.01165577562966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3.8</v>
      </c>
      <c r="FE42" s="12">
        <f>IF('Données projet'!$A$218&gt;35,FE41+FD42-FM41,IF(A42&lt;'Données projet'!$A$218,$FB$205^A42,IF(A42='Données projet'!$A$218,'Données projet'!$B$218,FE41+FD42-FM41)))</f>
        <v>179.19999999999993</v>
      </c>
      <c r="FF42" s="17">
        <f>FE42*VLOOKUP('Données projet'!$B$16,Paramètres!$A$1:$I$89,3,0)*VLOOKUP('Données projet'!$B$16,Paramètres!$A$1:$I$89,5,0)</f>
        <v>162.14015999999992</v>
      </c>
      <c r="FG42" s="13">
        <f t="shared" si="47"/>
        <v>41.324860537333677</v>
      </c>
      <c r="FH42" s="20">
        <f t="shared" si="22"/>
        <v>354.36824410252262</v>
      </c>
      <c r="FI42" s="59">
        <f t="shared" si="23"/>
        <v>647.70157743585594</v>
      </c>
      <c r="FJ42" s="59">
        <f ca="1">AVERAGE(OFFSET($FI$3,0,0,'Données projet'!$E$16+1,1))-AVERAGE(OFFSET($H$3,0,0,'Données projet'!$E$16+1,1))</f>
        <v>245.25496369542458</v>
      </c>
      <c r="FK42" s="59">
        <f t="shared" si="48"/>
        <v>342.30266518164211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 t="e">
        <f>N43*VLOOKUP('Données projet'!$B$9,Paramètres!$A$1:$I$89,3,0)*VLOOKUP('Données projet'!$B$9,Paramètres!$A$1:$I$89,5,0)</f>
        <v>#N/A</v>
      </c>
      <c r="P43" s="13" t="e">
        <f t="shared" si="33"/>
        <v>#N/A</v>
      </c>
      <c r="Q43" s="20" t="e">
        <f t="shared" si="53"/>
        <v>#N/A</v>
      </c>
      <c r="R43" s="59" t="e">
        <f t="shared" si="0"/>
        <v>#N/A</v>
      </c>
      <c r="S43" s="59" t="e">
        <f ca="1">AVERAGE(OFFSET($R$3,0,0,'Données projet'!$E$9+1,1))-AVERAGE(OFFSET($H$3,0,0,'Données projet'!$E$9+1,1))</f>
        <v>#N/A</v>
      </c>
      <c r="T43" s="59" t="e">
        <f t="shared" si="34"/>
        <v>#N/A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 t="e">
        <f>EXP(-LN(2)/35)*Z42+(1-EXP(-LN(2)/35))/(LN(2)/35)*V43*W43*VLOOKUP('Données projet'!$B$9,Paramètres!$A$1:$I$89,3,0)*0.475*44/12</f>
        <v>#N/A</v>
      </c>
      <c r="AA43" s="21" t="e">
        <f>EXP(-LN(2)/25)*AA42+(1-EXP(-LN(2)/25))/(LN(2)/25)*Calculateur!V43*Calculateur!X43*VLOOKUP('Données projet'!$B$9,Paramètres!$A$1:$I$89,3,0)*0.475*44/12</f>
        <v>#N/A</v>
      </c>
      <c r="AB43" s="21" t="e">
        <f>EXP(-LN(2)/2)*AB42+(1-EXP(-LN(2)/2))/(LN(2)/2)*V43*Y43*VLOOKUP('Données projet'!$B$9,Paramètres!$A$1:$I$89,3,0)*0.475*44/12</f>
        <v>#N/A</v>
      </c>
      <c r="AC43" s="22" t="e">
        <f t="shared" si="3"/>
        <v>#N/A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220</v>
      </c>
      <c r="AG43" s="12">
        <f>VLOOKUP(A43,'Données projet'!$A$61:$I$81,9,0)</f>
        <v>9.6</v>
      </c>
      <c r="AH43" s="12">
        <f t="array" ref="AH43">INDEX(AG:AG,MIN(IF(ISNUMBER(AG43:AG239),ROW(AG43:AG239),"")))</f>
        <v>9.6</v>
      </c>
      <c r="AI43" s="13">
        <f>IF('Données projet'!$A$62&gt;35,AI42+AH43-AQ42,IF(A43&lt;'Données projet'!$A$62,$AF$205^A43,IF(A43='Données projet'!$A$62,'Données projet'!$B$62,AI42+AH43-AQ42)))</f>
        <v>219.99999999999989</v>
      </c>
      <c r="AJ43" s="13">
        <f>AI43*VLOOKUP('Données projet'!$B$10,Paramètres!$A$1:$I$89,3,0)*VLOOKUP('Données projet'!$B$10,Paramètres!$A$1:$I$89,5,0)</f>
        <v>192.19199999999992</v>
      </c>
      <c r="AK43" s="13">
        <f t="shared" si="35"/>
        <v>48.02424892193244</v>
      </c>
      <c r="AL43" s="20">
        <f t="shared" si="4"/>
        <v>418.37663353903218</v>
      </c>
      <c r="AM43" s="59">
        <f t="shared" si="5"/>
        <v>711.7099668723655</v>
      </c>
      <c r="AN43" s="59">
        <f ca="1">AVERAGE(OFFSET($AM$3,0,0,'Données projet'!$E$10+1,1))-AVERAGE(OFFSET($H$3,0,0,'Données projet'!$E$10+1,1))</f>
        <v>338.55719679154777</v>
      </c>
      <c r="AO43" s="59">
        <f t="shared" si="36"/>
        <v>371.26234252426531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132.05128205128204</v>
      </c>
      <c r="BB43" s="12">
        <f>VLOOKUP(A43,'Données projet'!$A$87:$I$107,9,0)</f>
        <v>5.7692307692307709</v>
      </c>
      <c r="BC43" s="12">
        <f t="array" ref="BC43">INDEX(BB:BB,MIN(IF(ISNUMBER(BB43:BB239),ROW(BB43:BB239),"")))</f>
        <v>5.7692307692307709</v>
      </c>
      <c r="BD43" s="12">
        <f>IF('Données projet'!$A$88&gt;35,BD42+BC43-BL42,IF(A43&lt;'Données projet'!$A$88,$BA$205^A43,IF(A43='Données projet'!$A$88,'Données projet'!$B$88,BD42+BC43-BL42)))</f>
        <v>132.05128205128207</v>
      </c>
      <c r="BE43" s="13">
        <f>BD43*VLOOKUP('Données projet'!$B$11,Paramètres!$A$1:$I$89,3,0)*VLOOKUP('Données projet'!$B$11,Paramètres!$A$1:$I$89,5,0)</f>
        <v>125.66000000000001</v>
      </c>
      <c r="BF43" s="13">
        <f t="shared" si="37"/>
        <v>32.991539598281548</v>
      </c>
      <c r="BG43" s="20">
        <f t="shared" si="7"/>
        <v>276.31809813367369</v>
      </c>
      <c r="BH43" s="59">
        <f t="shared" si="8"/>
        <v>569.651431467007</v>
      </c>
      <c r="BI43" s="59">
        <f ca="1">AVERAGE(OFFSET($BH$3,0,0,'Données projet'!$E$11+1,1))-AVERAGE(OFFSET($H$3,0,0,'Données projet'!$E$11+1,1))</f>
        <v>351.6178679548006</v>
      </c>
      <c r="BJ43" s="59">
        <f t="shared" si="38"/>
        <v>244.7141066773861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10.402930402930403</v>
      </c>
      <c r="BY43" s="12">
        <f>IF('Données projet'!$A$114&gt;35,BY42+BX43-CG42,IF(A43&lt;'Données projet'!$A$114,$BV$205^A43,IF(A43='Données projet'!$A$114,'Données projet'!$B$114,BY42+BX43-CG42)))</f>
        <v>207.10622710622707</v>
      </c>
      <c r="BZ43" s="13">
        <f>BY43*VLOOKUP('Données projet'!$B$12,Paramètres!$A$1:$I$89,3,0)*VLOOKUP('Données projet'!$B$12,Paramètres!$A$1:$I$89,5,0)</f>
        <v>96.925714285714264</v>
      </c>
      <c r="CA43" s="13">
        <f t="shared" si="39"/>
        <v>26.228265683321183</v>
      </c>
      <c r="CB43" s="20">
        <f t="shared" si="10"/>
        <v>214.49318177940339</v>
      </c>
      <c r="CC43" s="59">
        <f t="shared" si="11"/>
        <v>507.82651511273673</v>
      </c>
      <c r="CD43" s="59">
        <f ca="1">AVERAGE(OFFSET($CC$3,0,0,'Données projet'!$E$12+1,1))-AVERAGE(OFFSET($H$3,0,0,'Données projet'!$E$12+1,1))</f>
        <v>246.66630850723385</v>
      </c>
      <c r="CE43" s="59">
        <f t="shared" si="40"/>
        <v>145.34368562171613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11.142857142857142</v>
      </c>
      <c r="CT43" s="12">
        <f>IF('Données projet'!$A$140&gt;35,CT42+CS43-DB42,IF(A43&lt;'Données projet'!$A$140,$CQ$205^A43,IF(A43='Données projet'!$A$140,'Données projet'!$B$140,CT42+CS43-DB42)))</f>
        <v>185.42857142857139</v>
      </c>
      <c r="CU43" s="17">
        <f>CT43*VLOOKUP('Données projet'!$B$13,Paramètres!$A$1:$I$89,3,0)*VLOOKUP('Données projet'!$B$13,Paramètres!$A$1:$I$89,5,0)</f>
        <v>144.63428571428568</v>
      </c>
      <c r="CV43" s="13">
        <f t="shared" si="41"/>
        <v>37.356634728420524</v>
      </c>
      <c r="CW43" s="20">
        <f t="shared" si="13"/>
        <v>316.96751977104663</v>
      </c>
      <c r="CX43" s="59">
        <f t="shared" si="14"/>
        <v>610.30085310437994</v>
      </c>
      <c r="CY43" s="59">
        <f ca="1">AVERAGE(OFFSET($CX$3,0,0,'Données projet'!$E$13+1,1))-AVERAGE(OFFSET($H$3,0,0,'Données projet'!$E$13+1,1))</f>
        <v>292.57482726862594</v>
      </c>
      <c r="CZ43" s="59">
        <f t="shared" si="42"/>
        <v>283.48738729114024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158</v>
      </c>
      <c r="DM43" s="12">
        <f>VLOOKUP(A43,'Données projet'!$A$165:$I$185,9,0)</f>
        <v>8.4</v>
      </c>
      <c r="DN43" s="12">
        <f t="array" ref="DN43">INDEX(DM:DM,MIN(IF(ISNUMBER(DM43:DM239),ROW(DM43:DM239),"")))</f>
        <v>8.4</v>
      </c>
      <c r="DO43" s="12">
        <f>IF('Données projet'!$A$166&gt;35,DO42+DN43-DW42,IF(A43&lt;'Données projet'!$A$166,$DL$205^A43,IF(A43='Données projet'!$A$166,'Données projet'!$B$166,DO42+DN43-DW42)))</f>
        <v>158.00000000000003</v>
      </c>
      <c r="DP43" s="17">
        <f>DO43*VLOOKUP('Données projet'!$B$14,Paramètres!$A$1:$I$89,3,0)*VLOOKUP('Données projet'!$B$14,Paramètres!$A$1:$I$89,5,0)</f>
        <v>160.21200000000005</v>
      </c>
      <c r="DQ43" s="13">
        <f t="shared" si="43"/>
        <v>40.890328912852695</v>
      </c>
      <c r="DR43" s="20">
        <f t="shared" si="16"/>
        <v>350.25322285655176</v>
      </c>
      <c r="DS43" s="59">
        <f t="shared" si="17"/>
        <v>643.58655618988507</v>
      </c>
      <c r="DT43" s="59">
        <f ca="1">AVERAGE(OFFSET($DS$3,0,0,'Données projet'!$E$14+1,1))-AVERAGE(OFFSET($H$3,0,0,'Données projet'!$E$14+1,1))</f>
        <v>475.47920969424894</v>
      </c>
      <c r="DU43" s="59">
        <f t="shared" si="44"/>
        <v>271.73544012419364</v>
      </c>
      <c r="DV43" s="15">
        <f>IF(ISNA(VLOOKUP(A43,'Données projet'!$A$165:$I$185,3,0)),0,VLOOKUP(A43,'Données projet'!$A$165:$I$185,3,0))</f>
        <v>2</v>
      </c>
      <c r="DW43" s="15">
        <f>IF(ISNA(VLOOKUP(A43,'Données projet'!$A$165:$I$185,4,0)),0,VLOOKUP(A43,'Données projet'!$A$165:$I$185,4,0))</f>
        <v>42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158</v>
      </c>
      <c r="EH43" s="12">
        <f>VLOOKUP(A43,'Données projet'!$A$191:$I$211,9,0)</f>
        <v>8.4</v>
      </c>
      <c r="EI43" s="12">
        <f t="array" ref="EI43">INDEX(EH:EH,MIN(IF(ISNUMBER(EH43:EH239),ROW(EH43:EH239),"")))</f>
        <v>8.4</v>
      </c>
      <c r="EJ43" s="12">
        <f>IF('Données projet'!$A$192&gt;35,EJ42+EI43-ER42,IF(A43&lt;'Données projet'!$A$192,$EG$205^A43,IF(A43='Données projet'!$A$192,'Données projet'!$B$192,EJ42+EI43-ER42)))</f>
        <v>158.00000000000003</v>
      </c>
      <c r="EK43" s="17">
        <f>EJ43*VLOOKUP('Données projet'!$B$15,Paramètres!$A$1:$I$89,3,0)*VLOOKUP('Données projet'!$B$15,Paramètres!$A$1:$I$89,5,0)</f>
        <v>142.95840000000004</v>
      </c>
      <c r="EL43" s="13">
        <f t="shared" si="45"/>
        <v>36.973906370811264</v>
      </c>
      <c r="EM43" s="20">
        <f t="shared" si="19"/>
        <v>313.38210026249641</v>
      </c>
      <c r="EN43" s="59">
        <f t="shared" si="20"/>
        <v>606.71543359582972</v>
      </c>
      <c r="EO43" s="59">
        <f ca="1">AVERAGE(OFFSET($EN$3,0,0,'Données projet'!$E$15+1,1))-AVERAGE(OFFSET($H$3,0,0,'Données projet'!$E$15+1,1))</f>
        <v>428.8489304403459</v>
      </c>
      <c r="EP43" s="59">
        <f t="shared" si="46"/>
        <v>247.01165577562966</v>
      </c>
      <c r="EQ43" s="15">
        <f>IF(ISNA(VLOOKUP(A43,'Données projet'!$A$191:$I$211,3,0)),0,VLOOKUP(A43,'Données projet'!$A$191:$I$211,3,0))</f>
        <v>2</v>
      </c>
      <c r="ER43" s="15">
        <f>IF(ISNA(VLOOKUP(A43,'Données projet'!$A$191:$I$211,4,0)),0,VLOOKUP(A43,'Données projet'!$A$191:$I$211,4,0))</f>
        <v>42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183</v>
      </c>
      <c r="FC43" s="12">
        <f>VLOOKUP(A43,'Données projet'!$A$217:$I$237,9,0)</f>
        <v>3.8</v>
      </c>
      <c r="FD43" s="12">
        <f t="array" ref="FD43">INDEX(FC:FC,MIN(IF(ISNUMBER(FC43:FC239),ROW(FC43:FC239),"")))</f>
        <v>3.8</v>
      </c>
      <c r="FE43" s="12">
        <f>IF('Données projet'!$A$218&gt;35,FE42+FD43-FM42,IF(A43&lt;'Données projet'!$A$218,$FB$205^A43,IF(A43='Données projet'!$A$218,'Données projet'!$B$218,FE42+FD43-FM42)))</f>
        <v>182.99999999999994</v>
      </c>
      <c r="FF43" s="17">
        <f>FE43*VLOOKUP('Données projet'!$B$16,Paramètres!$A$1:$I$89,3,0)*VLOOKUP('Données projet'!$B$16,Paramètres!$A$1:$I$89,5,0)</f>
        <v>165.57839999999993</v>
      </c>
      <c r="FG43" s="13">
        <f t="shared" si="47"/>
        <v>42.098218509199661</v>
      </c>
      <c r="FH43" s="20">
        <f t="shared" si="22"/>
        <v>361.70344390352261</v>
      </c>
      <c r="FI43" s="59">
        <f t="shared" si="23"/>
        <v>655.03677723685587</v>
      </c>
      <c r="FJ43" s="59">
        <f ca="1">AVERAGE(OFFSET($FI$3,0,0,'Données projet'!$E$16+1,1))-AVERAGE(OFFSET($H$3,0,0,'Données projet'!$E$16+1,1))</f>
        <v>245.25496369542458</v>
      </c>
      <c r="FK43" s="59">
        <f t="shared" si="48"/>
        <v>342.30266518164211</v>
      </c>
      <c r="FL43" s="15">
        <f>IF(ISNA(VLOOKUP(A43,'Données projet'!$A$217:$I$237,3,0)),0,VLOOKUP(A43,'Données projet'!$A$217:$I$237,3,0))</f>
        <v>7</v>
      </c>
      <c r="FM43" s="15">
        <f>IF(ISNA(VLOOKUP(A43,'Données projet'!$A$217:$I$237,4,0)),0,VLOOKUP(A43,'Données projet'!$A$217:$I$237,4,0))</f>
        <v>4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 t="e">
        <f>N44*VLOOKUP('Données projet'!$B$9,Paramètres!$A$1:$I$89,3,0)*VLOOKUP('Données projet'!$B$9,Paramètres!$A$1:$I$89,5,0)</f>
        <v>#N/A</v>
      </c>
      <c r="P44" s="13" t="e">
        <f t="shared" si="33"/>
        <v>#N/A</v>
      </c>
      <c r="Q44" s="20" t="e">
        <f t="shared" si="53"/>
        <v>#N/A</v>
      </c>
      <c r="R44" s="59" t="e">
        <f t="shared" si="0"/>
        <v>#N/A</v>
      </c>
      <c r="S44" s="59" t="e">
        <f ca="1">AVERAGE(OFFSET($R$3,0,0,'Données projet'!$E$9+1,1))-AVERAGE(OFFSET($H$3,0,0,'Données projet'!$E$9+1,1))</f>
        <v>#N/A</v>
      </c>
      <c r="T44" s="59" t="e">
        <f t="shared" si="34"/>
        <v>#N/A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 t="e">
        <f>EXP(-LN(2)/35)*Z43+(1-EXP(-LN(2)/35))/(LN(2)/35)*V44*W44*VLOOKUP('Données projet'!$B$9,Paramètres!$A$1:$I$89,3,0)*0.475*44/12</f>
        <v>#N/A</v>
      </c>
      <c r="AA44" s="21" t="e">
        <f>EXP(-LN(2)/25)*AA43+(1-EXP(-LN(2)/25))/(LN(2)/25)*Calculateur!V44*Calculateur!X44*VLOOKUP('Données projet'!$B$9,Paramètres!$A$1:$I$89,3,0)*0.475*44/12</f>
        <v>#N/A</v>
      </c>
      <c r="AB44" s="21" t="e">
        <f>EXP(-LN(2)/2)*AB43+(1-EXP(-LN(2)/2))/(LN(2)/2)*V44*Y44*VLOOKUP('Données projet'!$B$9,Paramètres!$A$1:$I$89,3,0)*0.475*44/12</f>
        <v>#N/A</v>
      </c>
      <c r="AC44" s="22" t="e">
        <f t="shared" si="3"/>
        <v>#N/A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8.1999999999999993</v>
      </c>
      <c r="AI44" s="13">
        <f>IF('Données projet'!$A$62&gt;35,AI43+AH44-AQ43,IF(A44&lt;'Données projet'!$A$62,$AF$205^A44,IF(A44='Données projet'!$A$62,'Données projet'!$B$62,AI43+AH44-AQ43)))</f>
        <v>172.19999999999987</v>
      </c>
      <c r="AJ44" s="13">
        <f>AI44*VLOOKUP('Données projet'!$B$10,Paramètres!$A$1:$I$89,3,0)*VLOOKUP('Données projet'!$B$10,Paramètres!$A$1:$I$89,5,0)</f>
        <v>150.43391999999992</v>
      </c>
      <c r="AK44" s="13">
        <f t="shared" si="35"/>
        <v>38.677178913707891</v>
      </c>
      <c r="AL44" s="20">
        <f t="shared" si="4"/>
        <v>329.36849727470769</v>
      </c>
      <c r="AM44" s="59">
        <f t="shared" si="5"/>
        <v>622.70183060804106</v>
      </c>
      <c r="AN44" s="59">
        <f ca="1">AVERAGE(OFFSET($AM$3,0,0,'Données projet'!$E$10+1,1))-AVERAGE(OFFSET($H$3,0,0,'Données projet'!$E$10+1,1))</f>
        <v>338.55719679154777</v>
      </c>
      <c r="AO44" s="59">
        <f t="shared" si="36"/>
        <v>371.26234252426531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5.6410256410256405</v>
      </c>
      <c r="BD44" s="12">
        <f>IF('Données projet'!$A$88&gt;35,BD43+BC44-BL43,IF(A44&lt;'Données projet'!$A$88,$BA$205^A44,IF(A44='Données projet'!$A$88,'Données projet'!$B$88,BD43+BC44-BL43)))</f>
        <v>137.69230769230771</v>
      </c>
      <c r="BE44" s="13">
        <f>BD44*VLOOKUP('Données projet'!$B$11,Paramètres!$A$1:$I$89,3,0)*VLOOKUP('Données projet'!$B$11,Paramètres!$A$1:$I$89,5,0)</f>
        <v>131.02800000000002</v>
      </c>
      <c r="BF44" s="13">
        <f t="shared" si="37"/>
        <v>34.23379094712331</v>
      </c>
      <c r="BG44" s="20">
        <f t="shared" si="7"/>
        <v>287.83095256623977</v>
      </c>
      <c r="BH44" s="59">
        <f t="shared" si="8"/>
        <v>581.16428589957309</v>
      </c>
      <c r="BI44" s="59">
        <f ca="1">AVERAGE(OFFSET($BH$3,0,0,'Données projet'!$E$11+1,1))-AVERAGE(OFFSET($H$3,0,0,'Données projet'!$E$11+1,1))</f>
        <v>351.6178679548006</v>
      </c>
      <c r="BJ44" s="59">
        <f t="shared" si="38"/>
        <v>244.7141066773861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10.402930402930403</v>
      </c>
      <c r="BY44" s="12">
        <f>IF('Données projet'!$A$114&gt;35,BY43+BX44-CG43,IF(A44&lt;'Données projet'!$A$114,$BV$205^A44,IF(A44='Données projet'!$A$114,'Données projet'!$B$114,BY43+BX44-CG43)))</f>
        <v>217.50915750915746</v>
      </c>
      <c r="BZ44" s="13">
        <f>BY44*VLOOKUP('Données projet'!$B$12,Paramètres!$A$1:$I$89,3,0)*VLOOKUP('Données projet'!$B$12,Paramètres!$A$1:$I$89,5,0)</f>
        <v>101.79428571428569</v>
      </c>
      <c r="CA44" s="13">
        <f t="shared" si="39"/>
        <v>27.389017940319118</v>
      </c>
      <c r="CB44" s="20">
        <f t="shared" si="10"/>
        <v>224.99425386510336</v>
      </c>
      <c r="CC44" s="59">
        <f t="shared" si="11"/>
        <v>518.32758719843673</v>
      </c>
      <c r="CD44" s="59">
        <f ca="1">AVERAGE(OFFSET($CC$3,0,0,'Données projet'!$E$12+1,1))-AVERAGE(OFFSET($H$3,0,0,'Données projet'!$E$12+1,1))</f>
        <v>246.66630850723385</v>
      </c>
      <c r="CE44" s="59">
        <f t="shared" si="40"/>
        <v>145.34368562171613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11.142857142857142</v>
      </c>
      <c r="CT44" s="12">
        <f>IF('Données projet'!$A$140&gt;35,CT43+CS44-DB43,IF(A44&lt;'Données projet'!$A$140,$CQ$205^A44,IF(A44='Données projet'!$A$140,'Données projet'!$B$140,CT43+CS44-DB43)))</f>
        <v>196.57142857142853</v>
      </c>
      <c r="CU44" s="17">
        <f>CT44*VLOOKUP('Données projet'!$B$13,Paramètres!$A$1:$I$89,3,0)*VLOOKUP('Données projet'!$B$13,Paramètres!$A$1:$I$89,5,0)</f>
        <v>153.32571428571427</v>
      </c>
      <c r="CV44" s="13">
        <f t="shared" si="41"/>
        <v>39.33339883761419</v>
      </c>
      <c r="CW44" s="20">
        <f t="shared" si="13"/>
        <v>335.54795535646372</v>
      </c>
      <c r="CX44" s="59">
        <f t="shared" si="14"/>
        <v>628.88128868979697</v>
      </c>
      <c r="CY44" s="59">
        <f ca="1">AVERAGE(OFFSET($CX$3,0,0,'Données projet'!$E$13+1,1))-AVERAGE(OFFSET($H$3,0,0,'Données projet'!$E$13+1,1))</f>
        <v>292.57482726862594</v>
      </c>
      <c r="CZ44" s="59">
        <f t="shared" si="42"/>
        <v>283.48738729114024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8.4</v>
      </c>
      <c r="DO44" s="12">
        <f>IF('Données projet'!$A$166&gt;35,DO43+DN44-DW43,IF(A44&lt;'Données projet'!$A$166,$DL$205^A44,IF(A44='Données projet'!$A$166,'Données projet'!$B$166,DO43+DN44-DW43)))</f>
        <v>124.40000000000003</v>
      </c>
      <c r="DP44" s="17">
        <f>DO44*VLOOKUP('Données projet'!$B$14,Paramètres!$A$1:$I$89,3,0)*VLOOKUP('Données projet'!$B$14,Paramètres!$A$1:$I$89,5,0)</f>
        <v>126.14160000000005</v>
      </c>
      <c r="DQ44" s="13">
        <f t="shared" si="43"/>
        <v>33.10323903126482</v>
      </c>
      <c r="DR44" s="20">
        <f t="shared" si="16"/>
        <v>277.35142797945298</v>
      </c>
      <c r="DS44" s="59">
        <f t="shared" si="17"/>
        <v>570.68476131278635</v>
      </c>
      <c r="DT44" s="59">
        <f ca="1">AVERAGE(OFFSET($DS$3,0,0,'Données projet'!$E$14+1,1))-AVERAGE(OFFSET($H$3,0,0,'Données projet'!$E$14+1,1))</f>
        <v>475.47920969424894</v>
      </c>
      <c r="DU44" s="59">
        <f t="shared" si="44"/>
        <v>271.73544012419364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8.4</v>
      </c>
      <c r="EJ44" s="12">
        <f>IF('Données projet'!$A$192&gt;35,EJ43+EI44-ER43,IF(A44&lt;'Données projet'!$A$192,$EG$205^A44,IF(A44='Données projet'!$A$192,'Données projet'!$B$192,EJ43+EI44-ER43)))</f>
        <v>124.40000000000003</v>
      </c>
      <c r="EK44" s="17">
        <f>EJ44*VLOOKUP('Données projet'!$B$15,Paramètres!$A$1:$I$89,3,0)*VLOOKUP('Données projet'!$B$15,Paramètres!$A$1:$I$89,5,0)</f>
        <v>112.55712000000003</v>
      </c>
      <c r="EL44" s="13">
        <f t="shared" si="45"/>
        <v>29.932653834140599</v>
      </c>
      <c r="EM44" s="20">
        <f t="shared" si="19"/>
        <v>248.16968942779496</v>
      </c>
      <c r="EN44" s="59">
        <f t="shared" si="20"/>
        <v>541.50302276112825</v>
      </c>
      <c r="EO44" s="59">
        <f ca="1">AVERAGE(OFFSET($EN$3,0,0,'Données projet'!$E$15+1,1))-AVERAGE(OFFSET($H$3,0,0,'Données projet'!$E$15+1,1))</f>
        <v>428.8489304403459</v>
      </c>
      <c r="EP44" s="59">
        <f t="shared" si="46"/>
        <v>247.01165577562966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3.8</v>
      </c>
      <c r="FE44" s="12">
        <f>IF('Données projet'!$A$218&gt;35,FE43+FD44-FM43,IF(A44&lt;'Données projet'!$A$218,$FB$205^A44,IF(A44='Données projet'!$A$218,'Données projet'!$B$218,FE43+FD44-FM43)))</f>
        <v>182.79999999999995</v>
      </c>
      <c r="FF44" s="17">
        <f>FE44*VLOOKUP('Données projet'!$B$16,Paramètres!$A$1:$I$89,3,0)*VLOOKUP('Données projet'!$B$16,Paramètres!$A$1:$I$89,5,0)</f>
        <v>165.39743999999996</v>
      </c>
      <c r="FG44" s="13">
        <f t="shared" si="47"/>
        <v>42.057562385840804</v>
      </c>
      <c r="FH44" s="20">
        <f t="shared" si="22"/>
        <v>361.31746248867267</v>
      </c>
      <c r="FI44" s="59">
        <f t="shared" si="23"/>
        <v>654.65079582200599</v>
      </c>
      <c r="FJ44" s="59">
        <f ca="1">AVERAGE(OFFSET($FI$3,0,0,'Données projet'!$E$16+1,1))-AVERAGE(OFFSET($H$3,0,0,'Données projet'!$E$16+1,1))</f>
        <v>245.25496369542458</v>
      </c>
      <c r="FK44" s="59">
        <f t="shared" si="48"/>
        <v>342.30266518164211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 t="e">
        <f>N45*VLOOKUP('Données projet'!$B$9,Paramètres!$A$1:$I$89,3,0)*VLOOKUP('Données projet'!$B$9,Paramètres!$A$1:$I$89,5,0)</f>
        <v>#N/A</v>
      </c>
      <c r="P45" s="13" t="e">
        <f t="shared" si="33"/>
        <v>#N/A</v>
      </c>
      <c r="Q45" s="20" t="e">
        <f t="shared" si="53"/>
        <v>#N/A</v>
      </c>
      <c r="R45" s="59" t="e">
        <f t="shared" si="0"/>
        <v>#N/A</v>
      </c>
      <c r="S45" s="59" t="e">
        <f ca="1">AVERAGE(OFFSET($R$3,0,0,'Données projet'!$E$9+1,1))-AVERAGE(OFFSET($H$3,0,0,'Données projet'!$E$9+1,1))</f>
        <v>#N/A</v>
      </c>
      <c r="T45" s="59" t="e">
        <f t="shared" si="34"/>
        <v>#N/A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 t="e">
        <f>EXP(-LN(2)/35)*Z44+(1-EXP(-LN(2)/35))/(LN(2)/35)*V45*W45*VLOOKUP('Données projet'!$B$9,Paramètres!$A$1:$I$89,3,0)*0.475*44/12</f>
        <v>#N/A</v>
      </c>
      <c r="AA45" s="21" t="e">
        <f>EXP(-LN(2)/25)*AA44+(1-EXP(-LN(2)/25))/(LN(2)/25)*Calculateur!V45*Calculateur!X45*VLOOKUP('Données projet'!$B$9,Paramètres!$A$1:$I$89,3,0)*0.475*44/12</f>
        <v>#N/A</v>
      </c>
      <c r="AB45" s="21" t="e">
        <f>EXP(-LN(2)/2)*AB44+(1-EXP(-LN(2)/2))/(LN(2)/2)*V45*Y45*VLOOKUP('Données projet'!$B$9,Paramètres!$A$1:$I$89,3,0)*0.475*44/12</f>
        <v>#N/A</v>
      </c>
      <c r="AC45" s="22" t="e">
        <f t="shared" si="3"/>
        <v>#N/A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8.1999999999999993</v>
      </c>
      <c r="AI45" s="13">
        <f>IF('Données projet'!$A$62&gt;35,AI44+AH45-AQ44,IF(A45&lt;'Données projet'!$A$62,$AF$205^A45,IF(A45='Données projet'!$A$62,'Données projet'!$B$62,AI44+AH45-AQ44)))</f>
        <v>180.39999999999986</v>
      </c>
      <c r="AJ45" s="13">
        <f>AI45*VLOOKUP('Données projet'!$B$10,Paramètres!$A$1:$I$89,3,0)*VLOOKUP('Données projet'!$B$10,Paramètres!$A$1:$I$89,5,0)</f>
        <v>157.59743999999989</v>
      </c>
      <c r="AK45" s="13">
        <f t="shared" si="35"/>
        <v>40.300135037830493</v>
      </c>
      <c r="AL45" s="20">
        <f t="shared" si="4"/>
        <v>344.67160985755459</v>
      </c>
      <c r="AM45" s="59">
        <f t="shared" si="5"/>
        <v>638.00494319088784</v>
      </c>
      <c r="AN45" s="59">
        <f ca="1">AVERAGE(OFFSET($AM$3,0,0,'Données projet'!$E$10+1,1))-AVERAGE(OFFSET($H$3,0,0,'Données projet'!$E$10+1,1))</f>
        <v>338.55719679154777</v>
      </c>
      <c r="AO45" s="59">
        <f t="shared" si="36"/>
        <v>371.26234252426531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5.6410256410256405</v>
      </c>
      <c r="BD45" s="12">
        <f>IF('Données projet'!$A$88&gt;35,BD44+BC45-BL44,IF(A45&lt;'Données projet'!$A$88,$BA$205^A45,IF(A45='Données projet'!$A$88,'Données projet'!$B$88,BD44+BC45-BL44)))</f>
        <v>143.33333333333334</v>
      </c>
      <c r="BE45" s="13">
        <f>BD45*VLOOKUP('Données projet'!$B$11,Paramètres!$A$1:$I$89,3,0)*VLOOKUP('Données projet'!$B$11,Paramètres!$A$1:$I$89,5,0)</f>
        <v>136.39600000000002</v>
      </c>
      <c r="BF45" s="13">
        <f t="shared" si="37"/>
        <v>35.470130709133613</v>
      </c>
      <c r="BG45" s="20">
        <f t="shared" si="7"/>
        <v>299.33351098507438</v>
      </c>
      <c r="BH45" s="59">
        <f t="shared" si="8"/>
        <v>592.6668443184077</v>
      </c>
      <c r="BI45" s="59">
        <f ca="1">AVERAGE(OFFSET($BH$3,0,0,'Données projet'!$E$11+1,1))-AVERAGE(OFFSET($H$3,0,0,'Données projet'!$E$11+1,1))</f>
        <v>351.6178679548006</v>
      </c>
      <c r="BJ45" s="59">
        <f t="shared" si="38"/>
        <v>244.7141066773861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10.402930402930403</v>
      </c>
      <c r="BY45" s="12">
        <f>IF('Données projet'!$A$114&gt;35,BY44+BX45-CG44,IF(A45&lt;'Données projet'!$A$114,$BV$205^A45,IF(A45='Données projet'!$A$114,'Données projet'!$B$114,BY44+BX45-CG44)))</f>
        <v>227.91208791208786</v>
      </c>
      <c r="BZ45" s="13">
        <f>BY45*VLOOKUP('Données projet'!$B$12,Paramètres!$A$1:$I$89,3,0)*VLOOKUP('Données projet'!$B$12,Paramètres!$A$1:$I$89,5,0)</f>
        <v>106.66285714285712</v>
      </c>
      <c r="CA45" s="13">
        <f t="shared" si="39"/>
        <v>28.543323501294243</v>
      </c>
      <c r="CB45" s="20">
        <f t="shared" si="10"/>
        <v>235.48409795523028</v>
      </c>
      <c r="CC45" s="59">
        <f t="shared" si="11"/>
        <v>528.81743128856363</v>
      </c>
      <c r="CD45" s="59">
        <f ca="1">AVERAGE(OFFSET($CC$3,0,0,'Données projet'!$E$12+1,1))-AVERAGE(OFFSET($H$3,0,0,'Données projet'!$E$12+1,1))</f>
        <v>246.66630850723385</v>
      </c>
      <c r="CE45" s="59">
        <f t="shared" si="40"/>
        <v>145.34368562171613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11.142857142857142</v>
      </c>
      <c r="CT45" s="12">
        <f>IF('Données projet'!$A$140&gt;35,CT44+CS45-DB44,IF(A45&lt;'Données projet'!$A$140,$CQ$205^A45,IF(A45='Données projet'!$A$140,'Données projet'!$B$140,CT44+CS45-DB44)))</f>
        <v>207.71428571428567</v>
      </c>
      <c r="CU45" s="17">
        <f>CT45*VLOOKUP('Données projet'!$B$13,Paramètres!$A$1:$I$89,3,0)*VLOOKUP('Données projet'!$B$13,Paramètres!$A$1:$I$89,5,0)</f>
        <v>162.01714285714283</v>
      </c>
      <c r="CV45" s="13">
        <f t="shared" si="41"/>
        <v>41.297155335096676</v>
      </c>
      <c r="CW45" s="20">
        <f t="shared" si="13"/>
        <v>354.10573601815048</v>
      </c>
      <c r="CX45" s="59">
        <f t="shared" si="14"/>
        <v>647.43906935148379</v>
      </c>
      <c r="CY45" s="59">
        <f ca="1">AVERAGE(OFFSET($CX$3,0,0,'Données projet'!$E$13+1,1))-AVERAGE(OFFSET($H$3,0,0,'Données projet'!$E$13+1,1))</f>
        <v>292.57482726862594</v>
      </c>
      <c r="CZ45" s="59">
        <f t="shared" si="42"/>
        <v>283.48738729114024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8.4</v>
      </c>
      <c r="DO45" s="12">
        <f>IF('Données projet'!$A$166&gt;35,DO44+DN45-DW44,IF(A45&lt;'Données projet'!$A$166,$DL$205^A45,IF(A45='Données projet'!$A$166,'Données projet'!$B$166,DO44+DN45-DW44)))</f>
        <v>132.80000000000004</v>
      </c>
      <c r="DP45" s="17">
        <f>DO45*VLOOKUP('Données projet'!$B$14,Paramètres!$A$1:$I$89,3,0)*VLOOKUP('Données projet'!$B$14,Paramètres!$A$1:$I$89,5,0)</f>
        <v>134.65920000000006</v>
      </c>
      <c r="DQ45" s="13">
        <f t="shared" si="43"/>
        <v>35.07074737441733</v>
      </c>
      <c r="DR45" s="20">
        <f t="shared" si="16"/>
        <v>295.61299167711024</v>
      </c>
      <c r="DS45" s="59">
        <f t="shared" si="17"/>
        <v>588.94632501044362</v>
      </c>
      <c r="DT45" s="59">
        <f ca="1">AVERAGE(OFFSET($DS$3,0,0,'Données projet'!$E$14+1,1))-AVERAGE(OFFSET($H$3,0,0,'Données projet'!$E$14+1,1))</f>
        <v>475.47920969424894</v>
      </c>
      <c r="DU45" s="59">
        <f t="shared" si="44"/>
        <v>271.73544012419364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8.4</v>
      </c>
      <c r="EJ45" s="12">
        <f>IF('Données projet'!$A$192&gt;35,EJ44+EI45-ER44,IF(A45&lt;'Données projet'!$A$192,$EG$205^A45,IF(A45='Données projet'!$A$192,'Données projet'!$B$192,EJ44+EI45-ER44)))</f>
        <v>132.80000000000004</v>
      </c>
      <c r="EK45" s="17">
        <f>EJ45*VLOOKUP('Données projet'!$B$15,Paramètres!$A$1:$I$89,3,0)*VLOOKUP('Données projet'!$B$15,Paramètres!$A$1:$I$89,5,0)</f>
        <v>120.15744000000002</v>
      </c>
      <c r="EL45" s="13">
        <f t="shared" si="45"/>
        <v>31.711716786129845</v>
      </c>
      <c r="EM45" s="20">
        <f t="shared" si="19"/>
        <v>264.50544806917623</v>
      </c>
      <c r="EN45" s="59">
        <f t="shared" si="20"/>
        <v>557.83878140250954</v>
      </c>
      <c r="EO45" s="59">
        <f ca="1">AVERAGE(OFFSET($EN$3,0,0,'Données projet'!$E$15+1,1))-AVERAGE(OFFSET($H$3,0,0,'Données projet'!$E$15+1,1))</f>
        <v>428.8489304403459</v>
      </c>
      <c r="EP45" s="59">
        <f t="shared" si="46"/>
        <v>247.01165577562966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3.8</v>
      </c>
      <c r="FE45" s="12">
        <f>IF('Données projet'!$A$218&gt;35,FE44+FD45-FM44,IF(A45&lt;'Données projet'!$A$218,$FB$205^A45,IF(A45='Données projet'!$A$218,'Données projet'!$B$218,FE44+FD45-FM44)))</f>
        <v>186.59999999999997</v>
      </c>
      <c r="FF45" s="17">
        <f>FE45*VLOOKUP('Données projet'!$B$16,Paramètres!$A$1:$I$89,3,0)*VLOOKUP('Données projet'!$B$16,Paramètres!$A$1:$I$89,5,0)</f>
        <v>168.83567999999994</v>
      </c>
      <c r="FG45" s="13">
        <f t="shared" si="47"/>
        <v>42.829150426593394</v>
      </c>
      <c r="FH45" s="20">
        <f t="shared" si="22"/>
        <v>368.64957965965004</v>
      </c>
      <c r="FI45" s="59">
        <f t="shared" si="23"/>
        <v>661.9829129929833</v>
      </c>
      <c r="FJ45" s="59">
        <f ca="1">AVERAGE(OFFSET($FI$3,0,0,'Données projet'!$E$16+1,1))-AVERAGE(OFFSET($H$3,0,0,'Données projet'!$E$16+1,1))</f>
        <v>245.25496369542458</v>
      </c>
      <c r="FK45" s="59">
        <f t="shared" si="48"/>
        <v>342.30266518164211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 t="e">
        <f>N46*VLOOKUP('Données projet'!$B$9,Paramètres!$A$1:$I$89,3,0)*VLOOKUP('Données projet'!$B$9,Paramètres!$A$1:$I$89,5,0)</f>
        <v>#N/A</v>
      </c>
      <c r="P46" s="13" t="e">
        <f t="shared" si="33"/>
        <v>#N/A</v>
      </c>
      <c r="Q46" s="20" t="e">
        <f t="shared" si="53"/>
        <v>#N/A</v>
      </c>
      <c r="R46" s="59" t="e">
        <f t="shared" si="0"/>
        <v>#N/A</v>
      </c>
      <c r="S46" s="59" t="e">
        <f ca="1">AVERAGE(OFFSET($R$3,0,0,'Données projet'!$E$9+1,1))-AVERAGE(OFFSET($H$3,0,0,'Données projet'!$E$9+1,1))</f>
        <v>#N/A</v>
      </c>
      <c r="T46" s="59" t="e">
        <f t="shared" si="34"/>
        <v>#N/A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 t="e">
        <f>EXP(-LN(2)/35)*Z45+(1-EXP(-LN(2)/35))/(LN(2)/35)*V46*W46*VLOOKUP('Données projet'!$B$9,Paramètres!$A$1:$I$89,3,0)*0.475*44/12</f>
        <v>#N/A</v>
      </c>
      <c r="AA46" s="21" t="e">
        <f>EXP(-LN(2)/25)*AA45+(1-EXP(-LN(2)/25))/(LN(2)/25)*Calculateur!V46*Calculateur!X46*VLOOKUP('Données projet'!$B$9,Paramètres!$A$1:$I$89,3,0)*0.475*44/12</f>
        <v>#N/A</v>
      </c>
      <c r="AB46" s="21" t="e">
        <f>EXP(-LN(2)/2)*AB45+(1-EXP(-LN(2)/2))/(LN(2)/2)*V46*Y46*VLOOKUP('Données projet'!$B$9,Paramètres!$A$1:$I$89,3,0)*0.475*44/12</f>
        <v>#N/A</v>
      </c>
      <c r="AC46" s="22" t="e">
        <f t="shared" si="3"/>
        <v>#N/A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8.1999999999999993</v>
      </c>
      <c r="AI46" s="13">
        <f>IF('Données projet'!$A$62&gt;35,AI45+AH46-AQ45,IF(A46&lt;'Données projet'!$A$62,$AF$205^A46,IF(A46='Données projet'!$A$62,'Données projet'!$B$62,AI45+AH46-AQ45)))</f>
        <v>188.59999999999985</v>
      </c>
      <c r="AJ46" s="13">
        <f>AI46*VLOOKUP('Données projet'!$B$10,Paramètres!$A$1:$I$89,3,0)*VLOOKUP('Données projet'!$B$10,Paramètres!$A$1:$I$89,5,0)</f>
        <v>164.7609599999999</v>
      </c>
      <c r="AK46" s="13">
        <f t="shared" si="35"/>
        <v>41.91452380971991</v>
      </c>
      <c r="AL46" s="20">
        <f t="shared" si="4"/>
        <v>359.95980096859535</v>
      </c>
      <c r="AM46" s="59">
        <f t="shared" si="5"/>
        <v>653.2931343019286</v>
      </c>
      <c r="AN46" s="59">
        <f ca="1">AVERAGE(OFFSET($AM$3,0,0,'Données projet'!$E$10+1,1))-AVERAGE(OFFSET($H$3,0,0,'Données projet'!$E$10+1,1))</f>
        <v>338.55719679154777</v>
      </c>
      <c r="AO46" s="59">
        <f t="shared" si="36"/>
        <v>371.26234252426531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5.6410256410256405</v>
      </c>
      <c r="BD46" s="12">
        <f>IF('Données projet'!$A$88&gt;35,BD45+BC46-BL45,IF(A46&lt;'Données projet'!$A$88,$BA$205^A46,IF(A46='Données projet'!$A$88,'Données projet'!$B$88,BD45+BC46-BL45)))</f>
        <v>148.97435897435898</v>
      </c>
      <c r="BE46" s="13">
        <f>BD46*VLOOKUP('Données projet'!$B$11,Paramètres!$A$1:$I$89,3,0)*VLOOKUP('Données projet'!$B$11,Paramètres!$A$1:$I$89,5,0)</f>
        <v>141.76400000000001</v>
      </c>
      <c r="BF46" s="13">
        <f t="shared" si="37"/>
        <v>36.700818164211768</v>
      </c>
      <c r="BG46" s="20">
        <f t="shared" si="7"/>
        <v>310.8262249693355</v>
      </c>
      <c r="BH46" s="59">
        <f t="shared" si="8"/>
        <v>604.15955830266876</v>
      </c>
      <c r="BI46" s="59">
        <f ca="1">AVERAGE(OFFSET($BH$3,0,0,'Données projet'!$E$11+1,1))-AVERAGE(OFFSET($H$3,0,0,'Données projet'!$E$11+1,1))</f>
        <v>351.6178679548006</v>
      </c>
      <c r="BJ46" s="59">
        <f t="shared" si="38"/>
        <v>244.7141066773861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10.402930402930403</v>
      </c>
      <c r="BY46" s="12">
        <f>IF('Données projet'!$A$114&gt;35,BY45+BX46-CG45,IF(A46&lt;'Données projet'!$A$114,$BV$205^A46,IF(A46='Données projet'!$A$114,'Données projet'!$B$114,BY45+BX46-CG45)))</f>
        <v>238.31501831501825</v>
      </c>
      <c r="BZ46" s="13">
        <f>BY46*VLOOKUP('Données projet'!$B$12,Paramètres!$A$1:$I$89,3,0)*VLOOKUP('Données projet'!$B$12,Paramètres!$A$1:$I$89,5,0)</f>
        <v>111.53142857142855</v>
      </c>
      <c r="CA46" s="13">
        <f t="shared" si="39"/>
        <v>29.691510235320177</v>
      </c>
      <c r="CB46" s="20">
        <f t="shared" si="10"/>
        <v>245.96328508842066</v>
      </c>
      <c r="CC46" s="59">
        <f t="shared" si="11"/>
        <v>539.29661842175392</v>
      </c>
      <c r="CD46" s="59">
        <f ca="1">AVERAGE(OFFSET($CC$3,0,0,'Données projet'!$E$12+1,1))-AVERAGE(OFFSET($H$3,0,0,'Données projet'!$E$12+1,1))</f>
        <v>246.66630850723385</v>
      </c>
      <c r="CE46" s="59">
        <f t="shared" si="40"/>
        <v>145.34368562171613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11.142857142857142</v>
      </c>
      <c r="CT46" s="12">
        <f>IF('Données projet'!$A$140&gt;35,CT45+CS46-DB45,IF(A46&lt;'Données projet'!$A$140,$CQ$205^A46,IF(A46='Données projet'!$A$140,'Données projet'!$B$140,CT45+CS46-DB45)))</f>
        <v>218.8571428571428</v>
      </c>
      <c r="CU46" s="17">
        <f>CT46*VLOOKUP('Données projet'!$B$13,Paramètres!$A$1:$I$89,3,0)*VLOOKUP('Données projet'!$B$13,Paramètres!$A$1:$I$89,5,0)</f>
        <v>170.70857142857139</v>
      </c>
      <c r="CV46" s="13">
        <f t="shared" si="41"/>
        <v>43.248681576985412</v>
      </c>
      <c r="CW46" s="20">
        <f t="shared" si="13"/>
        <v>372.64221565134471</v>
      </c>
      <c r="CX46" s="59">
        <f t="shared" si="14"/>
        <v>665.97554898467797</v>
      </c>
      <c r="CY46" s="59">
        <f ca="1">AVERAGE(OFFSET($CX$3,0,0,'Données projet'!$E$13+1,1))-AVERAGE(OFFSET($H$3,0,0,'Données projet'!$E$13+1,1))</f>
        <v>292.57482726862594</v>
      </c>
      <c r="CZ46" s="59">
        <f t="shared" si="42"/>
        <v>283.48738729114024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8.4</v>
      </c>
      <c r="DO46" s="12">
        <f>IF('Données projet'!$A$166&gt;35,DO45+DN46-DW45,IF(A46&lt;'Données projet'!$A$166,$DL$205^A46,IF(A46='Données projet'!$A$166,'Données projet'!$B$166,DO45+DN46-DW45)))</f>
        <v>141.20000000000005</v>
      </c>
      <c r="DP46" s="17">
        <f>DO46*VLOOKUP('Données projet'!$B$14,Paramètres!$A$1:$I$89,3,0)*VLOOKUP('Données projet'!$B$14,Paramètres!$A$1:$I$89,5,0)</f>
        <v>143.17680000000004</v>
      </c>
      <c r="DQ46" s="13">
        <f t="shared" si="43"/>
        <v>37.023812674521515</v>
      </c>
      <c r="DR46" s="20">
        <f t="shared" si="16"/>
        <v>313.84940040812506</v>
      </c>
      <c r="DS46" s="59">
        <f t="shared" si="17"/>
        <v>607.18273374145838</v>
      </c>
      <c r="DT46" s="59">
        <f ca="1">AVERAGE(OFFSET($DS$3,0,0,'Données projet'!$E$14+1,1))-AVERAGE(OFFSET($H$3,0,0,'Données projet'!$E$14+1,1))</f>
        <v>475.47920969424894</v>
      </c>
      <c r="DU46" s="59">
        <f t="shared" si="44"/>
        <v>271.73544012419364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8.4</v>
      </c>
      <c r="EJ46" s="12">
        <f>IF('Données projet'!$A$192&gt;35,EJ45+EI46-ER45,IF(A46&lt;'Données projet'!$A$192,$EG$205^A46,IF(A46='Données projet'!$A$192,'Données projet'!$B$192,EJ45+EI46-ER45)))</f>
        <v>141.20000000000005</v>
      </c>
      <c r="EK46" s="17">
        <f>EJ46*VLOOKUP('Données projet'!$B$15,Paramètres!$A$1:$I$89,3,0)*VLOOKUP('Données projet'!$B$15,Paramètres!$A$1:$I$89,5,0)</f>
        <v>127.75776000000003</v>
      </c>
      <c r="EL46" s="13">
        <f t="shared" si="45"/>
        <v>33.477720030956604</v>
      </c>
      <c r="EM46" s="20">
        <f t="shared" si="19"/>
        <v>280.81846105391611</v>
      </c>
      <c r="EN46" s="59">
        <f t="shared" si="20"/>
        <v>574.15179438724942</v>
      </c>
      <c r="EO46" s="59">
        <f ca="1">AVERAGE(OFFSET($EN$3,0,0,'Données projet'!$E$15+1,1))-AVERAGE(OFFSET($H$3,0,0,'Données projet'!$E$15+1,1))</f>
        <v>428.8489304403459</v>
      </c>
      <c r="EP46" s="59">
        <f t="shared" si="46"/>
        <v>247.01165577562966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3.8</v>
      </c>
      <c r="FE46" s="12">
        <f>IF('Données projet'!$A$218&gt;35,FE45+FD46-FM45,IF(A46&lt;'Données projet'!$A$218,$FB$205^A46,IF(A46='Données projet'!$A$218,'Données projet'!$B$218,FE45+FD46-FM45)))</f>
        <v>190.39999999999998</v>
      </c>
      <c r="FF46" s="17">
        <f>FE46*VLOOKUP('Données projet'!$B$16,Paramètres!$A$1:$I$89,3,0)*VLOOKUP('Données projet'!$B$16,Paramètres!$A$1:$I$89,5,0)</f>
        <v>172.27391999999998</v>
      </c>
      <c r="FG46" s="13">
        <f t="shared" si="47"/>
        <v>43.598911513699605</v>
      </c>
      <c r="FH46" s="20">
        <f t="shared" si="22"/>
        <v>375.97851488636002</v>
      </c>
      <c r="FI46" s="59">
        <f t="shared" si="23"/>
        <v>669.31184821969327</v>
      </c>
      <c r="FJ46" s="59">
        <f ca="1">AVERAGE(OFFSET($FI$3,0,0,'Données projet'!$E$16+1,1))-AVERAGE(OFFSET($H$3,0,0,'Données projet'!$E$16+1,1))</f>
        <v>245.25496369542458</v>
      </c>
      <c r="FK46" s="59">
        <f t="shared" si="48"/>
        <v>342.30266518164211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 t="e">
        <f>N47*VLOOKUP('Données projet'!$B$9,Paramètres!$A$1:$I$89,3,0)*VLOOKUP('Données projet'!$B$9,Paramètres!$A$1:$I$89,5,0)</f>
        <v>#N/A</v>
      </c>
      <c r="P47" s="13" t="e">
        <f t="shared" si="33"/>
        <v>#N/A</v>
      </c>
      <c r="Q47" s="20" t="e">
        <f t="shared" si="53"/>
        <v>#N/A</v>
      </c>
      <c r="R47" s="59" t="e">
        <f t="shared" si="0"/>
        <v>#N/A</v>
      </c>
      <c r="S47" s="59" t="e">
        <f ca="1">AVERAGE(OFFSET($R$3,0,0,'Données projet'!$E$9+1,1))-AVERAGE(OFFSET($H$3,0,0,'Données projet'!$E$9+1,1))</f>
        <v>#N/A</v>
      </c>
      <c r="T47" s="59" t="e">
        <f t="shared" si="34"/>
        <v>#N/A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 t="e">
        <f>EXP(-LN(2)/35)*Z46+(1-EXP(-LN(2)/35))/(LN(2)/35)*V47*W47*VLOOKUP('Données projet'!$B$9,Paramètres!$A$1:$I$89,3,0)*0.475*44/12</f>
        <v>#N/A</v>
      </c>
      <c r="AA47" s="21" t="e">
        <f>EXP(-LN(2)/25)*AA46+(1-EXP(-LN(2)/25))/(LN(2)/25)*Calculateur!V47*Calculateur!X47*VLOOKUP('Données projet'!$B$9,Paramètres!$A$1:$I$89,3,0)*0.475*44/12</f>
        <v>#N/A</v>
      </c>
      <c r="AB47" s="21" t="e">
        <f>EXP(-LN(2)/2)*AB46+(1-EXP(-LN(2)/2))/(LN(2)/2)*V47*Y47*VLOOKUP('Données projet'!$B$9,Paramètres!$A$1:$I$89,3,0)*0.475*44/12</f>
        <v>#N/A</v>
      </c>
      <c r="AC47" s="22" t="e">
        <f t="shared" si="3"/>
        <v>#N/A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8.1999999999999993</v>
      </c>
      <c r="AI47" s="13">
        <f>IF('Données projet'!$A$62&gt;35,AI46+AH47-AQ46,IF(A47&lt;'Données projet'!$A$62,$AF$205^A47,IF(A47='Données projet'!$A$62,'Données projet'!$B$62,AI46+AH47-AQ46)))</f>
        <v>196.79999999999984</v>
      </c>
      <c r="AJ47" s="13">
        <f>AI47*VLOOKUP('Données projet'!$B$10,Paramètres!$A$1:$I$89,3,0)*VLOOKUP('Données projet'!$B$10,Paramètres!$A$1:$I$89,5,0)</f>
        <v>171.9244799999999</v>
      </c>
      <c r="AK47" s="13">
        <f t="shared" si="35"/>
        <v>43.520760297647712</v>
      </c>
      <c r="AL47" s="20">
        <f t="shared" si="4"/>
        <v>375.23379351840293</v>
      </c>
      <c r="AM47" s="59">
        <f t="shared" si="5"/>
        <v>668.56712685173625</v>
      </c>
      <c r="AN47" s="59">
        <f ca="1">AVERAGE(OFFSET($AM$3,0,0,'Données projet'!$E$10+1,1))-AVERAGE(OFFSET($H$3,0,0,'Données projet'!$E$10+1,1))</f>
        <v>338.55719679154777</v>
      </c>
      <c r="AO47" s="59">
        <f t="shared" si="36"/>
        <v>371.26234252426531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5.6410256410256405</v>
      </c>
      <c r="BD47" s="12">
        <f>IF('Données projet'!$A$88&gt;35,BD46+BC47-BL46,IF(A47&lt;'Données projet'!$A$88,$BA$205^A47,IF(A47='Données projet'!$A$88,'Données projet'!$B$88,BD46+BC47-BL46)))</f>
        <v>154.61538461538461</v>
      </c>
      <c r="BE47" s="13">
        <f>BD47*VLOOKUP('Données projet'!$B$11,Paramètres!$A$1:$I$89,3,0)*VLOOKUP('Données projet'!$B$11,Paramètres!$A$1:$I$89,5,0)</f>
        <v>147.13200000000001</v>
      </c>
      <c r="BF47" s="13">
        <f t="shared" si="37"/>
        <v>37.926091844382093</v>
      </c>
      <c r="BG47" s="20">
        <f t="shared" si="7"/>
        <v>322.30950996229876</v>
      </c>
      <c r="BH47" s="59">
        <f t="shared" si="8"/>
        <v>615.64284329563202</v>
      </c>
      <c r="BI47" s="59">
        <f ca="1">AVERAGE(OFFSET($BH$3,0,0,'Données projet'!$E$11+1,1))-AVERAGE(OFFSET($H$3,0,0,'Données projet'!$E$11+1,1))</f>
        <v>351.6178679548006</v>
      </c>
      <c r="BJ47" s="59">
        <f t="shared" si="38"/>
        <v>244.7141066773861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10.402930402930403</v>
      </c>
      <c r="BY47" s="12">
        <f>IF('Données projet'!$A$114&gt;35,BY46+BX47-CG46,IF(A47&lt;'Données projet'!$A$114,$BV$205^A47,IF(A47='Données projet'!$A$114,'Données projet'!$B$114,BY46+BX47-CG46)))</f>
        <v>248.71794871794864</v>
      </c>
      <c r="BZ47" s="13">
        <f>BY47*VLOOKUP('Données projet'!$B$12,Paramètres!$A$1:$I$89,3,0)*VLOOKUP('Données projet'!$B$12,Paramètres!$A$1:$I$89,5,0)</f>
        <v>116.39999999999996</v>
      </c>
      <c r="CA47" s="13">
        <f t="shared" si="39"/>
        <v>30.833875768540434</v>
      </c>
      <c r="CB47" s="20">
        <f t="shared" si="10"/>
        <v>256.43233363020784</v>
      </c>
      <c r="CC47" s="59">
        <f t="shared" si="11"/>
        <v>549.76566696354121</v>
      </c>
      <c r="CD47" s="59">
        <f ca="1">AVERAGE(OFFSET($CC$3,0,0,'Données projet'!$E$12+1,1))-AVERAGE(OFFSET($H$3,0,0,'Données projet'!$E$12+1,1))</f>
        <v>246.66630850723385</v>
      </c>
      <c r="CE47" s="59">
        <f t="shared" si="40"/>
        <v>145.34368562171613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230</v>
      </c>
      <c r="CR47" s="12">
        <f>VLOOKUP(A47,'Données projet'!$A$139:$I$159,9,0)</f>
        <v>11.142857142857142</v>
      </c>
      <c r="CS47" s="12">
        <f t="array" ref="CS47">INDEX(CR:CR,MIN(IF(ISNUMBER(CR47:CR243),ROW(CR47:CR243),"")))</f>
        <v>11.142857142857142</v>
      </c>
      <c r="CT47" s="12">
        <f>IF('Données projet'!$A$140&gt;35,CT46+CS47-DB46,IF(A47&lt;'Données projet'!$A$140,$CQ$205^A47,IF(A47='Données projet'!$A$140,'Données projet'!$B$140,CT46+CS47-DB46)))</f>
        <v>229.99999999999994</v>
      </c>
      <c r="CU47" s="17">
        <f>CT47*VLOOKUP('Données projet'!$B$13,Paramètres!$A$1:$I$89,3,0)*VLOOKUP('Données projet'!$B$13,Paramètres!$A$1:$I$89,5,0)</f>
        <v>179.39999999999995</v>
      </c>
      <c r="CV47" s="13">
        <f t="shared" si="41"/>
        <v>45.188671291872232</v>
      </c>
      <c r="CW47" s="20">
        <f t="shared" si="13"/>
        <v>391.15860250001066</v>
      </c>
      <c r="CX47" s="59">
        <f t="shared" si="14"/>
        <v>684.49193583334397</v>
      </c>
      <c r="CY47" s="59">
        <f ca="1">AVERAGE(OFFSET($CX$3,0,0,'Données projet'!$E$13+1,1))-AVERAGE(OFFSET($H$3,0,0,'Données projet'!$E$13+1,1))</f>
        <v>292.57482726862594</v>
      </c>
      <c r="CZ47" s="59">
        <f t="shared" si="42"/>
        <v>283.48738729114024</v>
      </c>
      <c r="DA47" s="15">
        <f>IF(ISNA(VLOOKUP(A47,'Données projet'!$A$139:$I$159,3,0)),0,VLOOKUP(A47,'Données projet'!$A$139:$I$159,3,0))</f>
        <v>4</v>
      </c>
      <c r="DB47" s="15">
        <f>IF(ISNA(VLOOKUP(A47,'Données projet'!$A$139:$I$159,4,0)),0,VLOOKUP(A47,'Données projet'!$A$139:$I$159,4,0))</f>
        <v>43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8.4</v>
      </c>
      <c r="DO47" s="12">
        <f>IF('Données projet'!$A$166&gt;35,DO46+DN47-DW46,IF(A47&lt;'Données projet'!$A$166,$DL$205^A47,IF(A47='Données projet'!$A$166,'Données projet'!$B$166,DO46+DN47-DW46)))</f>
        <v>149.60000000000005</v>
      </c>
      <c r="DP47" s="17">
        <f>DO47*VLOOKUP('Données projet'!$B$14,Paramètres!$A$1:$I$89,3,0)*VLOOKUP('Données projet'!$B$14,Paramètres!$A$1:$I$89,5,0)</f>
        <v>151.69440000000006</v>
      </c>
      <c r="DQ47" s="13">
        <f t="shared" si="43"/>
        <v>38.963392010880654</v>
      </c>
      <c r="DR47" s="20">
        <f t="shared" si="16"/>
        <v>332.06232108561721</v>
      </c>
      <c r="DS47" s="59">
        <f t="shared" si="17"/>
        <v>625.39565441895047</v>
      </c>
      <c r="DT47" s="59">
        <f ca="1">AVERAGE(OFFSET($DS$3,0,0,'Données projet'!$E$14+1,1))-AVERAGE(OFFSET($H$3,0,0,'Données projet'!$E$14+1,1))</f>
        <v>475.47920969424894</v>
      </c>
      <c r="DU47" s="59">
        <f t="shared" si="44"/>
        <v>271.73544012419364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8.4</v>
      </c>
      <c r="EJ47" s="12">
        <f>IF('Données projet'!$A$192&gt;35,EJ46+EI47-ER46,IF(A47&lt;'Données projet'!$A$192,$EG$205^A47,IF(A47='Données projet'!$A$192,'Données projet'!$B$192,EJ46+EI47-ER46)))</f>
        <v>149.60000000000005</v>
      </c>
      <c r="EK47" s="17">
        <f>EJ47*VLOOKUP('Données projet'!$B$15,Paramètres!$A$1:$I$89,3,0)*VLOOKUP('Données projet'!$B$15,Paramètres!$A$1:$I$89,5,0)</f>
        <v>135.35808000000006</v>
      </c>
      <c r="EL47" s="13">
        <f t="shared" si="45"/>
        <v>35.231528980112834</v>
      </c>
      <c r="EM47" s="20">
        <f t="shared" si="19"/>
        <v>297.11023564036327</v>
      </c>
      <c r="EN47" s="59">
        <f t="shared" si="20"/>
        <v>590.44356897369653</v>
      </c>
      <c r="EO47" s="59">
        <f ca="1">AVERAGE(OFFSET($EN$3,0,0,'Données projet'!$E$15+1,1))-AVERAGE(OFFSET($H$3,0,0,'Données projet'!$E$15+1,1))</f>
        <v>428.8489304403459</v>
      </c>
      <c r="EP47" s="59">
        <f t="shared" si="46"/>
        <v>247.01165577562966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3.8</v>
      </c>
      <c r="FE47" s="12">
        <f>IF('Données projet'!$A$218&gt;35,FE46+FD47-FM46,IF(A47&lt;'Données projet'!$A$218,$FB$205^A47,IF(A47='Données projet'!$A$218,'Données projet'!$B$218,FE46+FD47-FM46)))</f>
        <v>194.2</v>
      </c>
      <c r="FF47" s="17">
        <f>FE47*VLOOKUP('Données projet'!$B$16,Paramètres!$A$1:$I$89,3,0)*VLOOKUP('Données projet'!$B$16,Paramètres!$A$1:$I$89,5,0)</f>
        <v>175.71215999999998</v>
      </c>
      <c r="FG47" s="13">
        <f t="shared" si="47"/>
        <v>44.366886311884528</v>
      </c>
      <c r="FH47" s="20">
        <f t="shared" si="22"/>
        <v>383.30433899319883</v>
      </c>
      <c r="FI47" s="59">
        <f t="shared" si="23"/>
        <v>676.63767232653208</v>
      </c>
      <c r="FJ47" s="59">
        <f ca="1">AVERAGE(OFFSET($FI$3,0,0,'Données projet'!$E$16+1,1))-AVERAGE(OFFSET($H$3,0,0,'Données projet'!$E$16+1,1))</f>
        <v>245.25496369542458</v>
      </c>
      <c r="FK47" s="59">
        <f t="shared" si="48"/>
        <v>342.30266518164211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 t="e">
        <f>N48*VLOOKUP('Données projet'!$B$9,Paramètres!$A$1:$I$89,3,0)*VLOOKUP('Données projet'!$B$9,Paramètres!$A$1:$I$89,5,0)</f>
        <v>#N/A</v>
      </c>
      <c r="P48" s="13" t="e">
        <f t="shared" si="33"/>
        <v>#N/A</v>
      </c>
      <c r="Q48" s="20" t="e">
        <f t="shared" si="53"/>
        <v>#N/A</v>
      </c>
      <c r="R48" s="59" t="e">
        <f t="shared" si="0"/>
        <v>#N/A</v>
      </c>
      <c r="S48" s="59" t="e">
        <f ca="1">AVERAGE(OFFSET($R$3,0,0,'Données projet'!$E$9+1,1))-AVERAGE(OFFSET($H$3,0,0,'Données projet'!$E$9+1,1))</f>
        <v>#N/A</v>
      </c>
      <c r="T48" s="59" t="e">
        <f t="shared" si="34"/>
        <v>#N/A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 t="e">
        <f>EXP(-LN(2)/35)*Z47+(1-EXP(-LN(2)/35))/(LN(2)/35)*V48*W48*VLOOKUP('Données projet'!$B$9,Paramètres!$A$1:$I$89,3,0)*0.475*44/12</f>
        <v>#N/A</v>
      </c>
      <c r="AA48" s="21" t="e">
        <f>EXP(-LN(2)/25)*AA47+(1-EXP(-LN(2)/25))/(LN(2)/25)*Calculateur!V48*Calculateur!X48*VLOOKUP('Données projet'!$B$9,Paramètres!$A$1:$I$89,3,0)*0.475*44/12</f>
        <v>#N/A</v>
      </c>
      <c r="AB48" s="21" t="e">
        <f>EXP(-LN(2)/2)*AB47+(1-EXP(-LN(2)/2))/(LN(2)/2)*V48*Y48*VLOOKUP('Données projet'!$B$9,Paramètres!$A$1:$I$89,3,0)*0.475*44/12</f>
        <v>#N/A</v>
      </c>
      <c r="AC48" s="22" t="e">
        <f t="shared" si="3"/>
        <v>#N/A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205</v>
      </c>
      <c r="AG48" s="12">
        <f>VLOOKUP(A48,'Données projet'!$A$61:$I$81,9,0)</f>
        <v>8.1999999999999993</v>
      </c>
      <c r="AH48" s="12">
        <f t="array" ref="AH48">INDEX(AG:AG,MIN(IF(ISNUMBER(AG48:AG244),ROW(AG48:AG244),"")))</f>
        <v>8.1999999999999993</v>
      </c>
      <c r="AI48" s="13">
        <f>IF('Données projet'!$A$62&gt;35,AI47+AH48-AQ47,IF(A48&lt;'Données projet'!$A$62,$AF$205^A48,IF(A48='Données projet'!$A$62,'Données projet'!$B$62,AI47+AH48-AQ47)))</f>
        <v>204.99999999999983</v>
      </c>
      <c r="AJ48" s="13">
        <f>AI48*VLOOKUP('Données projet'!$B$10,Paramètres!$A$1:$I$89,3,0)*VLOOKUP('Données projet'!$B$10,Paramètres!$A$1:$I$89,5,0)</f>
        <v>179.08799999999988</v>
      </c>
      <c r="AK48" s="13">
        <f t="shared" si="35"/>
        <v>45.119223023956792</v>
      </c>
      <c r="AL48" s="20">
        <f t="shared" si="4"/>
        <v>390.49424676672447</v>
      </c>
      <c r="AM48" s="59">
        <f t="shared" si="5"/>
        <v>683.82758010005773</v>
      </c>
      <c r="AN48" s="59">
        <f ca="1">AVERAGE(OFFSET($AM$3,0,0,'Données projet'!$E$10+1,1))-AVERAGE(OFFSET($H$3,0,0,'Données projet'!$E$10+1,1))</f>
        <v>338.55719679154777</v>
      </c>
      <c r="AO48" s="59">
        <f t="shared" si="36"/>
        <v>371.26234252426531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160.25641025641025</v>
      </c>
      <c r="BB48" s="12">
        <f>VLOOKUP(A48,'Données projet'!$A$87:$I$107,9,0)</f>
        <v>5.6410256410256405</v>
      </c>
      <c r="BC48" s="12">
        <f t="array" ref="BC48">INDEX(BB:BB,MIN(IF(ISNUMBER(BB48:BB244),ROW(BB48:BB244),"")))</f>
        <v>5.6410256410256405</v>
      </c>
      <c r="BD48" s="12">
        <f>IF('Données projet'!$A$88&gt;35,BD47+BC48-BL47,IF(A48&lt;'Données projet'!$A$88,$BA$205^A48,IF(A48='Données projet'!$A$88,'Données projet'!$B$88,BD47+BC48-BL47)))</f>
        <v>160.25641025641025</v>
      </c>
      <c r="BE48" s="13">
        <f>BD48*VLOOKUP('Données projet'!$B$11,Paramètres!$A$1:$I$89,3,0)*VLOOKUP('Données projet'!$B$11,Paramètres!$A$1:$I$89,5,0)</f>
        <v>152.5</v>
      </c>
      <c r="BF48" s="13">
        <f t="shared" si="37"/>
        <v>39.146171889962673</v>
      </c>
      <c r="BG48" s="20">
        <f t="shared" si="7"/>
        <v>333.78374937501832</v>
      </c>
      <c r="BH48" s="59">
        <f t="shared" si="8"/>
        <v>627.11708270835163</v>
      </c>
      <c r="BI48" s="59">
        <f ca="1">AVERAGE(OFFSET($BH$3,0,0,'Données projet'!$E$11+1,1))-AVERAGE(OFFSET($H$3,0,0,'Données projet'!$E$11+1,1))</f>
        <v>351.6178679548006</v>
      </c>
      <c r="BJ48" s="59">
        <f t="shared" si="38"/>
        <v>244.7141066773861</v>
      </c>
      <c r="BK48" s="15">
        <f>IF(ISNA(VLOOKUP(A48,'Données projet'!$A$87:$I$107,3,0)),0,VLOOKUP(A48,'Données projet'!$A$87:$I$107,3,0))</f>
        <v>3</v>
      </c>
      <c r="BL48" s="15">
        <f>IF(ISNA(VLOOKUP(A48,'Données projet'!$A$87:$I$107,4,0)),0,VLOOKUP(A48,'Données projet'!$A$87:$I$107,4,0))</f>
        <v>28.205128205128204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10.402930402930403</v>
      </c>
      <c r="BY48" s="12">
        <f>IF('Données projet'!$A$114&gt;35,BY47+BX48-CG47,IF(A48&lt;'Données projet'!$A$114,$BV$205^A48,IF(A48='Données projet'!$A$114,'Données projet'!$B$114,BY47+BX48-CG47)))</f>
        <v>259.12087912087907</v>
      </c>
      <c r="BZ48" s="13">
        <f>BY48*VLOOKUP('Données projet'!$B$12,Paramètres!$A$1:$I$89,3,0)*VLOOKUP('Données projet'!$B$12,Paramètres!$A$1:$I$89,5,0)</f>
        <v>121.26857142857141</v>
      </c>
      <c r="CA48" s="13">
        <f t="shared" si="39"/>
        <v>31.970691421429557</v>
      </c>
      <c r="CB48" s="20">
        <f t="shared" si="10"/>
        <v>266.89171613041833</v>
      </c>
      <c r="CC48" s="59">
        <f t="shared" si="11"/>
        <v>560.2250494637517</v>
      </c>
      <c r="CD48" s="59">
        <f ca="1">AVERAGE(OFFSET($CC$3,0,0,'Données projet'!$E$12+1,1))-AVERAGE(OFFSET($H$3,0,0,'Données projet'!$E$12+1,1))</f>
        <v>246.66630850723385</v>
      </c>
      <c r="CE48" s="59">
        <f t="shared" si="40"/>
        <v>145.34368562171613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10.375</v>
      </c>
      <c r="CT48" s="12">
        <f>IF('Données projet'!$A$140&gt;35,CT47+CS48-DB47,IF(A48&lt;'Données projet'!$A$140,$CQ$205^A48,IF(A48='Données projet'!$A$140,'Données projet'!$B$140,CT47+CS48-DB47)))</f>
        <v>197.37499999999994</v>
      </c>
      <c r="CU48" s="17">
        <f>CT48*VLOOKUP('Données projet'!$B$13,Paramètres!$A$1:$I$89,3,0)*VLOOKUP('Données projet'!$B$13,Paramètres!$A$1:$I$89,5,0)</f>
        <v>153.95249999999996</v>
      </c>
      <c r="CV48" s="13">
        <f t="shared" si="41"/>
        <v>39.475441267837397</v>
      </c>
      <c r="CW48" s="20">
        <f t="shared" si="13"/>
        <v>336.88699770815003</v>
      </c>
      <c r="CX48" s="59">
        <f t="shared" si="14"/>
        <v>630.2203310414834</v>
      </c>
      <c r="CY48" s="59">
        <f ca="1">AVERAGE(OFFSET($CX$3,0,0,'Données projet'!$E$13+1,1))-AVERAGE(OFFSET($H$3,0,0,'Données projet'!$E$13+1,1))</f>
        <v>292.57482726862594</v>
      </c>
      <c r="CZ48" s="59">
        <f t="shared" si="42"/>
        <v>283.48738729114024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158</v>
      </c>
      <c r="DM48" s="12">
        <f>VLOOKUP(A48,'Données projet'!$A$165:$I$185,9,0)</f>
        <v>8.4</v>
      </c>
      <c r="DN48" s="12">
        <f t="array" ref="DN48">INDEX(DM:DM,MIN(IF(ISNUMBER(DM48:DM244),ROW(DM48:DM244),"")))</f>
        <v>8.4</v>
      </c>
      <c r="DO48" s="12">
        <f>IF('Données projet'!$A$166&gt;35,DO47+DN48-DW47,IF(A48&lt;'Données projet'!$A$166,$DL$205^A48,IF(A48='Données projet'!$A$166,'Données projet'!$B$166,DO47+DN48-DW47)))</f>
        <v>158.00000000000006</v>
      </c>
      <c r="DP48" s="17">
        <f>DO48*VLOOKUP('Données projet'!$B$14,Paramètres!$A$1:$I$89,3,0)*VLOOKUP('Données projet'!$B$14,Paramètres!$A$1:$I$89,5,0)</f>
        <v>160.21200000000007</v>
      </c>
      <c r="DQ48" s="13">
        <f t="shared" si="43"/>
        <v>40.890328912852731</v>
      </c>
      <c r="DR48" s="20">
        <f t="shared" si="16"/>
        <v>350.25322285655193</v>
      </c>
      <c r="DS48" s="59">
        <f t="shared" si="17"/>
        <v>643.58655618988519</v>
      </c>
      <c r="DT48" s="59">
        <f ca="1">AVERAGE(OFFSET($DS$3,0,0,'Données projet'!$E$14+1,1))-AVERAGE(OFFSET($H$3,0,0,'Données projet'!$E$14+1,1))</f>
        <v>475.47920969424894</v>
      </c>
      <c r="DU48" s="59">
        <f t="shared" si="44"/>
        <v>271.73544012419364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158</v>
      </c>
      <c r="EH48" s="12">
        <f>VLOOKUP(A48,'Données projet'!$A$191:$I$211,9,0)</f>
        <v>8.4</v>
      </c>
      <c r="EI48" s="12">
        <f t="array" ref="EI48">INDEX(EH:EH,MIN(IF(ISNUMBER(EH48:EH244),ROW(EH48:EH244),"")))</f>
        <v>8.4</v>
      </c>
      <c r="EJ48" s="12">
        <f>IF('Données projet'!$A$192&gt;35,EJ47+EI48-ER47,IF(A48&lt;'Données projet'!$A$192,$EG$205^A48,IF(A48='Données projet'!$A$192,'Données projet'!$B$192,EJ47+EI48-ER47)))</f>
        <v>158.00000000000006</v>
      </c>
      <c r="EK48" s="17">
        <f>EJ48*VLOOKUP('Données projet'!$B$15,Paramètres!$A$1:$I$89,3,0)*VLOOKUP('Données projet'!$B$15,Paramètres!$A$1:$I$89,5,0)</f>
        <v>142.95840000000004</v>
      </c>
      <c r="EL48" s="13">
        <f t="shared" si="45"/>
        <v>36.973906370811264</v>
      </c>
      <c r="EM48" s="20">
        <f t="shared" si="19"/>
        <v>313.38210026249641</v>
      </c>
      <c r="EN48" s="59">
        <f t="shared" si="20"/>
        <v>606.71543359582972</v>
      </c>
      <c r="EO48" s="59">
        <f ca="1">AVERAGE(OFFSET($EN$3,0,0,'Données projet'!$E$15+1,1))-AVERAGE(OFFSET($H$3,0,0,'Données projet'!$E$15+1,1))</f>
        <v>428.8489304403459</v>
      </c>
      <c r="EP48" s="59">
        <f t="shared" si="46"/>
        <v>247.01165577562966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198</v>
      </c>
      <c r="FC48" s="12">
        <f>VLOOKUP(A48,'Données projet'!$A$217:$I$237,9,0)</f>
        <v>3.8</v>
      </c>
      <c r="FD48" s="12">
        <f t="array" ref="FD48">INDEX(FC:FC,MIN(IF(ISNUMBER(FC48:FC244),ROW(FC48:FC244),"")))</f>
        <v>3.8</v>
      </c>
      <c r="FE48" s="12">
        <f>IF('Données projet'!$A$218&gt;35,FE47+FD48-FM47,IF(A48&lt;'Données projet'!$A$218,$FB$205^A48,IF(A48='Données projet'!$A$218,'Données projet'!$B$218,FE47+FD48-FM47)))</f>
        <v>198</v>
      </c>
      <c r="FF48" s="17">
        <f>FE48*VLOOKUP('Données projet'!$B$16,Paramètres!$A$1:$I$89,3,0)*VLOOKUP('Données projet'!$B$16,Paramètres!$A$1:$I$89,5,0)</f>
        <v>179.15039999999999</v>
      </c>
      <c r="FG48" s="13">
        <f t="shared" si="47"/>
        <v>45.133113803437304</v>
      </c>
      <c r="FH48" s="20">
        <f t="shared" si="22"/>
        <v>390.62711987431993</v>
      </c>
      <c r="FI48" s="59">
        <f t="shared" si="23"/>
        <v>683.96045320765325</v>
      </c>
      <c r="FJ48" s="59">
        <f ca="1">AVERAGE(OFFSET($FI$3,0,0,'Données projet'!$E$16+1,1))-AVERAGE(OFFSET($H$3,0,0,'Données projet'!$E$16+1,1))</f>
        <v>245.25496369542458</v>
      </c>
      <c r="FK48" s="59">
        <f t="shared" si="48"/>
        <v>342.30266518164211</v>
      </c>
      <c r="FL48" s="15">
        <f>IF(ISNA(VLOOKUP(A48,'Données projet'!$A$217:$I$237,3,0)),0,VLOOKUP(A48,'Données projet'!$A$217:$I$237,3,0))</f>
        <v>8</v>
      </c>
      <c r="FM48" s="15">
        <f>IF(ISNA(VLOOKUP(A48,'Données projet'!$A$217:$I$237,4,0)),0,VLOOKUP(A48,'Données projet'!$A$217:$I$237,4,0))</f>
        <v>198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 t="e">
        <f>N49*VLOOKUP('Données projet'!$B$9,Paramètres!$A$1:$I$89,3,0)*VLOOKUP('Données projet'!$B$9,Paramètres!$A$1:$I$89,5,0)</f>
        <v>#N/A</v>
      </c>
      <c r="P49" s="13" t="e">
        <f t="shared" si="33"/>
        <v>#N/A</v>
      </c>
      <c r="Q49" s="20" t="e">
        <f t="shared" si="53"/>
        <v>#N/A</v>
      </c>
      <c r="R49" s="59" t="e">
        <f t="shared" si="0"/>
        <v>#N/A</v>
      </c>
      <c r="S49" s="59" t="e">
        <f ca="1">AVERAGE(OFFSET($R$3,0,0,'Données projet'!$E$9+1,1))-AVERAGE(OFFSET($H$3,0,0,'Données projet'!$E$9+1,1))</f>
        <v>#N/A</v>
      </c>
      <c r="T49" s="59" t="e">
        <f t="shared" si="34"/>
        <v>#N/A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 t="e">
        <f>EXP(-LN(2)/35)*Z48+(1-EXP(-LN(2)/35))/(LN(2)/35)*V49*W49*VLOOKUP('Données projet'!$B$9,Paramètres!$A$1:$I$89,3,0)*0.475*44/12</f>
        <v>#N/A</v>
      </c>
      <c r="AA49" s="21" t="e">
        <f>EXP(-LN(2)/25)*AA48+(1-EXP(-LN(2)/25))/(LN(2)/25)*Calculateur!V49*Calculateur!X49*VLOOKUP('Données projet'!$B$9,Paramètres!$A$1:$I$89,3,0)*0.475*44/12</f>
        <v>#N/A</v>
      </c>
      <c r="AB49" s="21" t="e">
        <f>EXP(-LN(2)/2)*AB48+(1-EXP(-LN(2)/2))/(LN(2)/2)*V49*Y49*VLOOKUP('Données projet'!$B$9,Paramètres!$A$1:$I$89,3,0)*0.475*44/12</f>
        <v>#N/A</v>
      </c>
      <c r="AC49" s="22" t="e">
        <f t="shared" si="3"/>
        <v>#N/A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</v>
      </c>
      <c r="AI49" s="13">
        <f>IF('Données projet'!$A$62&gt;35,AI48+AH49-AQ48,IF(A49&lt;'Données projet'!$A$62,$AF$205^A49,IF(A49='Données projet'!$A$62,'Données projet'!$B$62,AI48+AH49-AQ48)))</f>
        <v>211.99999999999983</v>
      </c>
      <c r="AJ49" s="13">
        <f>AI49*VLOOKUP('Données projet'!$B$10,Paramètres!$A$1:$I$89,3,0)*VLOOKUP('Données projet'!$B$10,Paramètres!$A$1:$I$89,5,0)</f>
        <v>185.20319999999987</v>
      </c>
      <c r="AK49" s="13">
        <f t="shared" si="35"/>
        <v>46.477875402099386</v>
      </c>
      <c r="AL49" s="20">
        <f t="shared" si="4"/>
        <v>403.5112063253228</v>
      </c>
      <c r="AM49" s="59">
        <f t="shared" si="5"/>
        <v>696.84453965865612</v>
      </c>
      <c r="AN49" s="59">
        <f ca="1">AVERAGE(OFFSET($AM$3,0,0,'Données projet'!$E$10+1,1))-AVERAGE(OFFSET($H$3,0,0,'Données projet'!$E$10+1,1))</f>
        <v>338.55719679154777</v>
      </c>
      <c r="AO49" s="59">
        <f t="shared" si="36"/>
        <v>371.26234252426531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5.2564102564102537</v>
      </c>
      <c r="BD49" s="12">
        <f>IF('Données projet'!$A$88&gt;35,BD48+BC49-BL48,IF(A49&lt;'Données projet'!$A$88,$BA$205^A49,IF(A49='Données projet'!$A$88,'Données projet'!$B$88,BD48+BC49-BL48)))</f>
        <v>137.30769230769229</v>
      </c>
      <c r="BE49" s="13">
        <f>BD49*VLOOKUP('Données projet'!$B$11,Paramètres!$A$1:$I$89,3,0)*VLOOKUP('Données projet'!$B$11,Paramètres!$A$1:$I$89,5,0)</f>
        <v>130.66199999999998</v>
      </c>
      <c r="BF49" s="13">
        <f t="shared" si="37"/>
        <v>34.149282845527253</v>
      </c>
      <c r="BG49" s="20">
        <f t="shared" si="7"/>
        <v>287.04631762262659</v>
      </c>
      <c r="BH49" s="59">
        <f t="shared" si="8"/>
        <v>580.37965095595996</v>
      </c>
      <c r="BI49" s="59">
        <f ca="1">AVERAGE(OFFSET($BH$3,0,0,'Données projet'!$E$11+1,1))-AVERAGE(OFFSET($H$3,0,0,'Données projet'!$E$11+1,1))</f>
        <v>351.6178679548006</v>
      </c>
      <c r="BJ49" s="59">
        <f t="shared" si="38"/>
        <v>244.7141066773861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10.402930402930403</v>
      </c>
      <c r="BY49" s="12">
        <f>IF('Données projet'!$A$114&gt;35,BY48+BX49-CG48,IF(A49&lt;'Données projet'!$A$114,$BV$205^A49,IF(A49='Données projet'!$A$114,'Données projet'!$B$114,BY48+BX49-CG48)))</f>
        <v>269.52380952380946</v>
      </c>
      <c r="BZ49" s="13">
        <f>BY49*VLOOKUP('Données projet'!$B$12,Paramètres!$A$1:$I$89,3,0)*VLOOKUP('Données projet'!$B$12,Paramètres!$A$1:$I$89,5,0)</f>
        <v>126.13714285714282</v>
      </c>
      <c r="CA49" s="13">
        <f t="shared" si="39"/>
        <v>33.102205495977692</v>
      </c>
      <c r="CB49" s="20">
        <f t="shared" si="10"/>
        <v>277.34186504835151</v>
      </c>
      <c r="CC49" s="59">
        <f t="shared" si="11"/>
        <v>570.67519838168482</v>
      </c>
      <c r="CD49" s="59">
        <f ca="1">AVERAGE(OFFSET($CC$3,0,0,'Données projet'!$E$12+1,1))-AVERAGE(OFFSET($H$3,0,0,'Données projet'!$E$12+1,1))</f>
        <v>246.66630850723385</v>
      </c>
      <c r="CE49" s="59">
        <f t="shared" si="40"/>
        <v>145.34368562171613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10.375</v>
      </c>
      <c r="CT49" s="12">
        <f>IF('Données projet'!$A$140&gt;35,CT48+CS49-DB48,IF(A49&lt;'Données projet'!$A$140,$CQ$205^A49,IF(A49='Données projet'!$A$140,'Données projet'!$B$140,CT48+CS49-DB48)))</f>
        <v>207.74999999999994</v>
      </c>
      <c r="CU49" s="17">
        <f>CT49*VLOOKUP('Données projet'!$B$13,Paramètres!$A$1:$I$89,3,0)*VLOOKUP('Données projet'!$B$13,Paramètres!$A$1:$I$89,5,0)</f>
        <v>162.04499999999996</v>
      </c>
      <c r="CV49" s="13">
        <f t="shared" si="41"/>
        <v>41.303429372463391</v>
      </c>
      <c r="CW49" s="20">
        <f t="shared" si="13"/>
        <v>354.16518115704031</v>
      </c>
      <c r="CX49" s="59">
        <f t="shared" si="14"/>
        <v>647.49851449037362</v>
      </c>
      <c r="CY49" s="59">
        <f ca="1">AVERAGE(OFFSET($CX$3,0,0,'Données projet'!$E$13+1,1))-AVERAGE(OFFSET($H$3,0,0,'Données projet'!$E$13+1,1))</f>
        <v>292.57482726862594</v>
      </c>
      <c r="CZ49" s="59">
        <f t="shared" si="42"/>
        <v>283.48738729114024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8.1999999999999993</v>
      </c>
      <c r="DO49" s="12">
        <f>IF('Données projet'!$A$166&gt;35,DO48+DN49-DW48,IF(A49&lt;'Données projet'!$A$166,$DL$205^A49,IF(A49='Données projet'!$A$166,'Données projet'!$B$166,DO48+DN49-DW48)))</f>
        <v>166.20000000000005</v>
      </c>
      <c r="DP49" s="17">
        <f>DO49*VLOOKUP('Données projet'!$B$14,Paramètres!$A$1:$I$89,3,0)*VLOOKUP('Données projet'!$B$14,Paramètres!$A$1:$I$89,5,0)</f>
        <v>168.52680000000007</v>
      </c>
      <c r="DQ49" s="13">
        <f t="shared" si="43"/>
        <v>42.759908842532369</v>
      </c>
      <c r="DR49" s="20">
        <f t="shared" si="16"/>
        <v>367.991017900744</v>
      </c>
      <c r="DS49" s="59">
        <f t="shared" si="17"/>
        <v>661.32435123407731</v>
      </c>
      <c r="DT49" s="59">
        <f ca="1">AVERAGE(OFFSET($DS$3,0,0,'Données projet'!$E$14+1,1))-AVERAGE(OFFSET($H$3,0,0,'Données projet'!$E$14+1,1))</f>
        <v>475.47920969424894</v>
      </c>
      <c r="DU49" s="59">
        <f t="shared" si="44"/>
        <v>271.73544012419364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8.1999999999999993</v>
      </c>
      <c r="EJ49" s="12">
        <f>IF('Données projet'!$A$192&gt;35,EJ48+EI49-ER48,IF(A49&lt;'Données projet'!$A$192,$EG$205^A49,IF(A49='Données projet'!$A$192,'Données projet'!$B$192,EJ48+EI49-ER48)))</f>
        <v>166.20000000000005</v>
      </c>
      <c r="EK49" s="17">
        <f>EJ49*VLOOKUP('Données projet'!$B$15,Paramètres!$A$1:$I$89,3,0)*VLOOKUP('Données projet'!$B$15,Paramètres!$A$1:$I$89,5,0)</f>
        <v>150.37776000000002</v>
      </c>
      <c r="EL49" s="13">
        <f t="shared" si="45"/>
        <v>38.664420365454049</v>
      </c>
      <c r="EM49" s="20">
        <f t="shared" si="19"/>
        <v>329.24846413649914</v>
      </c>
      <c r="EN49" s="59">
        <f t="shared" si="20"/>
        <v>622.58179746983251</v>
      </c>
      <c r="EO49" s="59">
        <f ca="1">AVERAGE(OFFSET($EN$3,0,0,'Données projet'!$E$15+1,1))-AVERAGE(OFFSET($H$3,0,0,'Données projet'!$E$15+1,1))</f>
        <v>428.8489304403459</v>
      </c>
      <c r="EP49" s="59">
        <f t="shared" si="46"/>
        <v>247.01165577562966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>
        <f>FE49*VLOOKUP('Données projet'!$B$16,Paramètres!$A$1:$I$89,3,0)*VLOOKUP('Données projet'!$B$16,Paramètres!$A$1:$I$89,5,0)</f>
        <v>0</v>
      </c>
      <c r="FG49" s="13" t="e">
        <f t="shared" si="47"/>
        <v>#NUM!</v>
      </c>
      <c r="FH49" s="20" t="e">
        <f t="shared" si="22"/>
        <v>#NUM!</v>
      </c>
      <c r="FI49" s="59" t="e">
        <f t="shared" si="23"/>
        <v>#NUM!</v>
      </c>
      <c r="FJ49" s="59">
        <f ca="1">AVERAGE(OFFSET($FI$3,0,0,'Données projet'!$E$16+1,1))-AVERAGE(OFFSET($H$3,0,0,'Données projet'!$E$16+1,1))</f>
        <v>245.25496369542458</v>
      </c>
      <c r="FK49" s="59">
        <f t="shared" si="48"/>
        <v>342.30266518164211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 t="e">
        <f>N50*VLOOKUP('Données projet'!$B$9,Paramètres!$A$1:$I$89,3,0)*VLOOKUP('Données projet'!$B$9,Paramètres!$A$1:$I$89,5,0)</f>
        <v>#N/A</v>
      </c>
      <c r="P50" s="13" t="e">
        <f t="shared" si="33"/>
        <v>#N/A</v>
      </c>
      <c r="Q50" s="20" t="e">
        <f t="shared" si="53"/>
        <v>#N/A</v>
      </c>
      <c r="R50" s="59" t="e">
        <f t="shared" si="0"/>
        <v>#N/A</v>
      </c>
      <c r="S50" s="59" t="e">
        <f ca="1">AVERAGE(OFFSET($R$3,0,0,'Données projet'!$E$9+1,1))-AVERAGE(OFFSET($H$3,0,0,'Données projet'!$E$9+1,1))</f>
        <v>#N/A</v>
      </c>
      <c r="T50" s="59" t="e">
        <f t="shared" si="34"/>
        <v>#N/A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 t="e">
        <f>EXP(-LN(2)/35)*Z49+(1-EXP(-LN(2)/35))/(LN(2)/35)*V50*W50*VLOOKUP('Données projet'!$B$9,Paramètres!$A$1:$I$89,3,0)*0.475*44/12</f>
        <v>#N/A</v>
      </c>
      <c r="AA50" s="21" t="e">
        <f>EXP(-LN(2)/25)*AA49+(1-EXP(-LN(2)/25))/(LN(2)/25)*Calculateur!V50*Calculateur!X50*VLOOKUP('Données projet'!$B$9,Paramètres!$A$1:$I$89,3,0)*0.475*44/12</f>
        <v>#N/A</v>
      </c>
      <c r="AB50" s="21" t="e">
        <f>EXP(-LN(2)/2)*AB49+(1-EXP(-LN(2)/2))/(LN(2)/2)*V50*Y50*VLOOKUP('Données projet'!$B$9,Paramètres!$A$1:$I$89,3,0)*0.475*44/12</f>
        <v>#N/A</v>
      </c>
      <c r="AC50" s="22" t="e">
        <f t="shared" si="3"/>
        <v>#N/A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</v>
      </c>
      <c r="AI50" s="13">
        <f>IF('Données projet'!$A$62&gt;35,AI49+AH50-AQ49,IF(A50&lt;'Données projet'!$A$62,$AF$205^A50,IF(A50='Données projet'!$A$62,'Données projet'!$B$62,AI49+AH50-AQ49)))</f>
        <v>218.99999999999983</v>
      </c>
      <c r="AJ50" s="13">
        <f>AI50*VLOOKUP('Données projet'!$B$10,Paramètres!$A$1:$I$89,3,0)*VLOOKUP('Données projet'!$B$10,Paramètres!$A$1:$I$89,5,0)</f>
        <v>191.31839999999988</v>
      </c>
      <c r="AK50" s="13">
        <f t="shared" si="35"/>
        <v>47.831314962098354</v>
      </c>
      <c r="AL50" s="20">
        <f t="shared" si="4"/>
        <v>416.51908689232113</v>
      </c>
      <c r="AM50" s="59">
        <f t="shared" si="5"/>
        <v>709.85242022565444</v>
      </c>
      <c r="AN50" s="59">
        <f ca="1">AVERAGE(OFFSET($AM$3,0,0,'Données projet'!$E$10+1,1))-AVERAGE(OFFSET($H$3,0,0,'Données projet'!$E$10+1,1))</f>
        <v>338.55719679154777</v>
      </c>
      <c r="AO50" s="59">
        <f t="shared" si="36"/>
        <v>371.26234252426531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5.2564102564102537</v>
      </c>
      <c r="BD50" s="12">
        <f>IF('Données projet'!$A$88&gt;35,BD49+BC50-BL49,IF(A50&lt;'Données projet'!$A$88,$BA$205^A50,IF(A50='Données projet'!$A$88,'Données projet'!$B$88,BD49+BC50-BL49)))</f>
        <v>142.56410256410254</v>
      </c>
      <c r="BE50" s="13">
        <f>BD50*VLOOKUP('Données projet'!$B$11,Paramètres!$A$1:$I$89,3,0)*VLOOKUP('Données projet'!$B$11,Paramètres!$A$1:$I$89,5,0)</f>
        <v>135.66399999999999</v>
      </c>
      <c r="BF50" s="13">
        <f t="shared" si="37"/>
        <v>35.301877311719494</v>
      </c>
      <c r="BG50" s="20">
        <f t="shared" si="7"/>
        <v>297.76556965124479</v>
      </c>
      <c r="BH50" s="59">
        <f t="shared" si="8"/>
        <v>591.0989029845781</v>
      </c>
      <c r="BI50" s="59">
        <f ca="1">AVERAGE(OFFSET($BH$3,0,0,'Données projet'!$E$11+1,1))-AVERAGE(OFFSET($H$3,0,0,'Données projet'!$E$11+1,1))</f>
        <v>351.6178679548006</v>
      </c>
      <c r="BJ50" s="59">
        <f t="shared" si="38"/>
        <v>244.7141066773861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10.402930402930403</v>
      </c>
      <c r="BY50" s="12">
        <f>IF('Données projet'!$A$114&gt;35,BY49+BX50-CG49,IF(A50&lt;'Données projet'!$A$114,$BV$205^A50,IF(A50='Données projet'!$A$114,'Données projet'!$B$114,BY49+BX50-CG49)))</f>
        <v>279.92673992673986</v>
      </c>
      <c r="BZ50" s="13">
        <f>BY50*VLOOKUP('Données projet'!$B$12,Paramètres!$A$1:$I$89,3,0)*VLOOKUP('Données projet'!$B$12,Paramètres!$A$1:$I$89,5,0)</f>
        <v>131.00571428571425</v>
      </c>
      <c r="CA50" s="13">
        <f t="shared" si="39"/>
        <v>34.228646041091935</v>
      </c>
      <c r="CB50" s="20">
        <f t="shared" si="10"/>
        <v>287.78317756918744</v>
      </c>
      <c r="CC50" s="59">
        <f t="shared" si="11"/>
        <v>581.11651090252076</v>
      </c>
      <c r="CD50" s="59">
        <f ca="1">AVERAGE(OFFSET($CC$3,0,0,'Données projet'!$E$12+1,1))-AVERAGE(OFFSET($H$3,0,0,'Données projet'!$E$12+1,1))</f>
        <v>246.66630850723385</v>
      </c>
      <c r="CE50" s="59">
        <f t="shared" si="40"/>
        <v>145.34368562171613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10.375</v>
      </c>
      <c r="CT50" s="12">
        <f>IF('Données projet'!$A$140&gt;35,CT49+CS50-DB49,IF(A50&lt;'Données projet'!$A$140,$CQ$205^A50,IF(A50='Données projet'!$A$140,'Données projet'!$B$140,CT49+CS50-DB49)))</f>
        <v>218.12499999999994</v>
      </c>
      <c r="CU50" s="17">
        <f>CT50*VLOOKUP('Données projet'!$B$13,Paramètres!$A$1:$I$89,3,0)*VLOOKUP('Données projet'!$B$13,Paramètres!$A$1:$I$89,5,0)</f>
        <v>170.13749999999996</v>
      </c>
      <c r="CV50" s="13">
        <f t="shared" si="41"/>
        <v>43.120817562072411</v>
      </c>
      <c r="CW50" s="20">
        <f t="shared" si="13"/>
        <v>371.42490308727605</v>
      </c>
      <c r="CX50" s="59">
        <f t="shared" si="14"/>
        <v>664.75823642060936</v>
      </c>
      <c r="CY50" s="59">
        <f ca="1">AVERAGE(OFFSET($CX$3,0,0,'Données projet'!$E$13+1,1))-AVERAGE(OFFSET($H$3,0,0,'Données projet'!$E$13+1,1))</f>
        <v>292.57482726862594</v>
      </c>
      <c r="CZ50" s="59">
        <f t="shared" si="42"/>
        <v>283.48738729114024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8.1999999999999993</v>
      </c>
      <c r="DO50" s="12">
        <f>IF('Données projet'!$A$166&gt;35,DO49+DN50-DW49,IF(A50&lt;'Données projet'!$A$166,$DL$205^A50,IF(A50='Données projet'!$A$166,'Données projet'!$B$166,DO49+DN50-DW49)))</f>
        <v>174.40000000000003</v>
      </c>
      <c r="DP50" s="17">
        <f>DO50*VLOOKUP('Données projet'!$B$14,Paramètres!$A$1:$I$89,3,0)*VLOOKUP('Données projet'!$B$14,Paramètres!$A$1:$I$89,5,0)</f>
        <v>176.84160000000006</v>
      </c>
      <c r="DQ50" s="13">
        <f t="shared" si="43"/>
        <v>44.618778032982952</v>
      </c>
      <c r="DR50" s="20">
        <f t="shared" si="16"/>
        <v>385.71015840744536</v>
      </c>
      <c r="DS50" s="59">
        <f t="shared" si="17"/>
        <v>679.04349174077868</v>
      </c>
      <c r="DT50" s="59">
        <f ca="1">AVERAGE(OFFSET($DS$3,0,0,'Données projet'!$E$14+1,1))-AVERAGE(OFFSET($H$3,0,0,'Données projet'!$E$14+1,1))</f>
        <v>475.47920969424894</v>
      </c>
      <c r="DU50" s="59">
        <f t="shared" si="44"/>
        <v>271.73544012419364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8.1999999999999993</v>
      </c>
      <c r="EJ50" s="12">
        <f>IF('Données projet'!$A$192&gt;35,EJ49+EI50-ER49,IF(A50&lt;'Données projet'!$A$192,$EG$205^A50,IF(A50='Données projet'!$A$192,'Données projet'!$B$192,EJ49+EI50-ER49)))</f>
        <v>174.40000000000003</v>
      </c>
      <c r="EK50" s="17">
        <f>EJ50*VLOOKUP('Données projet'!$B$15,Paramètres!$A$1:$I$89,3,0)*VLOOKUP('Données projet'!$B$15,Paramètres!$A$1:$I$89,5,0)</f>
        <v>157.79712000000004</v>
      </c>
      <c r="EL50" s="13">
        <f t="shared" si="45"/>
        <v>40.345249481546155</v>
      </c>
      <c r="EM50" s="20">
        <f t="shared" si="19"/>
        <v>345.09796018035962</v>
      </c>
      <c r="EN50" s="59">
        <f t="shared" si="20"/>
        <v>638.43129351369294</v>
      </c>
      <c r="EO50" s="59">
        <f ca="1">AVERAGE(OFFSET($EN$3,0,0,'Données projet'!$E$15+1,1))-AVERAGE(OFFSET($H$3,0,0,'Données projet'!$E$15+1,1))</f>
        <v>428.8489304403459</v>
      </c>
      <c r="EP50" s="59">
        <f t="shared" si="46"/>
        <v>247.01165577562966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>
        <f>FE50*VLOOKUP('Données projet'!$B$16,Paramètres!$A$1:$I$89,3,0)*VLOOKUP('Données projet'!$B$16,Paramètres!$A$1:$I$89,5,0)</f>
        <v>0</v>
      </c>
      <c r="FG50" s="13" t="e">
        <f t="shared" si="47"/>
        <v>#NUM!</v>
      </c>
      <c r="FH50" s="20" t="e">
        <f t="shared" si="22"/>
        <v>#NUM!</v>
      </c>
      <c r="FI50" s="59" t="e">
        <f t="shared" si="23"/>
        <v>#NUM!</v>
      </c>
      <c r="FJ50" s="59">
        <f ca="1">AVERAGE(OFFSET($FI$3,0,0,'Données projet'!$E$16+1,1))-AVERAGE(OFFSET($H$3,0,0,'Données projet'!$E$16+1,1))</f>
        <v>245.25496369542458</v>
      </c>
      <c r="FK50" s="59">
        <f t="shared" si="48"/>
        <v>342.30266518164211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 t="e">
        <f>N51*VLOOKUP('Données projet'!$B$9,Paramètres!$A$1:$I$89,3,0)*VLOOKUP('Données projet'!$B$9,Paramètres!$A$1:$I$89,5,0)</f>
        <v>#N/A</v>
      </c>
      <c r="P51" s="13" t="e">
        <f t="shared" si="33"/>
        <v>#N/A</v>
      </c>
      <c r="Q51" s="20" t="e">
        <f t="shared" si="53"/>
        <v>#N/A</v>
      </c>
      <c r="R51" s="59" t="e">
        <f t="shared" si="0"/>
        <v>#N/A</v>
      </c>
      <c r="S51" s="59" t="e">
        <f ca="1">AVERAGE(OFFSET($R$3,0,0,'Données projet'!$E$9+1,1))-AVERAGE(OFFSET($H$3,0,0,'Données projet'!$E$9+1,1))</f>
        <v>#N/A</v>
      </c>
      <c r="T51" s="59" t="e">
        <f t="shared" si="34"/>
        <v>#N/A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 t="e">
        <f>EXP(-LN(2)/35)*Z50+(1-EXP(-LN(2)/35))/(LN(2)/35)*V51*W51*VLOOKUP('Données projet'!$B$9,Paramètres!$A$1:$I$89,3,0)*0.475*44/12</f>
        <v>#N/A</v>
      </c>
      <c r="AA51" s="21" t="e">
        <f>EXP(-LN(2)/25)*AA50+(1-EXP(-LN(2)/25))/(LN(2)/25)*Calculateur!V51*Calculateur!X51*VLOOKUP('Données projet'!$B$9,Paramètres!$A$1:$I$89,3,0)*0.475*44/12</f>
        <v>#N/A</v>
      </c>
      <c r="AB51" s="21" t="e">
        <f>EXP(-LN(2)/2)*AB50+(1-EXP(-LN(2)/2))/(LN(2)/2)*V51*Y51*VLOOKUP('Données projet'!$B$9,Paramètres!$A$1:$I$89,3,0)*0.475*44/12</f>
        <v>#N/A</v>
      </c>
      <c r="AC51" s="22" t="e">
        <f t="shared" si="3"/>
        <v>#N/A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</v>
      </c>
      <c r="AI51" s="13">
        <f>IF('Données projet'!$A$62&gt;35,AI50+AH51-AQ50,IF(A51&lt;'Données projet'!$A$62,$AF$205^A51,IF(A51='Données projet'!$A$62,'Données projet'!$B$62,AI50+AH51-AQ50)))</f>
        <v>225.99999999999983</v>
      </c>
      <c r="AJ51" s="13">
        <f>AI51*VLOOKUP('Données projet'!$B$10,Paramètres!$A$1:$I$89,3,0)*VLOOKUP('Données projet'!$B$10,Paramètres!$A$1:$I$89,5,0)</f>
        <v>197.43359999999987</v>
      </c>
      <c r="AK51" s="13">
        <f t="shared" si="35"/>
        <v>49.179727436837567</v>
      </c>
      <c r="AL51" s="20">
        <f t="shared" si="4"/>
        <v>429.51821195249181</v>
      </c>
      <c r="AM51" s="59">
        <f t="shared" si="5"/>
        <v>722.85154528582507</v>
      </c>
      <c r="AN51" s="59">
        <f ca="1">AVERAGE(OFFSET($AM$3,0,0,'Données projet'!$E$10+1,1))-AVERAGE(OFFSET($H$3,0,0,'Données projet'!$E$10+1,1))</f>
        <v>338.55719679154777</v>
      </c>
      <c r="AO51" s="59">
        <f t="shared" si="36"/>
        <v>371.26234252426531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5.2564102564102537</v>
      </c>
      <c r="BD51" s="12">
        <f>IF('Données projet'!$A$88&gt;35,BD50+BC51-BL50,IF(A51&lt;'Données projet'!$A$88,$BA$205^A51,IF(A51='Données projet'!$A$88,'Données projet'!$B$88,BD50+BC51-BL50)))</f>
        <v>147.82051282051279</v>
      </c>
      <c r="BE51" s="13">
        <f>BD51*VLOOKUP('Données projet'!$B$11,Paramètres!$A$1:$I$89,3,0)*VLOOKUP('Données projet'!$B$11,Paramètres!$A$1:$I$89,5,0)</f>
        <v>140.66599999999997</v>
      </c>
      <c r="BF51" s="13">
        <f t="shared" si="37"/>
        <v>36.449534575573686</v>
      </c>
      <c r="BG51" s="20">
        <f t="shared" si="7"/>
        <v>308.47622271912411</v>
      </c>
      <c r="BH51" s="59">
        <f t="shared" si="8"/>
        <v>601.80955605245742</v>
      </c>
      <c r="BI51" s="59">
        <f ca="1">AVERAGE(OFFSET($BH$3,0,0,'Données projet'!$E$11+1,1))-AVERAGE(OFFSET($H$3,0,0,'Données projet'!$E$11+1,1))</f>
        <v>351.6178679548006</v>
      </c>
      <c r="BJ51" s="59">
        <f t="shared" si="38"/>
        <v>244.7141066773861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10.402930402930403</v>
      </c>
      <c r="BY51" s="12">
        <f>IF('Données projet'!$A$114&gt;35,BY50+BX51-CG50,IF(A51&lt;'Données projet'!$A$114,$BV$205^A51,IF(A51='Données projet'!$A$114,'Données projet'!$B$114,BY50+BX51-CG50)))</f>
        <v>290.32967032967025</v>
      </c>
      <c r="BZ51" s="13">
        <f>BY51*VLOOKUP('Données projet'!$B$12,Paramètres!$A$1:$I$89,3,0)*VLOOKUP('Données projet'!$B$12,Paramètres!$A$1:$I$89,5,0)</f>
        <v>135.87428571428569</v>
      </c>
      <c r="CA51" s="13">
        <f t="shared" si="39"/>
        <v>35.350223195357941</v>
      </c>
      <c r="CB51" s="20">
        <f t="shared" si="10"/>
        <v>298.21601968429599</v>
      </c>
      <c r="CC51" s="59">
        <f t="shared" si="11"/>
        <v>591.5493530176293</v>
      </c>
      <c r="CD51" s="59">
        <f ca="1">AVERAGE(OFFSET($CC$3,0,0,'Données projet'!$E$12+1,1))-AVERAGE(OFFSET($H$3,0,0,'Données projet'!$E$12+1,1))</f>
        <v>246.66630850723385</v>
      </c>
      <c r="CE51" s="59">
        <f t="shared" si="40"/>
        <v>145.34368562171613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10.375</v>
      </c>
      <c r="CT51" s="12">
        <f>IF('Données projet'!$A$140&gt;35,CT50+CS51-DB50,IF(A51&lt;'Données projet'!$A$140,$CQ$205^A51,IF(A51='Données projet'!$A$140,'Données projet'!$B$140,CT50+CS51-DB50)))</f>
        <v>228.49999999999994</v>
      </c>
      <c r="CU51" s="17">
        <f>CT51*VLOOKUP('Données projet'!$B$13,Paramètres!$A$1:$I$89,3,0)*VLOOKUP('Données projet'!$B$13,Paramètres!$A$1:$I$89,5,0)</f>
        <v>178.22999999999996</v>
      </c>
      <c r="CV51" s="13">
        <f t="shared" si="41"/>
        <v>44.928167580487852</v>
      </c>
      <c r="CW51" s="20">
        <f t="shared" si="13"/>
        <v>388.66714186934956</v>
      </c>
      <c r="CX51" s="59">
        <f t="shared" si="14"/>
        <v>682.00047520268288</v>
      </c>
      <c r="CY51" s="59">
        <f ca="1">AVERAGE(OFFSET($CX$3,0,0,'Données projet'!$E$13+1,1))-AVERAGE(OFFSET($H$3,0,0,'Données projet'!$E$13+1,1))</f>
        <v>292.57482726862594</v>
      </c>
      <c r="CZ51" s="59">
        <f t="shared" si="42"/>
        <v>283.48738729114024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8.1999999999999993</v>
      </c>
      <c r="DO51" s="12">
        <f>IF('Données projet'!$A$166&gt;35,DO50+DN51-DW50,IF(A51&lt;'Données projet'!$A$166,$DL$205^A51,IF(A51='Données projet'!$A$166,'Données projet'!$B$166,DO50+DN51-DW50)))</f>
        <v>182.60000000000002</v>
      </c>
      <c r="DP51" s="17">
        <f>DO51*VLOOKUP('Données projet'!$B$14,Paramètres!$A$1:$I$89,3,0)*VLOOKUP('Données projet'!$B$14,Paramètres!$A$1:$I$89,5,0)</f>
        <v>185.15640000000002</v>
      </c>
      <c r="DQ51" s="13">
        <f t="shared" si="43"/>
        <v>46.467497591770453</v>
      </c>
      <c r="DR51" s="20">
        <f t="shared" si="16"/>
        <v>403.4116216390002</v>
      </c>
      <c r="DS51" s="59">
        <f t="shared" si="17"/>
        <v>696.74495497233352</v>
      </c>
      <c r="DT51" s="59">
        <f ca="1">AVERAGE(OFFSET($DS$3,0,0,'Données projet'!$E$14+1,1))-AVERAGE(OFFSET($H$3,0,0,'Données projet'!$E$14+1,1))</f>
        <v>475.47920969424894</v>
      </c>
      <c r="DU51" s="59">
        <f t="shared" si="44"/>
        <v>271.73544012419364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8.1999999999999993</v>
      </c>
      <c r="EJ51" s="12">
        <f>IF('Données projet'!$A$192&gt;35,EJ50+EI51-ER50,IF(A51&lt;'Données projet'!$A$192,$EG$205^A51,IF(A51='Données projet'!$A$192,'Données projet'!$B$192,EJ50+EI51-ER50)))</f>
        <v>182.60000000000002</v>
      </c>
      <c r="EK51" s="17">
        <f>EJ51*VLOOKUP('Données projet'!$B$15,Paramètres!$A$1:$I$89,3,0)*VLOOKUP('Données projet'!$B$15,Paramètres!$A$1:$I$89,5,0)</f>
        <v>165.21648000000002</v>
      </c>
      <c r="EL51" s="13">
        <f t="shared" si="45"/>
        <v>42.016901084500397</v>
      </c>
      <c r="EM51" s="20">
        <f t="shared" si="19"/>
        <v>360.93147205550491</v>
      </c>
      <c r="EN51" s="59">
        <f t="shared" si="20"/>
        <v>654.26480538883823</v>
      </c>
      <c r="EO51" s="59">
        <f ca="1">AVERAGE(OFFSET($EN$3,0,0,'Données projet'!$E$15+1,1))-AVERAGE(OFFSET($H$3,0,0,'Données projet'!$E$15+1,1))</f>
        <v>428.8489304403459</v>
      </c>
      <c r="EP51" s="59">
        <f t="shared" si="46"/>
        <v>247.01165577562966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>
        <f>FE51*VLOOKUP('Données projet'!$B$16,Paramètres!$A$1:$I$89,3,0)*VLOOKUP('Données projet'!$B$16,Paramètres!$A$1:$I$89,5,0)</f>
        <v>0</v>
      </c>
      <c r="FG51" s="13" t="e">
        <f t="shared" si="47"/>
        <v>#NUM!</v>
      </c>
      <c r="FH51" s="20" t="e">
        <f t="shared" si="22"/>
        <v>#NUM!</v>
      </c>
      <c r="FI51" s="59" t="e">
        <f t="shared" si="23"/>
        <v>#NUM!</v>
      </c>
      <c r="FJ51" s="59">
        <f ca="1">AVERAGE(OFFSET($FI$3,0,0,'Données projet'!$E$16+1,1))-AVERAGE(OFFSET($H$3,0,0,'Données projet'!$E$16+1,1))</f>
        <v>245.25496369542458</v>
      </c>
      <c r="FK51" s="59">
        <f t="shared" si="48"/>
        <v>342.30266518164211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 t="e">
        <f>N52*VLOOKUP('Données projet'!$B$9,Paramètres!$A$1:$I$89,3,0)*VLOOKUP('Données projet'!$B$9,Paramètres!$A$1:$I$89,5,0)</f>
        <v>#N/A</v>
      </c>
      <c r="P52" s="13" t="e">
        <f t="shared" si="33"/>
        <v>#N/A</v>
      </c>
      <c r="Q52" s="20" t="e">
        <f t="shared" si="53"/>
        <v>#N/A</v>
      </c>
      <c r="R52" s="59" t="e">
        <f t="shared" si="0"/>
        <v>#N/A</v>
      </c>
      <c r="S52" s="59" t="e">
        <f ca="1">AVERAGE(OFFSET($R$3,0,0,'Données projet'!$E$9+1,1))-AVERAGE(OFFSET($H$3,0,0,'Données projet'!$E$9+1,1))</f>
        <v>#N/A</v>
      </c>
      <c r="T52" s="59" t="e">
        <f t="shared" si="34"/>
        <v>#N/A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 t="e">
        <f>EXP(-LN(2)/35)*Z51+(1-EXP(-LN(2)/35))/(LN(2)/35)*V52*W52*VLOOKUP('Données projet'!$B$9,Paramètres!$A$1:$I$89,3,0)*0.475*44/12</f>
        <v>#N/A</v>
      </c>
      <c r="AA52" s="21" t="e">
        <f>EXP(-LN(2)/25)*AA51+(1-EXP(-LN(2)/25))/(LN(2)/25)*Calculateur!V52*Calculateur!X52*VLOOKUP('Données projet'!$B$9,Paramètres!$A$1:$I$89,3,0)*0.475*44/12</f>
        <v>#N/A</v>
      </c>
      <c r="AB52" s="21" t="e">
        <f>EXP(-LN(2)/2)*AB51+(1-EXP(-LN(2)/2))/(LN(2)/2)*V52*Y52*VLOOKUP('Données projet'!$B$9,Paramètres!$A$1:$I$89,3,0)*0.475*44/12</f>
        <v>#N/A</v>
      </c>
      <c r="AC52" s="22" t="e">
        <f t="shared" si="3"/>
        <v>#N/A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</v>
      </c>
      <c r="AI52" s="13">
        <f>IF('Données projet'!$A$62&gt;35,AI51+AH52-AQ51,IF(A52&lt;'Données projet'!$A$62,$AF$205^A52,IF(A52='Données projet'!$A$62,'Données projet'!$B$62,AI51+AH52-AQ51)))</f>
        <v>232.99999999999983</v>
      </c>
      <c r="AJ52" s="13">
        <f>AI52*VLOOKUP('Données projet'!$B$10,Paramètres!$A$1:$I$89,3,0)*VLOOKUP('Données projet'!$B$10,Paramètres!$A$1:$I$89,5,0)</f>
        <v>203.54879999999986</v>
      </c>
      <c r="AK52" s="13">
        <f t="shared" si="35"/>
        <v>50.523286400023437</v>
      </c>
      <c r="AL52" s="20">
        <f t="shared" si="4"/>
        <v>442.50888381337387</v>
      </c>
      <c r="AM52" s="59">
        <f t="shared" si="5"/>
        <v>735.84221714670718</v>
      </c>
      <c r="AN52" s="59">
        <f ca="1">AVERAGE(OFFSET($AM$3,0,0,'Données projet'!$E$10+1,1))-AVERAGE(OFFSET($H$3,0,0,'Données projet'!$E$10+1,1))</f>
        <v>338.55719679154777</v>
      </c>
      <c r="AO52" s="59">
        <f t="shared" si="36"/>
        <v>371.26234252426531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5.2564102564102537</v>
      </c>
      <c r="BD52" s="12">
        <f>IF('Données projet'!$A$88&gt;35,BD51+BC52-BL51,IF(A52&lt;'Données projet'!$A$88,$BA$205^A52,IF(A52='Données projet'!$A$88,'Données projet'!$B$88,BD51+BC52-BL51)))</f>
        <v>153.07692307692304</v>
      </c>
      <c r="BE52" s="13">
        <f>BD52*VLOOKUP('Données projet'!$B$11,Paramètres!$A$1:$I$89,3,0)*VLOOKUP('Données projet'!$B$11,Paramètres!$A$1:$I$89,5,0)</f>
        <v>145.66799999999995</v>
      </c>
      <c r="BF52" s="13">
        <f t="shared" si="37"/>
        <v>37.592450315522605</v>
      </c>
      <c r="BG52" s="20">
        <f t="shared" si="7"/>
        <v>319.17861763286845</v>
      </c>
      <c r="BH52" s="59">
        <f t="shared" si="8"/>
        <v>612.51195096620177</v>
      </c>
      <c r="BI52" s="59">
        <f ca="1">AVERAGE(OFFSET($BH$3,0,0,'Données projet'!$E$11+1,1))-AVERAGE(OFFSET($H$3,0,0,'Données projet'!$E$11+1,1))</f>
        <v>351.6178679548006</v>
      </c>
      <c r="BJ52" s="59">
        <f t="shared" si="38"/>
        <v>244.7141066773861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10.402930402930403</v>
      </c>
      <c r="BY52" s="12">
        <f>IF('Données projet'!$A$114&gt;35,BY51+BX52-CG51,IF(A52&lt;'Données projet'!$A$114,$BV$205^A52,IF(A52='Données projet'!$A$114,'Données projet'!$B$114,BY51+BX52-CG51)))</f>
        <v>300.73260073260064</v>
      </c>
      <c r="BZ52" s="13">
        <f>BY52*VLOOKUP('Données projet'!$B$12,Paramètres!$A$1:$I$89,3,0)*VLOOKUP('Données projet'!$B$12,Paramètres!$A$1:$I$89,5,0)</f>
        <v>140.7428571428571</v>
      </c>
      <c r="CA52" s="13">
        <f t="shared" si="39"/>
        <v>36.467131184587252</v>
      </c>
      <c r="CB52" s="20">
        <f t="shared" si="10"/>
        <v>308.64072967029892</v>
      </c>
      <c r="CC52" s="59">
        <f t="shared" si="11"/>
        <v>601.97406300363218</v>
      </c>
      <c r="CD52" s="59">
        <f ca="1">AVERAGE(OFFSET($CC$3,0,0,'Données projet'!$E$12+1,1))-AVERAGE(OFFSET($H$3,0,0,'Données projet'!$E$12+1,1))</f>
        <v>246.66630850723385</v>
      </c>
      <c r="CE52" s="59">
        <f t="shared" si="40"/>
        <v>145.34368562171613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10.375</v>
      </c>
      <c r="CT52" s="12">
        <f>IF('Données projet'!$A$140&gt;35,CT51+CS52-DB51,IF(A52&lt;'Données projet'!$A$140,$CQ$205^A52,IF(A52='Données projet'!$A$140,'Données projet'!$B$140,CT51+CS52-DB51)))</f>
        <v>238.87499999999994</v>
      </c>
      <c r="CU52" s="17">
        <f>CT52*VLOOKUP('Données projet'!$B$13,Paramètres!$A$1:$I$89,3,0)*VLOOKUP('Données projet'!$B$13,Paramètres!$A$1:$I$89,5,0)</f>
        <v>186.32249999999996</v>
      </c>
      <c r="CV52" s="13">
        <f t="shared" si="41"/>
        <v>46.725987276254116</v>
      </c>
      <c r="CW52" s="20">
        <f t="shared" si="13"/>
        <v>405.89278200614257</v>
      </c>
      <c r="CX52" s="59">
        <f t="shared" si="14"/>
        <v>699.22611533947588</v>
      </c>
      <c r="CY52" s="59">
        <f ca="1">AVERAGE(OFFSET($CX$3,0,0,'Données projet'!$E$13+1,1))-AVERAGE(OFFSET($H$3,0,0,'Données projet'!$E$13+1,1))</f>
        <v>292.57482726862594</v>
      </c>
      <c r="CZ52" s="59">
        <f t="shared" si="42"/>
        <v>283.48738729114024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8.1999999999999993</v>
      </c>
      <c r="DO52" s="12">
        <f>IF('Données projet'!$A$166&gt;35,DO51+DN52-DW51,IF(A52&lt;'Données projet'!$A$166,$DL$205^A52,IF(A52='Données projet'!$A$166,'Données projet'!$B$166,DO51+DN52-DW51)))</f>
        <v>190.8</v>
      </c>
      <c r="DP52" s="17">
        <f>DO52*VLOOKUP('Données projet'!$B$14,Paramètres!$A$1:$I$89,3,0)*VLOOKUP('Données projet'!$B$14,Paramètres!$A$1:$I$89,5,0)</f>
        <v>193.47120000000001</v>
      </c>
      <c r="DQ52" s="13">
        <f t="shared" si="43"/>
        <v>48.306575382296536</v>
      </c>
      <c r="DR52" s="20">
        <f t="shared" si="16"/>
        <v>421.09629212416644</v>
      </c>
      <c r="DS52" s="59">
        <f t="shared" si="17"/>
        <v>714.4296254574997</v>
      </c>
      <c r="DT52" s="59">
        <f ca="1">AVERAGE(OFFSET($DS$3,0,0,'Données projet'!$E$14+1,1))-AVERAGE(OFFSET($H$3,0,0,'Données projet'!$E$14+1,1))</f>
        <v>475.47920969424894</v>
      </c>
      <c r="DU52" s="59">
        <f t="shared" si="44"/>
        <v>271.73544012419364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8.1999999999999993</v>
      </c>
      <c r="EJ52" s="12">
        <f>IF('Données projet'!$A$192&gt;35,EJ51+EI52-ER51,IF(A52&lt;'Données projet'!$A$192,$EG$205^A52,IF(A52='Données projet'!$A$192,'Données projet'!$B$192,EJ51+EI52-ER51)))</f>
        <v>190.8</v>
      </c>
      <c r="EK52" s="17">
        <f>EJ52*VLOOKUP('Données projet'!$B$15,Paramètres!$A$1:$I$89,3,0)*VLOOKUP('Données projet'!$B$15,Paramètres!$A$1:$I$89,5,0)</f>
        <v>172.63584</v>
      </c>
      <c r="EL52" s="13">
        <f t="shared" si="45"/>
        <v>43.679834395222109</v>
      </c>
      <c r="EM52" s="20">
        <f t="shared" si="19"/>
        <v>376.74979957167847</v>
      </c>
      <c r="EN52" s="59">
        <f t="shared" si="20"/>
        <v>670.08313290501178</v>
      </c>
      <c r="EO52" s="59">
        <f ca="1">AVERAGE(OFFSET($EN$3,0,0,'Données projet'!$E$15+1,1))-AVERAGE(OFFSET($H$3,0,0,'Données projet'!$E$15+1,1))</f>
        <v>428.8489304403459</v>
      </c>
      <c r="EP52" s="59">
        <f t="shared" si="46"/>
        <v>247.01165577562966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>
        <f>FE52*VLOOKUP('Données projet'!$B$16,Paramètres!$A$1:$I$89,3,0)*VLOOKUP('Données projet'!$B$16,Paramètres!$A$1:$I$89,5,0)</f>
        <v>0</v>
      </c>
      <c r="FG52" s="13" t="e">
        <f t="shared" si="47"/>
        <v>#NUM!</v>
      </c>
      <c r="FH52" s="20" t="e">
        <f t="shared" si="22"/>
        <v>#NUM!</v>
      </c>
      <c r="FI52" s="59" t="e">
        <f t="shared" si="23"/>
        <v>#NUM!</v>
      </c>
      <c r="FJ52" s="59">
        <f ca="1">AVERAGE(OFFSET($FI$3,0,0,'Données projet'!$E$16+1,1))-AVERAGE(OFFSET($H$3,0,0,'Données projet'!$E$16+1,1))</f>
        <v>245.25496369542458</v>
      </c>
      <c r="FK52" s="59">
        <f t="shared" si="48"/>
        <v>342.30266518164211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 t="e">
        <f>N53*VLOOKUP('Données projet'!$B$9,Paramètres!$A$1:$I$89,3,0)*VLOOKUP('Données projet'!$B$9,Paramètres!$A$1:$I$89,5,0)</f>
        <v>#N/A</v>
      </c>
      <c r="P53" s="13" t="e">
        <f t="shared" si="33"/>
        <v>#N/A</v>
      </c>
      <c r="Q53" s="20" t="e">
        <f t="shared" si="53"/>
        <v>#N/A</v>
      </c>
      <c r="R53" s="59" t="e">
        <f t="shared" si="0"/>
        <v>#N/A</v>
      </c>
      <c r="S53" s="59" t="e">
        <f ca="1">AVERAGE(OFFSET($R$3,0,0,'Données projet'!$E$9+1,1))-AVERAGE(OFFSET($H$3,0,0,'Données projet'!$E$9+1,1))</f>
        <v>#N/A</v>
      </c>
      <c r="T53" s="59" t="e">
        <f t="shared" si="34"/>
        <v>#N/A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 t="e">
        <f>EXP(-LN(2)/35)*Z52+(1-EXP(-LN(2)/35))/(LN(2)/35)*V53*W53*VLOOKUP('Données projet'!$B$9,Paramètres!$A$1:$I$89,3,0)*0.475*44/12</f>
        <v>#N/A</v>
      </c>
      <c r="AA53" s="21" t="e">
        <f>EXP(-LN(2)/25)*AA52+(1-EXP(-LN(2)/25))/(LN(2)/25)*Calculateur!V53*Calculateur!X53*VLOOKUP('Données projet'!$B$9,Paramètres!$A$1:$I$89,3,0)*0.475*44/12</f>
        <v>#N/A</v>
      </c>
      <c r="AB53" s="21" t="e">
        <f>EXP(-LN(2)/2)*AB52+(1-EXP(-LN(2)/2))/(LN(2)/2)*V53*Y53*VLOOKUP('Données projet'!$B$9,Paramètres!$A$1:$I$89,3,0)*0.475*44/12</f>
        <v>#N/A</v>
      </c>
      <c r="AC53" s="22" t="e">
        <f t="shared" si="3"/>
        <v>#N/A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240</v>
      </c>
      <c r="AG53" s="12">
        <f>VLOOKUP(A53,'Données projet'!$A$61:$I$81,9,0)</f>
        <v>7</v>
      </c>
      <c r="AH53" s="12">
        <f t="array" ref="AH53">INDEX(AG:AG,MIN(IF(ISNUMBER(AG53:AG249),ROW(AG53:AG249),"")))</f>
        <v>7</v>
      </c>
      <c r="AI53" s="13">
        <f>IF('Données projet'!$A$62&gt;35,AI52+AH53-AQ52,IF(A53&lt;'Données projet'!$A$62,$AF$205^A53,IF(A53='Données projet'!$A$62,'Données projet'!$B$62,AI52+AH53-AQ52)))</f>
        <v>239.99999999999983</v>
      </c>
      <c r="AJ53" s="13">
        <f>AI53*VLOOKUP('Données projet'!$B$10,Paramètres!$A$1:$I$89,3,0)*VLOOKUP('Données projet'!$B$10,Paramètres!$A$1:$I$89,5,0)</f>
        <v>209.66399999999987</v>
      </c>
      <c r="AK53" s="13">
        <f t="shared" si="35"/>
        <v>51.862154403304487</v>
      </c>
      <c r="AL53" s="20">
        <f t="shared" si="4"/>
        <v>455.4913855857551</v>
      </c>
      <c r="AM53" s="59">
        <f t="shared" si="5"/>
        <v>748.82471891908835</v>
      </c>
      <c r="AN53" s="59">
        <f ca="1">AVERAGE(OFFSET($AM$3,0,0,'Données projet'!$E$10+1,1))-AVERAGE(OFFSET($H$3,0,0,'Données projet'!$E$10+1,1))</f>
        <v>338.55719679154777</v>
      </c>
      <c r="AO53" s="59">
        <f t="shared" si="36"/>
        <v>371.26234252426531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39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158.33333333333331</v>
      </c>
      <c r="BB53" s="12">
        <f>VLOOKUP(A53,'Données projet'!$A$87:$I$107,9,0)</f>
        <v>5.2564102564102537</v>
      </c>
      <c r="BC53" s="12">
        <f t="array" ref="BC53">INDEX(BB:BB,MIN(IF(ISNUMBER(BB53:BB249),ROW(BB53:BB249),"")))</f>
        <v>5.2564102564102537</v>
      </c>
      <c r="BD53" s="12">
        <f>IF('Données projet'!$A$88&gt;35,BD52+BC53-BL52,IF(A53&lt;'Données projet'!$A$88,$BA$205^A53,IF(A53='Données projet'!$A$88,'Données projet'!$B$88,BD52+BC53-BL52)))</f>
        <v>158.33333333333329</v>
      </c>
      <c r="BE53" s="13">
        <f>BD53*VLOOKUP('Données projet'!$B$11,Paramètres!$A$1:$I$89,3,0)*VLOOKUP('Données projet'!$B$11,Paramètres!$A$1:$I$89,5,0)</f>
        <v>150.66999999999996</v>
      </c>
      <c r="BF53" s="13">
        <f t="shared" si="37"/>
        <v>38.730806009209921</v>
      </c>
      <c r="BG53" s="20">
        <f t="shared" si="7"/>
        <v>329.87307046604047</v>
      </c>
      <c r="BH53" s="59">
        <f t="shared" si="8"/>
        <v>623.20640379937379</v>
      </c>
      <c r="BI53" s="59">
        <f ca="1">AVERAGE(OFFSET($BH$3,0,0,'Données projet'!$E$11+1,1))-AVERAGE(OFFSET($H$3,0,0,'Données projet'!$E$11+1,1))</f>
        <v>351.6178679548006</v>
      </c>
      <c r="BJ53" s="59">
        <f t="shared" si="38"/>
        <v>244.7141066773861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10.402930402930403</v>
      </c>
      <c r="BY53" s="12">
        <f>IF('Données projet'!$A$114&gt;35,BY52+BX53-CG52,IF(A53&lt;'Données projet'!$A$114,$BV$205^A53,IF(A53='Données projet'!$A$114,'Données projet'!$B$114,BY52+BX53-CG52)))</f>
        <v>311.13553113553104</v>
      </c>
      <c r="BZ53" s="13">
        <f>BY53*VLOOKUP('Données projet'!$B$12,Paramètres!$A$1:$I$89,3,0)*VLOOKUP('Données projet'!$B$12,Paramètres!$A$1:$I$89,5,0)</f>
        <v>145.61142857142852</v>
      </c>
      <c r="CA53" s="13">
        <f t="shared" si="39"/>
        <v>37.579550035203404</v>
      </c>
      <c r="CB53" s="20">
        <f t="shared" si="10"/>
        <v>319.05762107321726</v>
      </c>
      <c r="CC53" s="59">
        <f t="shared" si="11"/>
        <v>612.39095440655058</v>
      </c>
      <c r="CD53" s="59">
        <f ca="1">AVERAGE(OFFSET($CC$3,0,0,'Données projet'!$E$12+1,1))-AVERAGE(OFFSET($H$3,0,0,'Données projet'!$E$12+1,1))</f>
        <v>246.66630850723385</v>
      </c>
      <c r="CE53" s="59">
        <f t="shared" si="40"/>
        <v>145.34368562171613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10.375</v>
      </c>
      <c r="CT53" s="12">
        <f>IF('Données projet'!$A$140&gt;35,CT52+CS53-DB52,IF(A53&lt;'Données projet'!$A$140,$CQ$205^A53,IF(A53='Données projet'!$A$140,'Données projet'!$B$140,CT52+CS53-DB52)))</f>
        <v>249.24999999999994</v>
      </c>
      <c r="CU53" s="17">
        <f>CT53*VLOOKUP('Données projet'!$B$13,Paramètres!$A$1:$I$89,3,0)*VLOOKUP('Données projet'!$B$13,Paramètres!$A$1:$I$89,5,0)</f>
        <v>194.41499999999996</v>
      </c>
      <c r="CV53" s="13">
        <f t="shared" si="41"/>
        <v>48.514737888684969</v>
      </c>
      <c r="CW53" s="20">
        <f t="shared" si="13"/>
        <v>423.1026268227929</v>
      </c>
      <c r="CX53" s="59">
        <f t="shared" si="14"/>
        <v>716.43596015612616</v>
      </c>
      <c r="CY53" s="59">
        <f ca="1">AVERAGE(OFFSET($CX$3,0,0,'Données projet'!$E$13+1,1))-AVERAGE(OFFSET($H$3,0,0,'Données projet'!$E$13+1,1))</f>
        <v>292.57482726862594</v>
      </c>
      <c r="CZ53" s="59">
        <f t="shared" si="42"/>
        <v>283.48738729114024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199</v>
      </c>
      <c r="DM53" s="12">
        <f>VLOOKUP(A53,'Données projet'!$A$165:$I$185,9,0)</f>
        <v>8.1999999999999993</v>
      </c>
      <c r="DN53" s="12">
        <f t="array" ref="DN53">INDEX(DM:DM,MIN(IF(ISNUMBER(DM53:DM249),ROW(DM53:DM249),"")))</f>
        <v>8.1999999999999993</v>
      </c>
      <c r="DO53" s="12">
        <f>IF('Données projet'!$A$166&gt;35,DO52+DN53-DW52,IF(A53&lt;'Données projet'!$A$166,$DL$205^A53,IF(A53='Données projet'!$A$166,'Données projet'!$B$166,DO52+DN53-DW52)))</f>
        <v>199</v>
      </c>
      <c r="DP53" s="17">
        <f>DO53*VLOOKUP('Données projet'!$B$14,Paramètres!$A$1:$I$89,3,0)*VLOOKUP('Données projet'!$B$14,Paramètres!$A$1:$I$89,5,0)</f>
        <v>201.786</v>
      </c>
      <c r="DQ53" s="13">
        <f t="shared" si="43"/>
        <v>50.136473146268756</v>
      </c>
      <c r="DR53" s="20">
        <f t="shared" si="16"/>
        <v>438.76497406308476</v>
      </c>
      <c r="DS53" s="59">
        <f t="shared" si="17"/>
        <v>732.09830739641802</v>
      </c>
      <c r="DT53" s="59">
        <f ca="1">AVERAGE(OFFSET($DS$3,0,0,'Données projet'!$E$14+1,1))-AVERAGE(OFFSET($H$3,0,0,'Données projet'!$E$14+1,1))</f>
        <v>475.47920969424894</v>
      </c>
      <c r="DU53" s="59">
        <f t="shared" si="44"/>
        <v>271.73544012419364</v>
      </c>
      <c r="DV53" s="15">
        <f>IF(ISNA(VLOOKUP(A53,'Données projet'!$A$165:$I$185,3,0)),0,VLOOKUP(A53,'Données projet'!$A$165:$I$185,3,0))</f>
        <v>3</v>
      </c>
      <c r="DW53" s="15">
        <f>IF(ISNA(VLOOKUP(A53,'Données projet'!$A$165:$I$185,4,0)),0,VLOOKUP(A53,'Données projet'!$A$165:$I$185,4,0))</f>
        <v>42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199</v>
      </c>
      <c r="EH53" s="12">
        <f>VLOOKUP(A53,'Données projet'!$A$191:$I$211,9,0)</f>
        <v>8.1999999999999993</v>
      </c>
      <c r="EI53" s="12">
        <f t="array" ref="EI53">INDEX(EH:EH,MIN(IF(ISNUMBER(EH53:EH249),ROW(EH53:EH249),"")))</f>
        <v>8.1999999999999993</v>
      </c>
      <c r="EJ53" s="12">
        <f>IF('Données projet'!$A$192&gt;35,EJ52+EI53-ER52,IF(A53&lt;'Données projet'!$A$192,$EG$205^A53,IF(A53='Données projet'!$A$192,'Données projet'!$B$192,EJ52+EI53-ER52)))</f>
        <v>199</v>
      </c>
      <c r="EK53" s="17">
        <f>EJ53*VLOOKUP('Données projet'!$B$15,Paramètres!$A$1:$I$89,3,0)*VLOOKUP('Données projet'!$B$15,Paramètres!$A$1:$I$89,5,0)</f>
        <v>180.05519999999999</v>
      </c>
      <c r="EL53" s="13">
        <f t="shared" si="45"/>
        <v>45.334466930398364</v>
      </c>
      <c r="EM53" s="20">
        <f t="shared" si="19"/>
        <v>392.55366990377706</v>
      </c>
      <c r="EN53" s="59">
        <f t="shared" si="20"/>
        <v>685.88700323711032</v>
      </c>
      <c r="EO53" s="59">
        <f ca="1">AVERAGE(OFFSET($EN$3,0,0,'Données projet'!$E$15+1,1))-AVERAGE(OFFSET($H$3,0,0,'Données projet'!$E$15+1,1))</f>
        <v>428.8489304403459</v>
      </c>
      <c r="EP53" s="59">
        <f t="shared" si="46"/>
        <v>247.01165577562966</v>
      </c>
      <c r="EQ53" s="15">
        <f>IF(ISNA(VLOOKUP(A53,'Données projet'!$A$191:$I$211,3,0)),0,VLOOKUP(A53,'Données projet'!$A$191:$I$211,3,0))</f>
        <v>3</v>
      </c>
      <c r="ER53" s="15">
        <f>IF(ISNA(VLOOKUP(A53,'Données projet'!$A$191:$I$211,4,0)),0,VLOOKUP(A53,'Données projet'!$A$191:$I$211,4,0))</f>
        <v>42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>
        <f>FE53*VLOOKUP('Données projet'!$B$16,Paramètres!$A$1:$I$89,3,0)*VLOOKUP('Données projet'!$B$16,Paramètres!$A$1:$I$89,5,0)</f>
        <v>0</v>
      </c>
      <c r="FG53" s="13" t="e">
        <f t="shared" si="47"/>
        <v>#NUM!</v>
      </c>
      <c r="FH53" s="20" t="e">
        <f t="shared" si="22"/>
        <v>#NUM!</v>
      </c>
      <c r="FI53" s="59" t="e">
        <f t="shared" si="23"/>
        <v>#NUM!</v>
      </c>
      <c r="FJ53" s="59">
        <f ca="1">AVERAGE(OFFSET($FI$3,0,0,'Données projet'!$E$16+1,1))-AVERAGE(OFFSET($H$3,0,0,'Données projet'!$E$16+1,1))</f>
        <v>245.25496369542458</v>
      </c>
      <c r="FK53" s="59">
        <f t="shared" si="48"/>
        <v>342.30266518164211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 t="e">
        <f>N54*VLOOKUP('Données projet'!$B$9,Paramètres!$A$1:$I$89,3,0)*VLOOKUP('Données projet'!$B$9,Paramètres!$A$1:$I$89,5,0)</f>
        <v>#N/A</v>
      </c>
      <c r="P54" s="13" t="e">
        <f t="shared" si="33"/>
        <v>#N/A</v>
      </c>
      <c r="Q54" s="20" t="e">
        <f t="shared" si="53"/>
        <v>#N/A</v>
      </c>
      <c r="R54" s="59" t="e">
        <f t="shared" si="0"/>
        <v>#N/A</v>
      </c>
      <c r="S54" s="59" t="e">
        <f ca="1">AVERAGE(OFFSET($R$3,0,0,'Données projet'!$E$9+1,1))-AVERAGE(OFFSET($H$3,0,0,'Données projet'!$E$9+1,1))</f>
        <v>#N/A</v>
      </c>
      <c r="T54" s="59" t="e">
        <f t="shared" si="34"/>
        <v>#N/A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 t="e">
        <f>EXP(-LN(2)/35)*Z53+(1-EXP(-LN(2)/35))/(LN(2)/35)*V54*W54*VLOOKUP('Données projet'!$B$9,Paramètres!$A$1:$I$89,3,0)*0.475*44/12</f>
        <v>#N/A</v>
      </c>
      <c r="AA54" s="21" t="e">
        <f>EXP(-LN(2)/25)*AA53+(1-EXP(-LN(2)/25))/(LN(2)/25)*Calculateur!V54*Calculateur!X54*VLOOKUP('Données projet'!$B$9,Paramètres!$A$1:$I$89,3,0)*0.475*44/12</f>
        <v>#N/A</v>
      </c>
      <c r="AB54" s="21" t="e">
        <f>EXP(-LN(2)/2)*AB53+(1-EXP(-LN(2)/2))/(LN(2)/2)*V54*Y54*VLOOKUP('Données projet'!$B$9,Paramètres!$A$1:$I$89,3,0)*0.475*44/12</f>
        <v>#N/A</v>
      </c>
      <c r="AC54" s="22" t="e">
        <f t="shared" si="3"/>
        <v>#N/A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6.4</v>
      </c>
      <c r="AI54" s="13">
        <f>IF('Données projet'!$A$62&gt;35,AI53+AH54-AQ53,IF(A54&lt;'Données projet'!$A$62,$AF$205^A54,IF(A54='Données projet'!$A$62,'Données projet'!$B$62,AI53+AH54-AQ53)))</f>
        <v>207.39999999999984</v>
      </c>
      <c r="AJ54" s="13">
        <f>AI54*VLOOKUP('Données projet'!$B$10,Paramètres!$A$1:$I$89,3,0)*VLOOKUP('Données projet'!$B$10,Paramètres!$A$1:$I$89,5,0)</f>
        <v>181.18463999999989</v>
      </c>
      <c r="AK54" s="13">
        <f t="shared" si="35"/>
        <v>45.585646034700282</v>
      </c>
      <c r="AL54" s="20">
        <f t="shared" si="4"/>
        <v>394.9582481771028</v>
      </c>
      <c r="AM54" s="59">
        <f t="shared" si="5"/>
        <v>688.29158151043612</v>
      </c>
      <c r="AN54" s="59">
        <f ca="1">AVERAGE(OFFSET($AM$3,0,0,'Données projet'!$E$10+1,1))-AVERAGE(OFFSET($H$3,0,0,'Données projet'!$E$10+1,1))</f>
        <v>338.55719679154777</v>
      </c>
      <c r="AO54" s="59">
        <f t="shared" si="36"/>
        <v>371.26234252426531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4.8717948717948731</v>
      </c>
      <c r="BD54" s="12">
        <f>IF('Données projet'!$A$88&gt;35,BD53+BC54-BL53,IF(A54&lt;'Données projet'!$A$88,$BA$205^A54,IF(A54='Données projet'!$A$88,'Données projet'!$B$88,BD53+BC54-BL53)))</f>
        <v>163.20512820512815</v>
      </c>
      <c r="BE54" s="13">
        <f>BD54*VLOOKUP('Données projet'!$B$11,Paramètres!$A$1:$I$89,3,0)*VLOOKUP('Données projet'!$B$11,Paramètres!$A$1:$I$89,5,0)</f>
        <v>155.30599999999995</v>
      </c>
      <c r="BF54" s="13">
        <f t="shared" si="37"/>
        <v>39.781942810239308</v>
      </c>
      <c r="BG54" s="20">
        <f t="shared" si="7"/>
        <v>339.7781670611667</v>
      </c>
      <c r="BH54" s="59">
        <f t="shared" si="8"/>
        <v>633.11150039450001</v>
      </c>
      <c r="BI54" s="59">
        <f ca="1">AVERAGE(OFFSET($BH$3,0,0,'Données projet'!$E$11+1,1))-AVERAGE(OFFSET($H$3,0,0,'Données projet'!$E$11+1,1))</f>
        <v>351.6178679548006</v>
      </c>
      <c r="BJ54" s="59">
        <f t="shared" si="38"/>
        <v>244.7141066773861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>
        <f>VLOOKUP(A54,'Données projet'!$A$113:$I$133,2,0)</f>
        <v>321.53846153846155</v>
      </c>
      <c r="BW54" s="12">
        <f>VLOOKUP(A54,'Données projet'!$A$113:$I$133,9,0)</f>
        <v>10.402930402930403</v>
      </c>
      <c r="BX54" s="12">
        <f t="array" ref="BX54">INDEX(BW:BW,MIN(IF(ISNUMBER(BW54:BW250),ROW(BW54:BW250),"")))</f>
        <v>10.402930402930403</v>
      </c>
      <c r="BY54" s="12">
        <f>IF('Données projet'!$A$114&gt;35,BY53+BX54-CG53,IF(A54&lt;'Données projet'!$A$114,$BV$205^A54,IF(A54='Données projet'!$A$114,'Données projet'!$B$114,BY53+BX54-CG53)))</f>
        <v>321.53846153846143</v>
      </c>
      <c r="BZ54" s="13">
        <f>BY54*VLOOKUP('Données projet'!$B$12,Paramètres!$A$1:$I$89,3,0)*VLOOKUP('Données projet'!$B$12,Paramètres!$A$1:$I$89,5,0)</f>
        <v>150.47999999999996</v>
      </c>
      <c r="CA54" s="13">
        <f t="shared" si="39"/>
        <v>38.687647052039566</v>
      </c>
      <c r="CB54" s="20">
        <f t="shared" si="10"/>
        <v>329.46698528230218</v>
      </c>
      <c r="CC54" s="59">
        <f t="shared" si="11"/>
        <v>622.80031861563543</v>
      </c>
      <c r="CD54" s="59">
        <f ca="1">AVERAGE(OFFSET($CC$3,0,0,'Données projet'!$E$12+1,1))-AVERAGE(OFFSET($H$3,0,0,'Données projet'!$E$12+1,1))</f>
        <v>246.66630850723385</v>
      </c>
      <c r="CE54" s="59">
        <f t="shared" si="40"/>
        <v>145.34368562171613</v>
      </c>
      <c r="CF54" s="15">
        <f>IF(ISNA(VLOOKUP(A54,'Données projet'!$A$113:$I$133,3,0)),0,VLOOKUP(A54,'Données projet'!$A$113:$I$133,3,0))</f>
        <v>1</v>
      </c>
      <c r="CG54" s="15">
        <f>IF(ISNA(VLOOKUP(A54,'Données projet'!$A$113:$I$133,4,0)),0,VLOOKUP(A54,'Données projet'!$A$113:$I$133,4,0))</f>
        <v>100.30769230769231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10.375</v>
      </c>
      <c r="CT54" s="12">
        <f>IF('Données projet'!$A$140&gt;35,CT53+CS54-DB53,IF(A54&lt;'Données projet'!$A$140,$CQ$205^A54,IF(A54='Données projet'!$A$140,'Données projet'!$B$140,CT53+CS54-DB53)))</f>
        <v>259.62499999999994</v>
      </c>
      <c r="CU54" s="17">
        <f>CT54*VLOOKUP('Données projet'!$B$13,Paramètres!$A$1:$I$89,3,0)*VLOOKUP('Données projet'!$B$13,Paramètres!$A$1:$I$89,5,0)</f>
        <v>202.50749999999996</v>
      </c>
      <c r="CV54" s="13">
        <f t="shared" si="41"/>
        <v>50.294840086606349</v>
      </c>
      <c r="CW54" s="20">
        <f t="shared" si="13"/>
        <v>440.29740898417259</v>
      </c>
      <c r="CX54" s="59">
        <f t="shared" si="14"/>
        <v>733.63074231750591</v>
      </c>
      <c r="CY54" s="59">
        <f ca="1">AVERAGE(OFFSET($CX$3,0,0,'Données projet'!$E$13+1,1))-AVERAGE(OFFSET($H$3,0,0,'Données projet'!$E$13+1,1))</f>
        <v>292.57482726862594</v>
      </c>
      <c r="CZ54" s="59">
        <f t="shared" si="42"/>
        <v>283.48738729114024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</v>
      </c>
      <c r="DO54" s="12">
        <f>IF('Données projet'!$A$166&gt;35,DO53+DN54-DW53,IF(A54&lt;'Données projet'!$A$166,$DL$205^A54,IF(A54='Données projet'!$A$166,'Données projet'!$B$166,DO53+DN54-DW53)))</f>
        <v>165</v>
      </c>
      <c r="DP54" s="17">
        <f>DO54*VLOOKUP('Données projet'!$B$14,Paramètres!$A$1:$I$89,3,0)*VLOOKUP('Données projet'!$B$14,Paramètres!$A$1:$I$89,5,0)</f>
        <v>167.31</v>
      </c>
      <c r="DQ54" s="13">
        <f t="shared" si="43"/>
        <v>42.486994942347515</v>
      </c>
      <c r="DR54" s="20">
        <f t="shared" si="16"/>
        <v>365.39643285792187</v>
      </c>
      <c r="DS54" s="59">
        <f t="shared" si="17"/>
        <v>658.72976619125518</v>
      </c>
      <c r="DT54" s="59">
        <f ca="1">AVERAGE(OFFSET($DS$3,0,0,'Données projet'!$E$14+1,1))-AVERAGE(OFFSET($H$3,0,0,'Données projet'!$E$14+1,1))</f>
        <v>475.47920969424894</v>
      </c>
      <c r="DU54" s="59">
        <f t="shared" si="44"/>
        <v>271.73544012419364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8</v>
      </c>
      <c r="EJ54" s="12">
        <f>IF('Données projet'!$A$192&gt;35,EJ53+EI54-ER53,IF(A54&lt;'Données projet'!$A$192,$EG$205^A54,IF(A54='Données projet'!$A$192,'Données projet'!$B$192,EJ53+EI54-ER53)))</f>
        <v>165</v>
      </c>
      <c r="EK54" s="17">
        <f>EJ54*VLOOKUP('Données projet'!$B$15,Paramètres!$A$1:$I$89,3,0)*VLOOKUP('Données projet'!$B$15,Paramètres!$A$1:$I$89,5,0)</f>
        <v>149.29199999999997</v>
      </c>
      <c r="EL54" s="13">
        <f t="shared" si="45"/>
        <v>38.417645803815411</v>
      </c>
      <c r="EM54" s="20">
        <f t="shared" si="19"/>
        <v>326.9276331083118</v>
      </c>
      <c r="EN54" s="59">
        <f t="shared" si="20"/>
        <v>620.26096644164511</v>
      </c>
      <c r="EO54" s="59">
        <f ca="1">AVERAGE(OFFSET($EN$3,0,0,'Données projet'!$E$15+1,1))-AVERAGE(OFFSET($H$3,0,0,'Données projet'!$E$15+1,1))</f>
        <v>428.8489304403459</v>
      </c>
      <c r="EP54" s="59">
        <f t="shared" si="46"/>
        <v>247.01165577562966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>
        <f>FE54*VLOOKUP('Données projet'!$B$16,Paramètres!$A$1:$I$89,3,0)*VLOOKUP('Données projet'!$B$16,Paramètres!$A$1:$I$89,5,0)</f>
        <v>0</v>
      </c>
      <c r="FG54" s="13" t="e">
        <f t="shared" si="47"/>
        <v>#NUM!</v>
      </c>
      <c r="FH54" s="20" t="e">
        <f t="shared" si="22"/>
        <v>#NUM!</v>
      </c>
      <c r="FI54" s="59" t="e">
        <f t="shared" si="23"/>
        <v>#NUM!</v>
      </c>
      <c r="FJ54" s="59">
        <f ca="1">AVERAGE(OFFSET($FI$3,0,0,'Données projet'!$E$16+1,1))-AVERAGE(OFFSET($H$3,0,0,'Données projet'!$E$16+1,1))</f>
        <v>245.25496369542458</v>
      </c>
      <c r="FK54" s="59">
        <f t="shared" si="48"/>
        <v>342.30266518164211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 t="e">
        <f>N55*VLOOKUP('Données projet'!$B$9,Paramètres!$A$1:$I$89,3,0)*VLOOKUP('Données projet'!$B$9,Paramètres!$A$1:$I$89,5,0)</f>
        <v>#N/A</v>
      </c>
      <c r="P55" s="13" t="e">
        <f t="shared" si="33"/>
        <v>#N/A</v>
      </c>
      <c r="Q55" s="20" t="e">
        <f t="shared" si="53"/>
        <v>#N/A</v>
      </c>
      <c r="R55" s="59" t="e">
        <f t="shared" si="0"/>
        <v>#N/A</v>
      </c>
      <c r="S55" s="59" t="e">
        <f ca="1">AVERAGE(OFFSET($R$3,0,0,'Données projet'!$E$9+1,1))-AVERAGE(OFFSET($H$3,0,0,'Données projet'!$E$9+1,1))</f>
        <v>#N/A</v>
      </c>
      <c r="T55" s="59" t="e">
        <f t="shared" si="34"/>
        <v>#N/A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 t="e">
        <f>EXP(-LN(2)/35)*Z54+(1-EXP(-LN(2)/35))/(LN(2)/35)*V55*W55*VLOOKUP('Données projet'!$B$9,Paramètres!$A$1:$I$89,3,0)*0.475*44/12</f>
        <v>#N/A</v>
      </c>
      <c r="AA55" s="21" t="e">
        <f>EXP(-LN(2)/25)*AA54+(1-EXP(-LN(2)/25))/(LN(2)/25)*Calculateur!V55*Calculateur!X55*VLOOKUP('Données projet'!$B$9,Paramètres!$A$1:$I$89,3,0)*0.475*44/12</f>
        <v>#N/A</v>
      </c>
      <c r="AB55" s="21" t="e">
        <f>EXP(-LN(2)/2)*AB54+(1-EXP(-LN(2)/2))/(LN(2)/2)*V55*Y55*VLOOKUP('Données projet'!$B$9,Paramètres!$A$1:$I$89,3,0)*0.475*44/12</f>
        <v>#N/A</v>
      </c>
      <c r="AC55" s="22" t="e">
        <f t="shared" si="3"/>
        <v>#N/A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6.4</v>
      </c>
      <c r="AI55" s="13">
        <f>IF('Données projet'!$A$62&gt;35,AI54+AH55-AQ54,IF(A55&lt;'Données projet'!$A$62,$AF$205^A55,IF(A55='Données projet'!$A$62,'Données projet'!$B$62,AI54+AH55-AQ54)))</f>
        <v>213.79999999999984</v>
      </c>
      <c r="AJ55" s="13">
        <f>AI55*VLOOKUP('Données projet'!$B$10,Paramètres!$A$1:$I$89,3,0)*VLOOKUP('Données projet'!$B$10,Paramètres!$A$1:$I$89,5,0)</f>
        <v>186.77567999999988</v>
      </c>
      <c r="AK55" s="13">
        <f t="shared" si="35"/>
        <v>46.826392937381165</v>
      </c>
      <c r="AL55" s="20">
        <f t="shared" si="4"/>
        <v>406.85694369927199</v>
      </c>
      <c r="AM55" s="59">
        <f t="shared" si="5"/>
        <v>700.19027703260531</v>
      </c>
      <c r="AN55" s="59">
        <f ca="1">AVERAGE(OFFSET($AM$3,0,0,'Données projet'!$E$10+1,1))-AVERAGE(OFFSET($H$3,0,0,'Données projet'!$E$10+1,1))</f>
        <v>338.55719679154777</v>
      </c>
      <c r="AO55" s="59">
        <f t="shared" si="36"/>
        <v>371.26234252426531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4.8717948717948731</v>
      </c>
      <c r="BD55" s="12">
        <f>IF('Données projet'!$A$88&gt;35,BD54+BC55-BL54,IF(A55&lt;'Données projet'!$A$88,$BA$205^A55,IF(A55='Données projet'!$A$88,'Données projet'!$B$88,BD54+BC55-BL54)))</f>
        <v>168.07692307692301</v>
      </c>
      <c r="BE55" s="13">
        <f>BD55*VLOOKUP('Données projet'!$B$11,Paramètres!$A$1:$I$89,3,0)*VLOOKUP('Données projet'!$B$11,Paramètres!$A$1:$I$89,5,0)</f>
        <v>159.94199999999995</v>
      </c>
      <c r="BF55" s="13">
        <f t="shared" si="37"/>
        <v>40.829433068762448</v>
      </c>
      <c r="BG55" s="20">
        <f t="shared" si="7"/>
        <v>349.67691259476118</v>
      </c>
      <c r="BH55" s="59">
        <f t="shared" si="8"/>
        <v>643.01024592809449</v>
      </c>
      <c r="BI55" s="59">
        <f ca="1">AVERAGE(OFFSET($BH$3,0,0,'Données projet'!$E$11+1,1))-AVERAGE(OFFSET($H$3,0,0,'Données projet'!$E$11+1,1))</f>
        <v>351.6178679548006</v>
      </c>
      <c r="BJ55" s="59">
        <f t="shared" si="38"/>
        <v>244.7141066773861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10.794871794871796</v>
      </c>
      <c r="BY55" s="12">
        <f>IF('Données projet'!$A$114&gt;35,BY54+BX55-CG54,IF(A55&lt;'Données projet'!$A$114,$BV$205^A55,IF(A55='Données projet'!$A$114,'Données projet'!$B$114,BY54+BX55-CG54)))</f>
        <v>232.02564102564094</v>
      </c>
      <c r="BZ55" s="13">
        <f>BY55*VLOOKUP('Données projet'!$B$12,Paramètres!$A$1:$I$89,3,0)*VLOOKUP('Données projet'!$B$12,Paramètres!$A$1:$I$89,5,0)</f>
        <v>108.58799999999997</v>
      </c>
      <c r="CA55" s="13">
        <f t="shared" si="39"/>
        <v>28.998056627991119</v>
      </c>
      <c r="CB55" s="20">
        <f t="shared" si="10"/>
        <v>239.62904862708442</v>
      </c>
      <c r="CC55" s="59">
        <f t="shared" si="11"/>
        <v>532.9623819604177</v>
      </c>
      <c r="CD55" s="59">
        <f ca="1">AVERAGE(OFFSET($CC$3,0,0,'Données projet'!$E$12+1,1))-AVERAGE(OFFSET($H$3,0,0,'Données projet'!$E$12+1,1))</f>
        <v>246.66630850723385</v>
      </c>
      <c r="CE55" s="59">
        <f t="shared" si="40"/>
        <v>145.34368562171613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270</v>
      </c>
      <c r="CR55" s="12">
        <f>VLOOKUP(A55,'Données projet'!$A$139:$I$159,9,0)</f>
        <v>10.375</v>
      </c>
      <c r="CS55" s="12">
        <f t="array" ref="CS55">INDEX(CR:CR,MIN(IF(ISNUMBER(CR55:CR251),ROW(CR55:CR251),"")))</f>
        <v>10.375</v>
      </c>
      <c r="CT55" s="12">
        <f>IF('Données projet'!$A$140&gt;35,CT54+CS55-DB54,IF(A55&lt;'Données projet'!$A$140,$CQ$205^A55,IF(A55='Données projet'!$A$140,'Données projet'!$B$140,CT54+CS55-DB54)))</f>
        <v>269.99999999999994</v>
      </c>
      <c r="CU55" s="17">
        <f>CT55*VLOOKUP('Données projet'!$B$13,Paramètres!$A$1:$I$89,3,0)*VLOOKUP('Données projet'!$B$13,Paramètres!$A$1:$I$89,5,0)</f>
        <v>210.59999999999997</v>
      </c>
      <c r="CV55" s="13">
        <f t="shared" si="41"/>
        <v>52.066679014659961</v>
      </c>
      <c r="CW55" s="20">
        <f t="shared" si="13"/>
        <v>457.47779928386598</v>
      </c>
      <c r="CX55" s="59">
        <f t="shared" si="14"/>
        <v>750.81113261719929</v>
      </c>
      <c r="CY55" s="59">
        <f ca="1">AVERAGE(OFFSET($CX$3,0,0,'Données projet'!$E$13+1,1))-AVERAGE(OFFSET($H$3,0,0,'Données projet'!$E$13+1,1))</f>
        <v>292.57482726862594</v>
      </c>
      <c r="CZ55" s="59">
        <f t="shared" si="42"/>
        <v>283.48738729114024</v>
      </c>
      <c r="DA55" s="15">
        <f>IF(ISNA(VLOOKUP(A55,'Données projet'!$A$139:$I$159,3,0)),0,VLOOKUP(A55,'Données projet'!$A$139:$I$159,3,0))</f>
        <v>5</v>
      </c>
      <c r="DB55" s="15">
        <f>IF(ISNA(VLOOKUP(A55,'Données projet'!$A$139:$I$159,4,0)),0,VLOOKUP(A55,'Données projet'!$A$139:$I$159,4,0))</f>
        <v>48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</v>
      </c>
      <c r="DO55" s="12">
        <f>IF('Données projet'!$A$166&gt;35,DO54+DN55-DW54,IF(A55&lt;'Données projet'!$A$166,$DL$205^A55,IF(A55='Données projet'!$A$166,'Données projet'!$B$166,DO54+DN55-DW54)))</f>
        <v>173</v>
      </c>
      <c r="DP55" s="17">
        <f>DO55*VLOOKUP('Données projet'!$B$14,Paramètres!$A$1:$I$89,3,0)*VLOOKUP('Données projet'!$B$14,Paramètres!$A$1:$I$89,5,0)</f>
        <v>175.422</v>
      </c>
      <c r="DQ55" s="13">
        <f t="shared" si="43"/>
        <v>44.302143412304737</v>
      </c>
      <c r="DR55" s="20">
        <f t="shared" si="16"/>
        <v>382.68621644309741</v>
      </c>
      <c r="DS55" s="59">
        <f t="shared" si="17"/>
        <v>676.01954977643072</v>
      </c>
      <c r="DT55" s="59">
        <f ca="1">AVERAGE(OFFSET($DS$3,0,0,'Données projet'!$E$14+1,1))-AVERAGE(OFFSET($H$3,0,0,'Données projet'!$E$14+1,1))</f>
        <v>475.47920969424894</v>
      </c>
      <c r="DU55" s="59">
        <f t="shared" si="44"/>
        <v>271.73544012419364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8</v>
      </c>
      <c r="EJ55" s="12">
        <f>IF('Données projet'!$A$192&gt;35,EJ54+EI55-ER54,IF(A55&lt;'Données projet'!$A$192,$EG$205^A55,IF(A55='Données projet'!$A$192,'Données projet'!$B$192,EJ54+EI55-ER54)))</f>
        <v>173</v>
      </c>
      <c r="EK55" s="17">
        <f>EJ55*VLOOKUP('Données projet'!$B$15,Paramètres!$A$1:$I$89,3,0)*VLOOKUP('Données projet'!$B$15,Paramètres!$A$1:$I$89,5,0)</f>
        <v>156.53039999999999</v>
      </c>
      <c r="EL55" s="13">
        <f t="shared" si="45"/>
        <v>40.058941713182037</v>
      </c>
      <c r="EM55" s="20">
        <f t="shared" si="19"/>
        <v>342.393103483792</v>
      </c>
      <c r="EN55" s="59">
        <f t="shared" si="20"/>
        <v>635.72643681712532</v>
      </c>
      <c r="EO55" s="59">
        <f ca="1">AVERAGE(OFFSET($EN$3,0,0,'Données projet'!$E$15+1,1))-AVERAGE(OFFSET($H$3,0,0,'Données projet'!$E$15+1,1))</f>
        <v>428.8489304403459</v>
      </c>
      <c r="EP55" s="59">
        <f t="shared" si="46"/>
        <v>247.01165577562966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>
        <f>FE55*VLOOKUP('Données projet'!$B$16,Paramètres!$A$1:$I$89,3,0)*VLOOKUP('Données projet'!$B$16,Paramètres!$A$1:$I$89,5,0)</f>
        <v>0</v>
      </c>
      <c r="FG55" s="13" t="e">
        <f t="shared" si="47"/>
        <v>#NUM!</v>
      </c>
      <c r="FH55" s="20" t="e">
        <f t="shared" si="22"/>
        <v>#NUM!</v>
      </c>
      <c r="FI55" s="59" t="e">
        <f t="shared" si="23"/>
        <v>#NUM!</v>
      </c>
      <c r="FJ55" s="59">
        <f ca="1">AVERAGE(OFFSET($FI$3,0,0,'Données projet'!$E$16+1,1))-AVERAGE(OFFSET($H$3,0,0,'Données projet'!$E$16+1,1))</f>
        <v>245.25496369542458</v>
      </c>
      <c r="FK55" s="59">
        <f t="shared" si="48"/>
        <v>342.30266518164211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 t="e">
        <f>N56*VLOOKUP('Données projet'!$B$9,Paramètres!$A$1:$I$89,3,0)*VLOOKUP('Données projet'!$B$9,Paramètres!$A$1:$I$89,5,0)</f>
        <v>#N/A</v>
      </c>
      <c r="P56" s="13" t="e">
        <f t="shared" si="33"/>
        <v>#N/A</v>
      </c>
      <c r="Q56" s="20" t="e">
        <f t="shared" si="53"/>
        <v>#N/A</v>
      </c>
      <c r="R56" s="59" t="e">
        <f t="shared" si="0"/>
        <v>#N/A</v>
      </c>
      <c r="S56" s="59" t="e">
        <f ca="1">AVERAGE(OFFSET($R$3,0,0,'Données projet'!$E$9+1,1))-AVERAGE(OFFSET($H$3,0,0,'Données projet'!$E$9+1,1))</f>
        <v>#N/A</v>
      </c>
      <c r="T56" s="59" t="e">
        <f t="shared" si="34"/>
        <v>#N/A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 t="e">
        <f>EXP(-LN(2)/35)*Z55+(1-EXP(-LN(2)/35))/(LN(2)/35)*V56*W56*VLOOKUP('Données projet'!$B$9,Paramètres!$A$1:$I$89,3,0)*0.475*44/12</f>
        <v>#N/A</v>
      </c>
      <c r="AA56" s="21" t="e">
        <f>EXP(-LN(2)/25)*AA55+(1-EXP(-LN(2)/25))/(LN(2)/25)*Calculateur!V56*Calculateur!X56*VLOOKUP('Données projet'!$B$9,Paramètres!$A$1:$I$89,3,0)*0.475*44/12</f>
        <v>#N/A</v>
      </c>
      <c r="AB56" s="21" t="e">
        <f>EXP(-LN(2)/2)*AB55+(1-EXP(-LN(2)/2))/(LN(2)/2)*V56*Y56*VLOOKUP('Données projet'!$B$9,Paramètres!$A$1:$I$89,3,0)*0.475*44/12</f>
        <v>#N/A</v>
      </c>
      <c r="AC56" s="22" t="e">
        <f t="shared" si="3"/>
        <v>#N/A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6.4</v>
      </c>
      <c r="AI56" s="13">
        <f>IF('Données projet'!$A$62&gt;35,AI55+AH56-AQ55,IF(A56&lt;'Données projet'!$A$62,$AF$205^A56,IF(A56='Données projet'!$A$62,'Données projet'!$B$62,AI55+AH56-AQ55)))</f>
        <v>220.19999999999985</v>
      </c>
      <c r="AJ56" s="13">
        <f>AI56*VLOOKUP('Données projet'!$B$10,Paramètres!$A$1:$I$89,3,0)*VLOOKUP('Données projet'!$B$10,Paramètres!$A$1:$I$89,5,0)</f>
        <v>192.3667199999999</v>
      </c>
      <c r="AK56" s="13">
        <f t="shared" si="35"/>
        <v>48.062823450978094</v>
      </c>
      <c r="AL56" s="20">
        <f t="shared" si="4"/>
        <v>418.7481215104533</v>
      </c>
      <c r="AM56" s="59">
        <f t="shared" si="5"/>
        <v>712.08145484378656</v>
      </c>
      <c r="AN56" s="59">
        <f ca="1">AVERAGE(OFFSET($AM$3,0,0,'Données projet'!$E$10+1,1))-AVERAGE(OFFSET($H$3,0,0,'Données projet'!$E$10+1,1))</f>
        <v>338.55719679154777</v>
      </c>
      <c r="AO56" s="59">
        <f t="shared" si="36"/>
        <v>371.26234252426531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4.8717948717948731</v>
      </c>
      <c r="BD56" s="12">
        <f>IF('Données projet'!$A$88&gt;35,BD55+BC56-BL55,IF(A56&lt;'Données projet'!$A$88,$BA$205^A56,IF(A56='Données projet'!$A$88,'Données projet'!$B$88,BD55+BC56-BL55)))</f>
        <v>172.94871794871787</v>
      </c>
      <c r="BE56" s="13">
        <f>BD56*VLOOKUP('Données projet'!$B$11,Paramètres!$A$1:$I$89,3,0)*VLOOKUP('Données projet'!$B$11,Paramètres!$A$1:$I$89,5,0)</f>
        <v>164.57799999999992</v>
      </c>
      <c r="BF56" s="13">
        <f t="shared" si="37"/>
        <v>41.873394619387192</v>
      </c>
      <c r="BG56" s="20">
        <f t="shared" si="7"/>
        <v>359.56951229543256</v>
      </c>
      <c r="BH56" s="59">
        <f t="shared" si="8"/>
        <v>652.90284562876582</v>
      </c>
      <c r="BI56" s="59">
        <f ca="1">AVERAGE(OFFSET($BH$3,0,0,'Données projet'!$E$11+1,1))-AVERAGE(OFFSET($H$3,0,0,'Données projet'!$E$11+1,1))</f>
        <v>351.6178679548006</v>
      </c>
      <c r="BJ56" s="59">
        <f t="shared" si="38"/>
        <v>244.7141066773861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10.794871794871796</v>
      </c>
      <c r="BY56" s="12">
        <f>IF('Données projet'!$A$114&gt;35,BY55+BX56-CG55,IF(A56&lt;'Données projet'!$A$114,$BV$205^A56,IF(A56='Données projet'!$A$114,'Données projet'!$B$114,BY55+BX56-CG55)))</f>
        <v>242.82051282051273</v>
      </c>
      <c r="BZ56" s="13">
        <f>BY56*VLOOKUP('Données projet'!$B$12,Paramètres!$A$1:$I$89,3,0)*VLOOKUP('Données projet'!$B$12,Paramètres!$A$1:$I$89,5,0)</f>
        <v>113.63999999999996</v>
      </c>
      <c r="CA56" s="13">
        <f t="shared" si="39"/>
        <v>30.186965285700335</v>
      </c>
      <c r="CB56" s="20">
        <f t="shared" si="10"/>
        <v>250.49863120592798</v>
      </c>
      <c r="CC56" s="59">
        <f t="shared" si="11"/>
        <v>543.83196453926132</v>
      </c>
      <c r="CD56" s="59">
        <f ca="1">AVERAGE(OFFSET($CC$3,0,0,'Données projet'!$E$12+1,1))-AVERAGE(OFFSET($H$3,0,0,'Données projet'!$E$12+1,1))</f>
        <v>246.66630850723385</v>
      </c>
      <c r="CE56" s="59">
        <f t="shared" si="40"/>
        <v>145.34368562171613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9.375</v>
      </c>
      <c r="CT56" s="12">
        <f>IF('Données projet'!$A$140&gt;35,CT55+CS56-DB55,IF(A56&lt;'Données projet'!$A$140,$CQ$205^A56,IF(A56='Données projet'!$A$140,'Données projet'!$B$140,CT55+CS56-DB55)))</f>
        <v>231.37499999999994</v>
      </c>
      <c r="CU56" s="17">
        <f>CT56*VLOOKUP('Données projet'!$B$13,Paramètres!$A$1:$I$89,3,0)*VLOOKUP('Données projet'!$B$13,Paramètres!$A$1:$I$89,5,0)</f>
        <v>180.47249999999997</v>
      </c>
      <c r="CV56" s="13">
        <f t="shared" si="41"/>
        <v>45.427292666837829</v>
      </c>
      <c r="CW56" s="20">
        <f t="shared" si="13"/>
        <v>393.44213889474253</v>
      </c>
      <c r="CX56" s="59">
        <f t="shared" si="14"/>
        <v>686.77547222807584</v>
      </c>
      <c r="CY56" s="59">
        <f ca="1">AVERAGE(OFFSET($CX$3,0,0,'Données projet'!$E$13+1,1))-AVERAGE(OFFSET($H$3,0,0,'Données projet'!$E$13+1,1))</f>
        <v>292.57482726862594</v>
      </c>
      <c r="CZ56" s="59">
        <f t="shared" si="42"/>
        <v>283.48738729114024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</v>
      </c>
      <c r="DO56" s="12">
        <f>IF('Données projet'!$A$166&gt;35,DO55+DN56-DW55,IF(A56&lt;'Données projet'!$A$166,$DL$205^A56,IF(A56='Données projet'!$A$166,'Données projet'!$B$166,DO55+DN56-DW55)))</f>
        <v>181</v>
      </c>
      <c r="DP56" s="17">
        <f>DO56*VLOOKUP('Données projet'!$B$14,Paramètres!$A$1:$I$89,3,0)*VLOOKUP('Données projet'!$B$14,Paramètres!$A$1:$I$89,5,0)</f>
        <v>183.53400000000002</v>
      </c>
      <c r="DQ56" s="13">
        <f t="shared" si="43"/>
        <v>46.107544136839593</v>
      </c>
      <c r="DR56" s="20">
        <f t="shared" si="16"/>
        <v>399.95902270499568</v>
      </c>
      <c r="DS56" s="59">
        <f t="shared" si="17"/>
        <v>693.29235603832899</v>
      </c>
      <c r="DT56" s="59">
        <f ca="1">AVERAGE(OFFSET($DS$3,0,0,'Données projet'!$E$14+1,1))-AVERAGE(OFFSET($H$3,0,0,'Données projet'!$E$14+1,1))</f>
        <v>475.47920969424894</v>
      </c>
      <c r="DU56" s="59">
        <f t="shared" si="44"/>
        <v>271.73544012419364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8</v>
      </c>
      <c r="EJ56" s="12">
        <f>IF('Données projet'!$A$192&gt;35,EJ55+EI56-ER55,IF(A56&lt;'Données projet'!$A$192,$EG$205^A56,IF(A56='Données projet'!$A$192,'Données projet'!$B$192,EJ55+EI56-ER55)))</f>
        <v>181</v>
      </c>
      <c r="EK56" s="17">
        <f>EJ56*VLOOKUP('Données projet'!$B$15,Paramètres!$A$1:$I$89,3,0)*VLOOKUP('Données projet'!$B$15,Paramètres!$A$1:$I$89,5,0)</f>
        <v>163.7688</v>
      </c>
      <c r="EL56" s="13">
        <f t="shared" si="45"/>
        <v>41.691423503509803</v>
      </c>
      <c r="EM56" s="20">
        <f t="shared" si="19"/>
        <v>357.84322260194625</v>
      </c>
      <c r="EN56" s="59">
        <f t="shared" si="20"/>
        <v>651.17655593527957</v>
      </c>
      <c r="EO56" s="59">
        <f ca="1">AVERAGE(OFFSET($EN$3,0,0,'Données projet'!$E$15+1,1))-AVERAGE(OFFSET($H$3,0,0,'Données projet'!$E$15+1,1))</f>
        <v>428.8489304403459</v>
      </c>
      <c r="EP56" s="59">
        <f t="shared" si="46"/>
        <v>247.01165577562966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>
        <f>FE56*VLOOKUP('Données projet'!$B$16,Paramètres!$A$1:$I$89,3,0)*VLOOKUP('Données projet'!$B$16,Paramètres!$A$1:$I$89,5,0)</f>
        <v>0</v>
      </c>
      <c r="FG56" s="13" t="e">
        <f t="shared" si="47"/>
        <v>#NUM!</v>
      </c>
      <c r="FH56" s="20" t="e">
        <f t="shared" si="22"/>
        <v>#NUM!</v>
      </c>
      <c r="FI56" s="59" t="e">
        <f t="shared" si="23"/>
        <v>#NUM!</v>
      </c>
      <c r="FJ56" s="59">
        <f ca="1">AVERAGE(OFFSET($FI$3,0,0,'Données projet'!$E$16+1,1))-AVERAGE(OFFSET($H$3,0,0,'Données projet'!$E$16+1,1))</f>
        <v>245.25496369542458</v>
      </c>
      <c r="FK56" s="59">
        <f t="shared" si="48"/>
        <v>342.30266518164211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 t="e">
        <f>N57*VLOOKUP('Données projet'!$B$9,Paramètres!$A$1:$I$89,3,0)*VLOOKUP('Données projet'!$B$9,Paramètres!$A$1:$I$89,5,0)</f>
        <v>#N/A</v>
      </c>
      <c r="P57" s="13" t="e">
        <f t="shared" si="33"/>
        <v>#N/A</v>
      </c>
      <c r="Q57" s="20" t="e">
        <f t="shared" si="53"/>
        <v>#N/A</v>
      </c>
      <c r="R57" s="59" t="e">
        <f t="shared" si="0"/>
        <v>#N/A</v>
      </c>
      <c r="S57" s="59" t="e">
        <f ca="1">AVERAGE(OFFSET($R$3,0,0,'Données projet'!$E$9+1,1))-AVERAGE(OFFSET($H$3,0,0,'Données projet'!$E$9+1,1))</f>
        <v>#N/A</v>
      </c>
      <c r="T57" s="59" t="e">
        <f t="shared" si="34"/>
        <v>#N/A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 t="e">
        <f>EXP(-LN(2)/35)*Z56+(1-EXP(-LN(2)/35))/(LN(2)/35)*V57*W57*VLOOKUP('Données projet'!$B$9,Paramètres!$A$1:$I$89,3,0)*0.475*44/12</f>
        <v>#N/A</v>
      </c>
      <c r="AA57" s="21" t="e">
        <f>EXP(-LN(2)/25)*AA56+(1-EXP(-LN(2)/25))/(LN(2)/25)*Calculateur!V57*Calculateur!X57*VLOOKUP('Données projet'!$B$9,Paramètres!$A$1:$I$89,3,0)*0.475*44/12</f>
        <v>#N/A</v>
      </c>
      <c r="AB57" s="21" t="e">
        <f>EXP(-LN(2)/2)*AB56+(1-EXP(-LN(2)/2))/(LN(2)/2)*V57*Y57*VLOOKUP('Données projet'!$B$9,Paramètres!$A$1:$I$89,3,0)*0.475*44/12</f>
        <v>#N/A</v>
      </c>
      <c r="AC57" s="22" t="e">
        <f t="shared" si="3"/>
        <v>#N/A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6.4</v>
      </c>
      <c r="AI57" s="13">
        <f>IF('Données projet'!$A$62&gt;35,AI56+AH57-AQ56,IF(A57&lt;'Données projet'!$A$62,$AF$205^A57,IF(A57='Données projet'!$A$62,'Données projet'!$B$62,AI56+AH57-AQ56)))</f>
        <v>226.59999999999985</v>
      </c>
      <c r="AJ57" s="13">
        <f>AI57*VLOOKUP('Données projet'!$B$10,Paramètres!$A$1:$I$89,3,0)*VLOOKUP('Données projet'!$B$10,Paramètres!$A$1:$I$89,5,0)</f>
        <v>197.95775999999989</v>
      </c>
      <c r="AK57" s="13">
        <f t="shared" si="35"/>
        <v>49.295077435194607</v>
      </c>
      <c r="AL57" s="20">
        <f t="shared" si="4"/>
        <v>430.63202519963039</v>
      </c>
      <c r="AM57" s="59">
        <f t="shared" si="5"/>
        <v>723.96535853296371</v>
      </c>
      <c r="AN57" s="59">
        <f ca="1">AVERAGE(OFFSET($AM$3,0,0,'Données projet'!$E$10+1,1))-AVERAGE(OFFSET($H$3,0,0,'Données projet'!$E$10+1,1))</f>
        <v>338.55719679154777</v>
      </c>
      <c r="AO57" s="59">
        <f t="shared" si="36"/>
        <v>371.26234252426531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4.8717948717948731</v>
      </c>
      <c r="BD57" s="12">
        <f>IF('Données projet'!$A$88&gt;35,BD56+BC57-BL56,IF(A57&lt;'Données projet'!$A$88,$BA$205^A57,IF(A57='Données projet'!$A$88,'Données projet'!$B$88,BD56+BC57-BL56)))</f>
        <v>177.82051282051273</v>
      </c>
      <c r="BE57" s="13">
        <f>BD57*VLOOKUP('Données projet'!$B$11,Paramètres!$A$1:$I$89,3,0)*VLOOKUP('Données projet'!$B$11,Paramètres!$A$1:$I$89,5,0)</f>
        <v>169.21399999999991</v>
      </c>
      <c r="BF57" s="13">
        <f t="shared" si="37"/>
        <v>42.913938280485205</v>
      </c>
      <c r="BG57" s="20">
        <f t="shared" si="7"/>
        <v>369.45615917184494</v>
      </c>
      <c r="BH57" s="59">
        <f t="shared" si="8"/>
        <v>662.78949250517826</v>
      </c>
      <c r="BI57" s="59">
        <f ca="1">AVERAGE(OFFSET($BH$3,0,0,'Données projet'!$E$11+1,1))-AVERAGE(OFFSET($H$3,0,0,'Données projet'!$E$11+1,1))</f>
        <v>351.6178679548006</v>
      </c>
      <c r="BJ57" s="59">
        <f t="shared" si="38"/>
        <v>244.7141066773861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10.794871794871796</v>
      </c>
      <c r="BY57" s="12">
        <f>IF('Données projet'!$A$114&gt;35,BY56+BX57-CG56,IF(A57&lt;'Données projet'!$A$114,$BV$205^A57,IF(A57='Données projet'!$A$114,'Données projet'!$B$114,BY56+BX57-CG56)))</f>
        <v>253.61538461538453</v>
      </c>
      <c r="BZ57" s="13">
        <f>BY57*VLOOKUP('Données projet'!$B$12,Paramètres!$A$1:$I$89,3,0)*VLOOKUP('Données projet'!$B$12,Paramètres!$A$1:$I$89,5,0)</f>
        <v>118.69199999999996</v>
      </c>
      <c r="CA57" s="13">
        <f t="shared" si="39"/>
        <v>31.369735454354284</v>
      </c>
      <c r="CB57" s="20">
        <f t="shared" si="10"/>
        <v>261.35752258300028</v>
      </c>
      <c r="CC57" s="59">
        <f t="shared" si="11"/>
        <v>554.69085591633359</v>
      </c>
      <c r="CD57" s="59">
        <f ca="1">AVERAGE(OFFSET($CC$3,0,0,'Données projet'!$E$12+1,1))-AVERAGE(OFFSET($H$3,0,0,'Données projet'!$E$12+1,1))</f>
        <v>246.66630850723385</v>
      </c>
      <c r="CE57" s="59">
        <f t="shared" si="40"/>
        <v>145.34368562171613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9.375</v>
      </c>
      <c r="CT57" s="12">
        <f>IF('Données projet'!$A$140&gt;35,CT56+CS57-DB56,IF(A57&lt;'Données projet'!$A$140,$CQ$205^A57,IF(A57='Données projet'!$A$140,'Données projet'!$B$140,CT56+CS57-DB56)))</f>
        <v>240.74999999999994</v>
      </c>
      <c r="CU57" s="17">
        <f>CT57*VLOOKUP('Données projet'!$B$13,Paramètres!$A$1:$I$89,3,0)*VLOOKUP('Données projet'!$B$13,Paramètres!$A$1:$I$89,5,0)</f>
        <v>187.78499999999997</v>
      </c>
      <c r="CV57" s="13">
        <f t="shared" si="41"/>
        <v>47.049914090154054</v>
      </c>
      <c r="CW57" s="20">
        <f t="shared" si="13"/>
        <v>409.00414204035161</v>
      </c>
      <c r="CX57" s="59">
        <f t="shared" si="14"/>
        <v>702.33747537368492</v>
      </c>
      <c r="CY57" s="59">
        <f ca="1">AVERAGE(OFFSET($CX$3,0,0,'Données projet'!$E$13+1,1))-AVERAGE(OFFSET($H$3,0,0,'Données projet'!$E$13+1,1))</f>
        <v>292.57482726862594</v>
      </c>
      <c r="CZ57" s="59">
        <f t="shared" si="42"/>
        <v>283.48738729114024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</v>
      </c>
      <c r="DO57" s="12">
        <f>IF('Données projet'!$A$166&gt;35,DO56+DN57-DW56,IF(A57&lt;'Données projet'!$A$166,$DL$205^A57,IF(A57='Données projet'!$A$166,'Données projet'!$B$166,DO56+DN57-DW56)))</f>
        <v>189</v>
      </c>
      <c r="DP57" s="17">
        <f>DO57*VLOOKUP('Données projet'!$B$14,Paramètres!$A$1:$I$89,3,0)*VLOOKUP('Données projet'!$B$14,Paramètres!$A$1:$I$89,5,0)</f>
        <v>191.64600000000002</v>
      </c>
      <c r="DQ57" s="13">
        <f t="shared" si="43"/>
        <v>47.903677189291635</v>
      </c>
      <c r="DR57" s="20">
        <f t="shared" si="16"/>
        <v>417.21568777134962</v>
      </c>
      <c r="DS57" s="59">
        <f t="shared" si="17"/>
        <v>710.54902110468288</v>
      </c>
      <c r="DT57" s="59">
        <f ca="1">AVERAGE(OFFSET($DS$3,0,0,'Données projet'!$E$14+1,1))-AVERAGE(OFFSET($H$3,0,0,'Données projet'!$E$14+1,1))</f>
        <v>475.47920969424894</v>
      </c>
      <c r="DU57" s="59">
        <f t="shared" si="44"/>
        <v>271.73544012419364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8</v>
      </c>
      <c r="EJ57" s="12">
        <f>IF('Données projet'!$A$192&gt;35,EJ56+EI57-ER56,IF(A57&lt;'Données projet'!$A$192,$EG$205^A57,IF(A57='Données projet'!$A$192,'Données projet'!$B$192,EJ56+EI57-ER56)))</f>
        <v>189</v>
      </c>
      <c r="EK57" s="17">
        <f>EJ57*VLOOKUP('Données projet'!$B$15,Paramètres!$A$1:$I$89,3,0)*VLOOKUP('Données projet'!$B$15,Paramètres!$A$1:$I$89,5,0)</f>
        <v>171.00719999999998</v>
      </c>
      <c r="EL57" s="13">
        <f t="shared" si="45"/>
        <v>43.315525267338089</v>
      </c>
      <c r="EM57" s="20">
        <f t="shared" si="19"/>
        <v>373.27874650728046</v>
      </c>
      <c r="EN57" s="59">
        <f t="shared" si="20"/>
        <v>666.61207984061377</v>
      </c>
      <c r="EO57" s="59">
        <f ca="1">AVERAGE(OFFSET($EN$3,0,0,'Données projet'!$E$15+1,1))-AVERAGE(OFFSET($H$3,0,0,'Données projet'!$E$15+1,1))</f>
        <v>428.8489304403459</v>
      </c>
      <c r="EP57" s="59">
        <f t="shared" si="46"/>
        <v>247.01165577562966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>
        <f>FE57*VLOOKUP('Données projet'!$B$16,Paramètres!$A$1:$I$89,3,0)*VLOOKUP('Données projet'!$B$16,Paramètres!$A$1:$I$89,5,0)</f>
        <v>0</v>
      </c>
      <c r="FG57" s="13" t="e">
        <f t="shared" si="47"/>
        <v>#NUM!</v>
      </c>
      <c r="FH57" s="20" t="e">
        <f t="shared" si="22"/>
        <v>#NUM!</v>
      </c>
      <c r="FI57" s="59" t="e">
        <f t="shared" si="23"/>
        <v>#NUM!</v>
      </c>
      <c r="FJ57" s="59">
        <f ca="1">AVERAGE(OFFSET($FI$3,0,0,'Données projet'!$E$16+1,1))-AVERAGE(OFFSET($H$3,0,0,'Données projet'!$E$16+1,1))</f>
        <v>245.25496369542458</v>
      </c>
      <c r="FK57" s="59">
        <f t="shared" si="48"/>
        <v>342.30266518164211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 t="e">
        <f>N58*VLOOKUP('Données projet'!$B$9,Paramètres!$A$1:$I$89,3,0)*VLOOKUP('Données projet'!$B$9,Paramètres!$A$1:$I$89,5,0)</f>
        <v>#N/A</v>
      </c>
      <c r="P58" s="13" t="e">
        <f t="shared" si="33"/>
        <v>#N/A</v>
      </c>
      <c r="Q58" s="20" t="e">
        <f t="shared" si="53"/>
        <v>#N/A</v>
      </c>
      <c r="R58" s="59" t="e">
        <f t="shared" si="0"/>
        <v>#N/A</v>
      </c>
      <c r="S58" s="59" t="e">
        <f ca="1">AVERAGE(OFFSET($R$3,0,0,'Données projet'!$E$9+1,1))-AVERAGE(OFFSET($H$3,0,0,'Données projet'!$E$9+1,1))</f>
        <v>#N/A</v>
      </c>
      <c r="T58" s="59" t="e">
        <f t="shared" si="34"/>
        <v>#N/A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 t="e">
        <f>EXP(-LN(2)/35)*Z57+(1-EXP(-LN(2)/35))/(LN(2)/35)*V58*W58*VLOOKUP('Données projet'!$B$9,Paramètres!$A$1:$I$89,3,0)*0.475*44/12</f>
        <v>#N/A</v>
      </c>
      <c r="AA58" s="21" t="e">
        <f>EXP(-LN(2)/25)*AA57+(1-EXP(-LN(2)/25))/(LN(2)/25)*Calculateur!V58*Calculateur!X58*VLOOKUP('Données projet'!$B$9,Paramètres!$A$1:$I$89,3,0)*0.475*44/12</f>
        <v>#N/A</v>
      </c>
      <c r="AB58" s="21" t="e">
        <f>EXP(-LN(2)/2)*AB57+(1-EXP(-LN(2)/2))/(LN(2)/2)*V58*Y58*VLOOKUP('Données projet'!$B$9,Paramètres!$A$1:$I$89,3,0)*0.475*44/12</f>
        <v>#N/A</v>
      </c>
      <c r="AC58" s="22" t="e">
        <f t="shared" si="3"/>
        <v>#N/A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233</v>
      </c>
      <c r="AG58" s="12">
        <f>VLOOKUP(A58,'Données projet'!$A$61:$I$81,9,0)</f>
        <v>6.4</v>
      </c>
      <c r="AH58" s="12">
        <f t="array" ref="AH58">INDEX(AG:AG,MIN(IF(ISNUMBER(AG58:AG254),ROW(AG58:AG254),"")))</f>
        <v>6.4</v>
      </c>
      <c r="AI58" s="13">
        <f>IF('Données projet'!$A$62&gt;35,AI57+AH58-AQ57,IF(A58&lt;'Données projet'!$A$62,$AF$205^A58,IF(A58='Données projet'!$A$62,'Données projet'!$B$62,AI57+AH58-AQ57)))</f>
        <v>232.99999999999986</v>
      </c>
      <c r="AJ58" s="13">
        <f>AI58*VLOOKUP('Données projet'!$B$10,Paramètres!$A$1:$I$89,3,0)*VLOOKUP('Données projet'!$B$10,Paramètres!$A$1:$I$89,5,0)</f>
        <v>203.54879999999991</v>
      </c>
      <c r="AK58" s="13">
        <f t="shared" si="35"/>
        <v>50.523286400023437</v>
      </c>
      <c r="AL58" s="20">
        <f t="shared" si="4"/>
        <v>442.50888381337398</v>
      </c>
      <c r="AM58" s="59">
        <f t="shared" si="5"/>
        <v>735.8422171467073</v>
      </c>
      <c r="AN58" s="59">
        <f ca="1">AVERAGE(OFFSET($AM$3,0,0,'Données projet'!$E$10+1,1))-AVERAGE(OFFSET($H$3,0,0,'Données projet'!$E$10+1,1))</f>
        <v>338.55719679154777</v>
      </c>
      <c r="AO58" s="59">
        <f t="shared" si="36"/>
        <v>371.26234252426531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182.69230769230768</v>
      </c>
      <c r="BB58" s="12">
        <f>VLOOKUP(A58,'Données projet'!$A$87:$I$107,9,0)</f>
        <v>4.8717948717948731</v>
      </c>
      <c r="BC58" s="12">
        <f t="array" ref="BC58">INDEX(BB:BB,MIN(IF(ISNUMBER(BB58:BB254),ROW(BB58:BB254),"")))</f>
        <v>4.8717948717948731</v>
      </c>
      <c r="BD58" s="12">
        <f>IF('Données projet'!$A$88&gt;35,BD57+BC58-BL57,IF(A58&lt;'Données projet'!$A$88,$BA$205^A58,IF(A58='Données projet'!$A$88,'Données projet'!$B$88,BD57+BC58-BL57)))</f>
        <v>182.69230769230759</v>
      </c>
      <c r="BE58" s="13">
        <f>BD58*VLOOKUP('Données projet'!$B$11,Paramètres!$A$1:$I$89,3,0)*VLOOKUP('Données projet'!$B$11,Paramètres!$A$1:$I$89,5,0)</f>
        <v>173.84999999999991</v>
      </c>
      <c r="BF58" s="13">
        <f t="shared" si="37"/>
        <v>43.951168452592761</v>
      </c>
      <c r="BG58" s="20">
        <f t="shared" si="7"/>
        <v>379.33703505493219</v>
      </c>
      <c r="BH58" s="59">
        <f t="shared" si="8"/>
        <v>672.6703683882655</v>
      </c>
      <c r="BI58" s="59">
        <f ca="1">AVERAGE(OFFSET($BH$3,0,0,'Données projet'!$E$11+1,1))-AVERAGE(OFFSET($H$3,0,0,'Données projet'!$E$11+1,1))</f>
        <v>351.6178679548006</v>
      </c>
      <c r="BJ58" s="59">
        <f t="shared" si="38"/>
        <v>244.7141066773861</v>
      </c>
      <c r="BK58" s="15">
        <f>IF(ISNA(VLOOKUP(A58,'Données projet'!$A$87:$I$107,3,0)),0,VLOOKUP(A58,'Données projet'!$A$87:$I$107,3,0))</f>
        <v>4</v>
      </c>
      <c r="BL58" s="15">
        <f>IF(ISNA(VLOOKUP(A58,'Données projet'!$A$87:$I$107,4,0)),0,VLOOKUP(A58,'Données projet'!$A$87:$I$107,4,0))</f>
        <v>28.205128205128204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10.794871794871796</v>
      </c>
      <c r="BY58" s="12">
        <f>IF('Données projet'!$A$114&gt;35,BY57+BX58-CG57,IF(A58&lt;'Données projet'!$A$114,$BV$205^A58,IF(A58='Données projet'!$A$114,'Données projet'!$B$114,BY57+BX58-CG57)))</f>
        <v>264.41025641025635</v>
      </c>
      <c r="BZ58" s="13">
        <f>BY58*VLOOKUP('Données projet'!$B$12,Paramètres!$A$1:$I$89,3,0)*VLOOKUP('Données projet'!$B$12,Paramètres!$A$1:$I$89,5,0)</f>
        <v>123.74399999999997</v>
      </c>
      <c r="CA58" s="13">
        <f t="shared" si="39"/>
        <v>32.546658283062349</v>
      </c>
      <c r="CB58" s="20">
        <f t="shared" si="10"/>
        <v>272.20622984300024</v>
      </c>
      <c r="CC58" s="59">
        <f t="shared" si="11"/>
        <v>565.53956317633356</v>
      </c>
      <c r="CD58" s="59">
        <f ca="1">AVERAGE(OFFSET($CC$3,0,0,'Données projet'!$E$12+1,1))-AVERAGE(OFFSET($H$3,0,0,'Données projet'!$E$12+1,1))</f>
        <v>246.66630850723385</v>
      </c>
      <c r="CE58" s="59">
        <f t="shared" si="40"/>
        <v>145.34368562171613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9.375</v>
      </c>
      <c r="CT58" s="12">
        <f>IF('Données projet'!$A$140&gt;35,CT57+CS58-DB57,IF(A58&lt;'Données projet'!$A$140,$CQ$205^A58,IF(A58='Données projet'!$A$140,'Données projet'!$B$140,CT57+CS58-DB57)))</f>
        <v>250.12499999999994</v>
      </c>
      <c r="CU58" s="17">
        <f>CT58*VLOOKUP('Données projet'!$B$13,Paramètres!$A$1:$I$89,3,0)*VLOOKUP('Données projet'!$B$13,Paramètres!$A$1:$I$89,5,0)</f>
        <v>195.09749999999997</v>
      </c>
      <c r="CV58" s="13">
        <f t="shared" si="41"/>
        <v>48.66519532492584</v>
      </c>
      <c r="CW58" s="20">
        <f t="shared" si="13"/>
        <v>424.55336102424576</v>
      </c>
      <c r="CX58" s="59">
        <f t="shared" si="14"/>
        <v>717.88669435757902</v>
      </c>
      <c r="CY58" s="59">
        <f ca="1">AVERAGE(OFFSET($CX$3,0,0,'Données projet'!$E$13+1,1))-AVERAGE(OFFSET($H$3,0,0,'Données projet'!$E$13+1,1))</f>
        <v>292.57482726862594</v>
      </c>
      <c r="CZ58" s="59">
        <f t="shared" si="42"/>
        <v>283.48738729114024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197</v>
      </c>
      <c r="DM58" s="12">
        <f>VLOOKUP(A58,'Données projet'!$A$165:$I$185,9,0)</f>
        <v>8</v>
      </c>
      <c r="DN58" s="12">
        <f t="array" ref="DN58">INDEX(DM:DM,MIN(IF(ISNUMBER(DM58:DM254),ROW(DM58:DM254),"")))</f>
        <v>8</v>
      </c>
      <c r="DO58" s="12">
        <f>IF('Données projet'!$A$166&gt;35,DO57+DN58-DW57,IF(A58&lt;'Données projet'!$A$166,$DL$205^A58,IF(A58='Données projet'!$A$166,'Données projet'!$B$166,DO57+DN58-DW57)))</f>
        <v>197</v>
      </c>
      <c r="DP58" s="17">
        <f>DO58*VLOOKUP('Données projet'!$B$14,Paramètres!$A$1:$I$89,3,0)*VLOOKUP('Données projet'!$B$14,Paramètres!$A$1:$I$89,5,0)</f>
        <v>199.75800000000004</v>
      </c>
      <c r="DQ58" s="13">
        <f t="shared" si="43"/>
        <v>49.690979702964015</v>
      </c>
      <c r="DR58" s="20">
        <f t="shared" si="16"/>
        <v>434.45697298266236</v>
      </c>
      <c r="DS58" s="59">
        <f t="shared" si="17"/>
        <v>727.79030631599562</v>
      </c>
      <c r="DT58" s="59">
        <f ca="1">AVERAGE(OFFSET($DS$3,0,0,'Données projet'!$E$14+1,1))-AVERAGE(OFFSET($H$3,0,0,'Données projet'!$E$14+1,1))</f>
        <v>475.47920969424894</v>
      </c>
      <c r="DU58" s="59">
        <f t="shared" si="44"/>
        <v>271.73544012419364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197</v>
      </c>
      <c r="EH58" s="12">
        <f>VLOOKUP(A58,'Données projet'!$A$191:$I$211,9,0)</f>
        <v>8</v>
      </c>
      <c r="EI58" s="12">
        <f t="array" ref="EI58">INDEX(EH:EH,MIN(IF(ISNUMBER(EH58:EH254),ROW(EH58:EH254),"")))</f>
        <v>8</v>
      </c>
      <c r="EJ58" s="12">
        <f>IF('Données projet'!$A$192&gt;35,EJ57+EI58-ER57,IF(A58&lt;'Données projet'!$A$192,$EG$205^A58,IF(A58='Données projet'!$A$192,'Données projet'!$B$192,EJ57+EI58-ER57)))</f>
        <v>197</v>
      </c>
      <c r="EK58" s="17">
        <f>EJ58*VLOOKUP('Données projet'!$B$15,Paramètres!$A$1:$I$89,3,0)*VLOOKUP('Données projet'!$B$15,Paramètres!$A$1:$I$89,5,0)</f>
        <v>178.2456</v>
      </c>
      <c r="EL58" s="13">
        <f t="shared" si="45"/>
        <v>44.931642269910427</v>
      </c>
      <c r="EM58" s="20">
        <f t="shared" si="19"/>
        <v>388.70036362009404</v>
      </c>
      <c r="EN58" s="59">
        <f t="shared" si="20"/>
        <v>682.03369695342735</v>
      </c>
      <c r="EO58" s="59">
        <f ca="1">AVERAGE(OFFSET($EN$3,0,0,'Données projet'!$E$15+1,1))-AVERAGE(OFFSET($H$3,0,0,'Données projet'!$E$15+1,1))</f>
        <v>428.8489304403459</v>
      </c>
      <c r="EP58" s="59">
        <f t="shared" si="46"/>
        <v>247.01165577562966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>
        <f>FE58*VLOOKUP('Données projet'!$B$16,Paramètres!$A$1:$I$89,3,0)*VLOOKUP('Données projet'!$B$16,Paramètres!$A$1:$I$89,5,0)</f>
        <v>0</v>
      </c>
      <c r="FG58" s="13" t="e">
        <f t="shared" si="47"/>
        <v>#NUM!</v>
      </c>
      <c r="FH58" s="20" t="e">
        <f t="shared" si="22"/>
        <v>#NUM!</v>
      </c>
      <c r="FI58" s="59" t="e">
        <f t="shared" si="23"/>
        <v>#NUM!</v>
      </c>
      <c r="FJ58" s="59">
        <f ca="1">AVERAGE(OFFSET($FI$3,0,0,'Données projet'!$E$16+1,1))-AVERAGE(OFFSET($H$3,0,0,'Données projet'!$E$16+1,1))</f>
        <v>245.25496369542458</v>
      </c>
      <c r="FK58" s="59">
        <f t="shared" si="48"/>
        <v>342.30266518164211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 t="e">
        <f>N59*VLOOKUP('Données projet'!$B$9,Paramètres!$A$1:$I$89,3,0)*VLOOKUP('Données projet'!$B$9,Paramètres!$A$1:$I$89,5,0)</f>
        <v>#N/A</v>
      </c>
      <c r="P59" s="13" t="e">
        <f t="shared" si="33"/>
        <v>#N/A</v>
      </c>
      <c r="Q59" s="20" t="e">
        <f t="shared" si="53"/>
        <v>#N/A</v>
      </c>
      <c r="R59" s="59" t="e">
        <f t="shared" si="0"/>
        <v>#N/A</v>
      </c>
      <c r="S59" s="59" t="e">
        <f ca="1">AVERAGE(OFFSET($R$3,0,0,'Données projet'!$E$9+1,1))-AVERAGE(OFFSET($H$3,0,0,'Données projet'!$E$9+1,1))</f>
        <v>#N/A</v>
      </c>
      <c r="T59" s="59" t="e">
        <f t="shared" si="34"/>
        <v>#N/A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 t="e">
        <f>EXP(-LN(2)/35)*Z58+(1-EXP(-LN(2)/35))/(LN(2)/35)*V59*W59*VLOOKUP('Données projet'!$B$9,Paramètres!$A$1:$I$89,3,0)*0.475*44/12</f>
        <v>#N/A</v>
      </c>
      <c r="AA59" s="21" t="e">
        <f>EXP(-LN(2)/25)*AA58+(1-EXP(-LN(2)/25))/(LN(2)/25)*Calculateur!V59*Calculateur!X59*VLOOKUP('Données projet'!$B$9,Paramètres!$A$1:$I$89,3,0)*0.475*44/12</f>
        <v>#N/A</v>
      </c>
      <c r="AB59" s="21" t="e">
        <f>EXP(-LN(2)/2)*AB58+(1-EXP(-LN(2)/2))/(LN(2)/2)*V59*Y59*VLOOKUP('Données projet'!$B$9,Paramètres!$A$1:$I$89,3,0)*0.475*44/12</f>
        <v>#N/A</v>
      </c>
      <c r="AC59" s="22" t="e">
        <f t="shared" si="3"/>
        <v>#N/A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</v>
      </c>
      <c r="AI59" s="13">
        <f>IF('Données projet'!$A$62&gt;35,AI58+AH59-AQ58,IF(A59&lt;'Données projet'!$A$62,$AF$205^A59,IF(A59='Données projet'!$A$62,'Données projet'!$B$62,AI58+AH59-AQ58)))</f>
        <v>237.99999999999986</v>
      </c>
      <c r="AJ59" s="13">
        <f>AI59*VLOOKUP('Données projet'!$B$10,Paramètres!$A$1:$I$89,3,0)*VLOOKUP('Données projet'!$B$10,Paramètres!$A$1:$I$89,5,0)</f>
        <v>207.91679999999991</v>
      </c>
      <c r="AK59" s="13">
        <f t="shared" si="35"/>
        <v>51.4800902851525</v>
      </c>
      <c r="AL59" s="20">
        <f t="shared" si="4"/>
        <v>451.78291724664041</v>
      </c>
      <c r="AM59" s="59">
        <f t="shared" si="5"/>
        <v>745.11625057997367</v>
      </c>
      <c r="AN59" s="59">
        <f ca="1">AVERAGE(OFFSET($AM$3,0,0,'Données projet'!$E$10+1,1))-AVERAGE(OFFSET($H$3,0,0,'Données projet'!$E$10+1,1))</f>
        <v>338.55719679154777</v>
      </c>
      <c r="AO59" s="59">
        <f t="shared" si="36"/>
        <v>371.26234252426531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4.7435897435897463</v>
      </c>
      <c r="BD59" s="12">
        <f>IF('Données projet'!$A$88&gt;35,BD58+BC59-BL58,IF(A59&lt;'Données projet'!$A$88,$BA$205^A59,IF(A59='Données projet'!$A$88,'Données projet'!$B$88,BD58+BC59-BL58)))</f>
        <v>159.23076923076914</v>
      </c>
      <c r="BE59" s="13">
        <f>BD59*VLOOKUP('Données projet'!$B$11,Paramètres!$A$1:$I$89,3,0)*VLOOKUP('Données projet'!$B$11,Paramètres!$A$1:$I$89,5,0)</f>
        <v>151.52399999999992</v>
      </c>
      <c r="BF59" s="13">
        <f t="shared" si="37"/>
        <v>38.924716067948651</v>
      </c>
      <c r="BG59" s="20">
        <f t="shared" si="7"/>
        <v>331.69818048501043</v>
      </c>
      <c r="BH59" s="59">
        <f t="shared" si="8"/>
        <v>625.03151381834368</v>
      </c>
      <c r="BI59" s="59">
        <f ca="1">AVERAGE(OFFSET($BH$3,0,0,'Données projet'!$E$11+1,1))-AVERAGE(OFFSET($H$3,0,0,'Données projet'!$E$11+1,1))</f>
        <v>351.6178679548006</v>
      </c>
      <c r="BJ59" s="59">
        <f t="shared" si="38"/>
        <v>244.7141066773861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10.794871794871796</v>
      </c>
      <c r="BY59" s="12">
        <f>IF('Données projet'!$A$114&gt;35,BY58+BX59-CG58,IF(A59&lt;'Données projet'!$A$114,$BV$205^A59,IF(A59='Données projet'!$A$114,'Données projet'!$B$114,BY58+BX59-CG58)))</f>
        <v>275.20512820512818</v>
      </c>
      <c r="BZ59" s="13">
        <f>BY59*VLOOKUP('Données projet'!$B$12,Paramètres!$A$1:$I$89,3,0)*VLOOKUP('Données projet'!$B$12,Paramètres!$A$1:$I$89,5,0)</f>
        <v>128.79599999999999</v>
      </c>
      <c r="CA59" s="13">
        <f t="shared" si="39"/>
        <v>33.717999802598868</v>
      </c>
      <c r="CB59" s="20">
        <f t="shared" si="10"/>
        <v>283.04521632285963</v>
      </c>
      <c r="CC59" s="59">
        <f t="shared" si="11"/>
        <v>576.37854965619294</v>
      </c>
      <c r="CD59" s="59">
        <f ca="1">AVERAGE(OFFSET($CC$3,0,0,'Données projet'!$E$12+1,1))-AVERAGE(OFFSET($H$3,0,0,'Données projet'!$E$12+1,1))</f>
        <v>246.66630850723385</v>
      </c>
      <c r="CE59" s="59">
        <f t="shared" si="40"/>
        <v>145.34368562171613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9.375</v>
      </c>
      <c r="CT59" s="12">
        <f>IF('Données projet'!$A$140&gt;35,CT58+CS59-DB58,IF(A59&lt;'Données projet'!$A$140,$CQ$205^A59,IF(A59='Données projet'!$A$140,'Données projet'!$B$140,CT58+CS59-DB58)))</f>
        <v>259.49999999999994</v>
      </c>
      <c r="CU59" s="17">
        <f>CT59*VLOOKUP('Données projet'!$B$13,Paramètres!$A$1:$I$89,3,0)*VLOOKUP('Données projet'!$B$13,Paramètres!$A$1:$I$89,5,0)</f>
        <v>202.40999999999997</v>
      </c>
      <c r="CV59" s="13">
        <f t="shared" si="41"/>
        <v>50.273442991661867</v>
      </c>
      <c r="CW59" s="20">
        <f t="shared" si="13"/>
        <v>440.09032987714431</v>
      </c>
      <c r="CX59" s="59">
        <f t="shared" si="14"/>
        <v>733.42366321047757</v>
      </c>
      <c r="CY59" s="59">
        <f ca="1">AVERAGE(OFFSET($CX$3,0,0,'Données projet'!$E$13+1,1))-AVERAGE(OFFSET($H$3,0,0,'Données projet'!$E$13+1,1))</f>
        <v>292.57482726862594</v>
      </c>
      <c r="CZ59" s="59">
        <f t="shared" si="42"/>
        <v>283.48738729114024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7.6</v>
      </c>
      <c r="DO59" s="12">
        <f>IF('Données projet'!$A$166&gt;35,DO58+DN59-DW58,IF(A59&lt;'Données projet'!$A$166,$DL$205^A59,IF(A59='Données projet'!$A$166,'Données projet'!$B$166,DO58+DN59-DW58)))</f>
        <v>204.6</v>
      </c>
      <c r="DP59" s="17">
        <f>DO59*VLOOKUP('Données projet'!$B$14,Paramètres!$A$1:$I$89,3,0)*VLOOKUP('Données projet'!$B$14,Paramètres!$A$1:$I$89,5,0)</f>
        <v>207.46440000000001</v>
      </c>
      <c r="DQ59" s="13">
        <f t="shared" si="43"/>
        <v>51.381102169014063</v>
      </c>
      <c r="DR59" s="20">
        <f t="shared" si="16"/>
        <v>450.82258294436616</v>
      </c>
      <c r="DS59" s="59">
        <f t="shared" si="17"/>
        <v>744.15591627769948</v>
      </c>
      <c r="DT59" s="59">
        <f ca="1">AVERAGE(OFFSET($DS$3,0,0,'Données projet'!$E$14+1,1))-AVERAGE(OFFSET($H$3,0,0,'Données projet'!$E$14+1,1))</f>
        <v>475.47920969424894</v>
      </c>
      <c r="DU59" s="59">
        <f t="shared" si="44"/>
        <v>271.73544012419364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7.6</v>
      </c>
      <c r="EJ59" s="12">
        <f>IF('Données projet'!$A$192&gt;35,EJ58+EI59-ER58,IF(A59&lt;'Données projet'!$A$192,$EG$205^A59,IF(A59='Données projet'!$A$192,'Données projet'!$B$192,EJ58+EI59-ER58)))</f>
        <v>204.6</v>
      </c>
      <c r="EK59" s="17">
        <f>EJ59*VLOOKUP('Données projet'!$B$15,Paramètres!$A$1:$I$89,3,0)*VLOOKUP('Données projet'!$B$15,Paramètres!$A$1:$I$89,5,0)</f>
        <v>185.12207999999998</v>
      </c>
      <c r="EL59" s="13">
        <f t="shared" si="45"/>
        <v>46.459887003478677</v>
      </c>
      <c r="EM59" s="20">
        <f t="shared" si="19"/>
        <v>403.33859253105862</v>
      </c>
      <c r="EN59" s="59">
        <f t="shared" si="20"/>
        <v>696.67192586439194</v>
      </c>
      <c r="EO59" s="59">
        <f ca="1">AVERAGE(OFFSET($EN$3,0,0,'Données projet'!$E$15+1,1))-AVERAGE(OFFSET($H$3,0,0,'Données projet'!$E$15+1,1))</f>
        <v>428.8489304403459</v>
      </c>
      <c r="EP59" s="59">
        <f t="shared" si="46"/>
        <v>247.01165577562966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>
        <f>FE59*VLOOKUP('Données projet'!$B$16,Paramètres!$A$1:$I$89,3,0)*VLOOKUP('Données projet'!$B$16,Paramètres!$A$1:$I$89,5,0)</f>
        <v>0</v>
      </c>
      <c r="FG59" s="13" t="e">
        <f t="shared" si="47"/>
        <v>#NUM!</v>
      </c>
      <c r="FH59" s="20" t="e">
        <f t="shared" si="22"/>
        <v>#NUM!</v>
      </c>
      <c r="FI59" s="59" t="e">
        <f t="shared" si="23"/>
        <v>#NUM!</v>
      </c>
      <c r="FJ59" s="59">
        <f ca="1">AVERAGE(OFFSET($FI$3,0,0,'Données projet'!$E$16+1,1))-AVERAGE(OFFSET($H$3,0,0,'Données projet'!$E$16+1,1))</f>
        <v>245.25496369542458</v>
      </c>
      <c r="FK59" s="59">
        <f t="shared" si="48"/>
        <v>342.30266518164211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 t="e">
        <f>N60*VLOOKUP('Données projet'!$B$9,Paramètres!$A$1:$I$89,3,0)*VLOOKUP('Données projet'!$B$9,Paramètres!$A$1:$I$89,5,0)</f>
        <v>#N/A</v>
      </c>
      <c r="P60" s="13" t="e">
        <f t="shared" si="33"/>
        <v>#N/A</v>
      </c>
      <c r="Q60" s="20" t="e">
        <f t="shared" si="53"/>
        <v>#N/A</v>
      </c>
      <c r="R60" s="59" t="e">
        <f t="shared" si="0"/>
        <v>#N/A</v>
      </c>
      <c r="S60" s="59" t="e">
        <f ca="1">AVERAGE(OFFSET($R$3,0,0,'Données projet'!$E$9+1,1))-AVERAGE(OFFSET($H$3,0,0,'Données projet'!$E$9+1,1))</f>
        <v>#N/A</v>
      </c>
      <c r="T60" s="59" t="e">
        <f t="shared" si="34"/>
        <v>#N/A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 t="e">
        <f>EXP(-LN(2)/35)*Z59+(1-EXP(-LN(2)/35))/(LN(2)/35)*V60*W60*VLOOKUP('Données projet'!$B$9,Paramètres!$A$1:$I$89,3,0)*0.475*44/12</f>
        <v>#N/A</v>
      </c>
      <c r="AA60" s="21" t="e">
        <f>EXP(-LN(2)/25)*AA59+(1-EXP(-LN(2)/25))/(LN(2)/25)*Calculateur!V60*Calculateur!X60*VLOOKUP('Données projet'!$B$9,Paramètres!$A$1:$I$89,3,0)*0.475*44/12</f>
        <v>#N/A</v>
      </c>
      <c r="AB60" s="21" t="e">
        <f>EXP(-LN(2)/2)*AB59+(1-EXP(-LN(2)/2))/(LN(2)/2)*V60*Y60*VLOOKUP('Données projet'!$B$9,Paramètres!$A$1:$I$89,3,0)*0.475*44/12</f>
        <v>#N/A</v>
      </c>
      <c r="AC60" s="22" t="e">
        <f t="shared" si="3"/>
        <v>#N/A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</v>
      </c>
      <c r="AI60" s="13">
        <f>IF('Données projet'!$A$62&gt;35,AI59+AH60-AQ59,IF(A60&lt;'Données projet'!$A$62,$AF$205^A60,IF(A60='Données projet'!$A$62,'Données projet'!$B$62,AI59+AH60-AQ59)))</f>
        <v>242.99999999999986</v>
      </c>
      <c r="AJ60" s="13">
        <f>AI60*VLOOKUP('Données projet'!$B$10,Paramètres!$A$1:$I$89,3,0)*VLOOKUP('Données projet'!$B$10,Paramètres!$A$1:$I$89,5,0)</f>
        <v>212.2847999999999</v>
      </c>
      <c r="AK60" s="13">
        <f t="shared" si="35"/>
        <v>52.434557099704143</v>
      </c>
      <c r="AL60" s="20">
        <f t="shared" si="4"/>
        <v>461.05288028198453</v>
      </c>
      <c r="AM60" s="59">
        <f t="shared" si="5"/>
        <v>754.38621361531784</v>
      </c>
      <c r="AN60" s="59">
        <f ca="1">AVERAGE(OFFSET($AM$3,0,0,'Données projet'!$E$10+1,1))-AVERAGE(OFFSET($H$3,0,0,'Données projet'!$E$10+1,1))</f>
        <v>338.55719679154777</v>
      </c>
      <c r="AO60" s="59">
        <f t="shared" si="36"/>
        <v>371.26234252426531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4.7435897435897463</v>
      </c>
      <c r="BD60" s="12">
        <f>IF('Données projet'!$A$88&gt;35,BD59+BC60-BL59,IF(A60&lt;'Données projet'!$A$88,$BA$205^A60,IF(A60='Données projet'!$A$88,'Données projet'!$B$88,BD59+BC60-BL59)))</f>
        <v>163.97435897435889</v>
      </c>
      <c r="BE60" s="13">
        <f>BD60*VLOOKUP('Données projet'!$B$11,Paramètres!$A$1:$I$89,3,0)*VLOOKUP('Données projet'!$B$11,Paramètres!$A$1:$I$89,5,0)</f>
        <v>156.03799999999993</v>
      </c>
      <c r="BF60" s="13">
        <f t="shared" si="37"/>
        <v>39.94757532752773</v>
      </c>
      <c r="BG60" s="20">
        <f t="shared" si="7"/>
        <v>341.34154369544399</v>
      </c>
      <c r="BH60" s="59">
        <f t="shared" si="8"/>
        <v>634.67487702877725</v>
      </c>
      <c r="BI60" s="59">
        <f ca="1">AVERAGE(OFFSET($BH$3,0,0,'Données projet'!$E$11+1,1))-AVERAGE(OFFSET($H$3,0,0,'Données projet'!$E$11+1,1))</f>
        <v>351.6178679548006</v>
      </c>
      <c r="BJ60" s="59">
        <f t="shared" si="38"/>
        <v>244.7141066773861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10.794871794871796</v>
      </c>
      <c r="BY60" s="12">
        <f>IF('Données projet'!$A$114&gt;35,BY59+BX60-CG59,IF(A60&lt;'Données projet'!$A$114,$BV$205^A60,IF(A60='Données projet'!$A$114,'Données projet'!$B$114,BY59+BX60-CG59)))</f>
        <v>286</v>
      </c>
      <c r="BZ60" s="13">
        <f>BY60*VLOOKUP('Données projet'!$B$12,Paramètres!$A$1:$I$89,3,0)*VLOOKUP('Données projet'!$B$12,Paramètres!$A$1:$I$89,5,0)</f>
        <v>133.84799999999998</v>
      </c>
      <c r="CA60" s="13">
        <f t="shared" si="39"/>
        <v>34.884003992121656</v>
      </c>
      <c r="CB60" s="20">
        <f t="shared" si="10"/>
        <v>293.8749069529452</v>
      </c>
      <c r="CC60" s="59">
        <f t="shared" si="11"/>
        <v>587.20824028627851</v>
      </c>
      <c r="CD60" s="59">
        <f ca="1">AVERAGE(OFFSET($CC$3,0,0,'Données projet'!$E$12+1,1))-AVERAGE(OFFSET($H$3,0,0,'Données projet'!$E$12+1,1))</f>
        <v>246.66630850723385</v>
      </c>
      <c r="CE60" s="59">
        <f t="shared" si="40"/>
        <v>145.34368562171613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9.375</v>
      </c>
      <c r="CT60" s="12">
        <f>IF('Données projet'!$A$140&gt;35,CT59+CS60-DB59,IF(A60&lt;'Données projet'!$A$140,$CQ$205^A60,IF(A60='Données projet'!$A$140,'Données projet'!$B$140,CT59+CS60-DB59)))</f>
        <v>268.87499999999994</v>
      </c>
      <c r="CU60" s="17">
        <f>CT60*VLOOKUP('Données projet'!$B$13,Paramètres!$A$1:$I$89,3,0)*VLOOKUP('Données projet'!$B$13,Paramètres!$A$1:$I$89,5,0)</f>
        <v>209.72249999999997</v>
      </c>
      <c r="CV60" s="13">
        <f t="shared" si="41"/>
        <v>51.874940300502296</v>
      </c>
      <c r="CW60" s="20">
        <f t="shared" si="13"/>
        <v>455.61554185670815</v>
      </c>
      <c r="CX60" s="59">
        <f t="shared" si="14"/>
        <v>748.94887519004146</v>
      </c>
      <c r="CY60" s="59">
        <f ca="1">AVERAGE(OFFSET($CX$3,0,0,'Données projet'!$E$13+1,1))-AVERAGE(OFFSET($H$3,0,0,'Données projet'!$E$13+1,1))</f>
        <v>292.57482726862594</v>
      </c>
      <c r="CZ60" s="59">
        <f t="shared" si="42"/>
        <v>283.48738729114024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7.6</v>
      </c>
      <c r="DO60" s="12">
        <f>IF('Données projet'!$A$166&gt;35,DO59+DN60-DW59,IF(A60&lt;'Données projet'!$A$166,$DL$205^A60,IF(A60='Données projet'!$A$166,'Données projet'!$B$166,DO59+DN60-DW59)))</f>
        <v>212.2</v>
      </c>
      <c r="DP60" s="17">
        <f>DO60*VLOOKUP('Données projet'!$B$14,Paramètres!$A$1:$I$89,3,0)*VLOOKUP('Données projet'!$B$14,Paramètres!$A$1:$I$89,5,0)</f>
        <v>215.17080000000001</v>
      </c>
      <c r="DQ60" s="13">
        <f t="shared" si="43"/>
        <v>53.063930965723607</v>
      </c>
      <c r="DR60" s="20">
        <f t="shared" si="16"/>
        <v>467.17548976530185</v>
      </c>
      <c r="DS60" s="59">
        <f t="shared" si="17"/>
        <v>760.50882309863516</v>
      </c>
      <c r="DT60" s="59">
        <f ca="1">AVERAGE(OFFSET($DS$3,0,0,'Données projet'!$E$14+1,1))-AVERAGE(OFFSET($H$3,0,0,'Données projet'!$E$14+1,1))</f>
        <v>475.47920969424894</v>
      </c>
      <c r="DU60" s="59">
        <f t="shared" si="44"/>
        <v>271.73544012419364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7.6</v>
      </c>
      <c r="EJ60" s="12">
        <f>IF('Données projet'!$A$192&gt;35,EJ59+EI60-ER59,IF(A60&lt;'Données projet'!$A$192,$EG$205^A60,IF(A60='Données projet'!$A$192,'Données projet'!$B$192,EJ59+EI60-ER59)))</f>
        <v>212.2</v>
      </c>
      <c r="EK60" s="17">
        <f>EJ60*VLOOKUP('Données projet'!$B$15,Paramètres!$A$1:$I$89,3,0)*VLOOKUP('Données projet'!$B$15,Paramètres!$A$1:$I$89,5,0)</f>
        <v>191.99855999999997</v>
      </c>
      <c r="EL60" s="13">
        <f t="shared" si="45"/>
        <v>47.981536645873334</v>
      </c>
      <c r="EM60" s="20">
        <f t="shared" si="19"/>
        <v>417.96533499156266</v>
      </c>
      <c r="EN60" s="59">
        <f t="shared" si="20"/>
        <v>711.29866832489597</v>
      </c>
      <c r="EO60" s="59">
        <f ca="1">AVERAGE(OFFSET($EN$3,0,0,'Données projet'!$E$15+1,1))-AVERAGE(OFFSET($H$3,0,0,'Données projet'!$E$15+1,1))</f>
        <v>428.8489304403459</v>
      </c>
      <c r="EP60" s="59">
        <f t="shared" si="46"/>
        <v>247.01165577562966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>
        <f>FE60*VLOOKUP('Données projet'!$B$16,Paramètres!$A$1:$I$89,3,0)*VLOOKUP('Données projet'!$B$16,Paramètres!$A$1:$I$89,5,0)</f>
        <v>0</v>
      </c>
      <c r="FG60" s="13" t="e">
        <f t="shared" si="47"/>
        <v>#NUM!</v>
      </c>
      <c r="FH60" s="20" t="e">
        <f t="shared" si="22"/>
        <v>#NUM!</v>
      </c>
      <c r="FI60" s="59" t="e">
        <f t="shared" si="23"/>
        <v>#NUM!</v>
      </c>
      <c r="FJ60" s="59">
        <f ca="1">AVERAGE(OFFSET($FI$3,0,0,'Données projet'!$E$16+1,1))-AVERAGE(OFFSET($H$3,0,0,'Données projet'!$E$16+1,1))</f>
        <v>245.25496369542458</v>
      </c>
      <c r="FK60" s="59">
        <f t="shared" si="48"/>
        <v>342.30266518164211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 t="e">
        <f>N61*VLOOKUP('Données projet'!$B$9,Paramètres!$A$1:$I$89,3,0)*VLOOKUP('Données projet'!$B$9,Paramètres!$A$1:$I$89,5,0)</f>
        <v>#N/A</v>
      </c>
      <c r="P61" s="13" t="e">
        <f t="shared" si="33"/>
        <v>#N/A</v>
      </c>
      <c r="Q61" s="20" t="e">
        <f t="shared" si="53"/>
        <v>#N/A</v>
      </c>
      <c r="R61" s="59" t="e">
        <f t="shared" si="0"/>
        <v>#N/A</v>
      </c>
      <c r="S61" s="59" t="e">
        <f ca="1">AVERAGE(OFFSET($R$3,0,0,'Données projet'!$E$9+1,1))-AVERAGE(OFFSET($H$3,0,0,'Données projet'!$E$9+1,1))</f>
        <v>#N/A</v>
      </c>
      <c r="T61" s="59" t="e">
        <f t="shared" si="34"/>
        <v>#N/A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 t="e">
        <f>EXP(-LN(2)/35)*Z60+(1-EXP(-LN(2)/35))/(LN(2)/35)*V61*W61*VLOOKUP('Données projet'!$B$9,Paramètres!$A$1:$I$89,3,0)*0.475*44/12</f>
        <v>#N/A</v>
      </c>
      <c r="AA61" s="21" t="e">
        <f>EXP(-LN(2)/25)*AA60+(1-EXP(-LN(2)/25))/(LN(2)/25)*Calculateur!V61*Calculateur!X61*VLOOKUP('Données projet'!$B$9,Paramètres!$A$1:$I$89,3,0)*0.475*44/12</f>
        <v>#N/A</v>
      </c>
      <c r="AB61" s="21" t="e">
        <f>EXP(-LN(2)/2)*AB60+(1-EXP(-LN(2)/2))/(LN(2)/2)*V61*Y61*VLOOKUP('Données projet'!$B$9,Paramètres!$A$1:$I$89,3,0)*0.475*44/12</f>
        <v>#N/A</v>
      </c>
      <c r="AC61" s="22" t="e">
        <f t="shared" si="3"/>
        <v>#N/A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</v>
      </c>
      <c r="AI61" s="13">
        <f>IF('Données projet'!$A$62&gt;35,AI60+AH61-AQ60,IF(A61&lt;'Données projet'!$A$62,$AF$205^A61,IF(A61='Données projet'!$A$62,'Données projet'!$B$62,AI60+AH61-AQ60)))</f>
        <v>247.99999999999986</v>
      </c>
      <c r="AJ61" s="13">
        <f>AI61*VLOOKUP('Données projet'!$B$10,Paramètres!$A$1:$I$89,3,0)*VLOOKUP('Données projet'!$B$10,Paramètres!$A$1:$I$89,5,0)</f>
        <v>216.6527999999999</v>
      </c>
      <c r="AK61" s="13">
        <f t="shared" si="35"/>
        <v>53.38674047237982</v>
      </c>
      <c r="AL61" s="20">
        <f t="shared" si="4"/>
        <v>470.3188663227279</v>
      </c>
      <c r="AM61" s="59">
        <f t="shared" si="5"/>
        <v>763.65219965606116</v>
      </c>
      <c r="AN61" s="59">
        <f ca="1">AVERAGE(OFFSET($AM$3,0,0,'Données projet'!$E$10+1,1))-AVERAGE(OFFSET($H$3,0,0,'Données projet'!$E$10+1,1))</f>
        <v>338.55719679154777</v>
      </c>
      <c r="AO61" s="59">
        <f t="shared" si="36"/>
        <v>371.26234252426531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4.7435897435897463</v>
      </c>
      <c r="BD61" s="12">
        <f>IF('Données projet'!$A$88&gt;35,BD60+BC61-BL60,IF(A61&lt;'Données projet'!$A$88,$BA$205^A61,IF(A61='Données projet'!$A$88,'Données projet'!$B$88,BD60+BC61-BL60)))</f>
        <v>168.71794871794864</v>
      </c>
      <c r="BE61" s="13">
        <f>BD61*VLOOKUP('Données projet'!$B$11,Paramètres!$A$1:$I$89,3,0)*VLOOKUP('Données projet'!$B$11,Paramètres!$A$1:$I$89,5,0)</f>
        <v>160.55199999999994</v>
      </c>
      <c r="BF61" s="13">
        <f t="shared" si="37"/>
        <v>40.966995580161921</v>
      </c>
      <c r="BG61" s="20">
        <f t="shared" si="7"/>
        <v>350.97891730211518</v>
      </c>
      <c r="BH61" s="59">
        <f t="shared" si="8"/>
        <v>644.31225063544844</v>
      </c>
      <c r="BI61" s="59">
        <f ca="1">AVERAGE(OFFSET($BH$3,0,0,'Données projet'!$E$11+1,1))-AVERAGE(OFFSET($H$3,0,0,'Données projet'!$E$11+1,1))</f>
        <v>351.6178679548006</v>
      </c>
      <c r="BJ61" s="59">
        <f t="shared" si="38"/>
        <v>244.7141066773861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10.794871794871796</v>
      </c>
      <c r="BY61" s="12">
        <f>IF('Données projet'!$A$114&gt;35,BY60+BX61-CG60,IF(A61&lt;'Données projet'!$A$114,$BV$205^A61,IF(A61='Données projet'!$A$114,'Données projet'!$B$114,BY60+BX61-CG60)))</f>
        <v>296.79487179487182</v>
      </c>
      <c r="BZ61" s="13">
        <f>BY61*VLOOKUP('Données projet'!$B$12,Paramètres!$A$1:$I$89,3,0)*VLOOKUP('Données projet'!$B$12,Paramètres!$A$1:$I$89,5,0)</f>
        <v>138.9</v>
      </c>
      <c r="CA61" s="13">
        <f t="shared" si="39"/>
        <v>36.04489536986695</v>
      </c>
      <c r="CB61" s="20">
        <f t="shared" si="10"/>
        <v>304.69569276918497</v>
      </c>
      <c r="CC61" s="59">
        <f t="shared" si="11"/>
        <v>598.02902610251829</v>
      </c>
      <c r="CD61" s="59">
        <f ca="1">AVERAGE(OFFSET($CC$3,0,0,'Données projet'!$E$12+1,1))-AVERAGE(OFFSET($H$3,0,0,'Données projet'!$E$12+1,1))</f>
        <v>246.66630850723385</v>
      </c>
      <c r="CE61" s="59">
        <f t="shared" si="40"/>
        <v>145.34368562171613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9.375</v>
      </c>
      <c r="CT61" s="12">
        <f>IF('Données projet'!$A$140&gt;35,CT60+CS61-DB60,IF(A61&lt;'Données projet'!$A$140,$CQ$205^A61,IF(A61='Données projet'!$A$140,'Données projet'!$B$140,CT60+CS61-DB60)))</f>
        <v>278.24999999999994</v>
      </c>
      <c r="CU61" s="17">
        <f>CT61*VLOOKUP('Données projet'!$B$13,Paramètres!$A$1:$I$89,3,0)*VLOOKUP('Données projet'!$B$13,Paramètres!$A$1:$I$89,5,0)</f>
        <v>217.03499999999997</v>
      </c>
      <c r="CV61" s="13">
        <f t="shared" si="41"/>
        <v>53.469949591969474</v>
      </c>
      <c r="CW61" s="20">
        <f t="shared" si="13"/>
        <v>471.12945387268002</v>
      </c>
      <c r="CX61" s="59">
        <f t="shared" si="14"/>
        <v>764.46278720601333</v>
      </c>
      <c r="CY61" s="59">
        <f ca="1">AVERAGE(OFFSET($CX$3,0,0,'Données projet'!$E$13+1,1))-AVERAGE(OFFSET($H$3,0,0,'Données projet'!$E$13+1,1))</f>
        <v>292.57482726862594</v>
      </c>
      <c r="CZ61" s="59">
        <f t="shared" si="42"/>
        <v>283.48738729114024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7.6</v>
      </c>
      <c r="DO61" s="12">
        <f>IF('Données projet'!$A$166&gt;35,DO60+DN61-DW60,IF(A61&lt;'Données projet'!$A$166,$DL$205^A61,IF(A61='Données projet'!$A$166,'Données projet'!$B$166,DO60+DN61-DW60)))</f>
        <v>219.79999999999998</v>
      </c>
      <c r="DP61" s="17">
        <f>DO61*VLOOKUP('Données projet'!$B$14,Paramètres!$A$1:$I$89,3,0)*VLOOKUP('Données projet'!$B$14,Paramètres!$A$1:$I$89,5,0)</f>
        <v>222.87720000000002</v>
      </c>
      <c r="DQ61" s="13">
        <f t="shared" si="43"/>
        <v>54.739757243913829</v>
      </c>
      <c r="DR61" s="20">
        <f t="shared" si="16"/>
        <v>483.51620053314986</v>
      </c>
      <c r="DS61" s="59">
        <f t="shared" si="17"/>
        <v>776.84953386648317</v>
      </c>
      <c r="DT61" s="59">
        <f ca="1">AVERAGE(OFFSET($DS$3,0,0,'Données projet'!$E$14+1,1))-AVERAGE(OFFSET($H$3,0,0,'Données projet'!$E$14+1,1))</f>
        <v>475.47920969424894</v>
      </c>
      <c r="DU61" s="59">
        <f t="shared" si="44"/>
        <v>271.73544012419364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7.6</v>
      </c>
      <c r="EJ61" s="12">
        <f>IF('Données projet'!$A$192&gt;35,EJ60+EI61-ER60,IF(A61&lt;'Données projet'!$A$192,$EG$205^A61,IF(A61='Données projet'!$A$192,'Données projet'!$B$192,EJ60+EI61-ER60)))</f>
        <v>219.79999999999998</v>
      </c>
      <c r="EK61" s="17">
        <f>EJ61*VLOOKUP('Données projet'!$B$15,Paramètres!$A$1:$I$89,3,0)*VLOOKUP('Données projet'!$B$15,Paramètres!$A$1:$I$89,5,0)</f>
        <v>198.87503999999998</v>
      </c>
      <c r="EL61" s="13">
        <f t="shared" si="45"/>
        <v>49.496854461868558</v>
      </c>
      <c r="EM61" s="20">
        <f t="shared" si="19"/>
        <v>432.58104952108766</v>
      </c>
      <c r="EN61" s="59">
        <f t="shared" si="20"/>
        <v>725.91438285442098</v>
      </c>
      <c r="EO61" s="59">
        <f ca="1">AVERAGE(OFFSET($EN$3,0,0,'Données projet'!$E$15+1,1))-AVERAGE(OFFSET($H$3,0,0,'Données projet'!$E$15+1,1))</f>
        <v>428.8489304403459</v>
      </c>
      <c r="EP61" s="59">
        <f t="shared" si="46"/>
        <v>247.01165577562966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>
        <f>FE61*VLOOKUP('Données projet'!$B$16,Paramètres!$A$1:$I$89,3,0)*VLOOKUP('Données projet'!$B$16,Paramètres!$A$1:$I$89,5,0)</f>
        <v>0</v>
      </c>
      <c r="FG61" s="13" t="e">
        <f t="shared" si="47"/>
        <v>#NUM!</v>
      </c>
      <c r="FH61" s="20" t="e">
        <f t="shared" si="22"/>
        <v>#NUM!</v>
      </c>
      <c r="FI61" s="59" t="e">
        <f t="shared" si="23"/>
        <v>#NUM!</v>
      </c>
      <c r="FJ61" s="59">
        <f ca="1">AVERAGE(OFFSET($FI$3,0,0,'Données projet'!$E$16+1,1))-AVERAGE(OFFSET($H$3,0,0,'Données projet'!$E$16+1,1))</f>
        <v>245.25496369542458</v>
      </c>
      <c r="FK61" s="59">
        <f t="shared" si="48"/>
        <v>342.30266518164211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 t="e">
        <f>N62*VLOOKUP('Données projet'!$B$9,Paramètres!$A$1:$I$89,3,0)*VLOOKUP('Données projet'!$B$9,Paramètres!$A$1:$I$89,5,0)</f>
        <v>#N/A</v>
      </c>
      <c r="P62" s="13" t="e">
        <f t="shared" si="33"/>
        <v>#N/A</v>
      </c>
      <c r="Q62" s="20" t="e">
        <f t="shared" si="53"/>
        <v>#N/A</v>
      </c>
      <c r="R62" s="59" t="e">
        <f t="shared" si="0"/>
        <v>#N/A</v>
      </c>
      <c r="S62" s="59" t="e">
        <f ca="1">AVERAGE(OFFSET($R$3,0,0,'Données projet'!$E$9+1,1))-AVERAGE(OFFSET($H$3,0,0,'Données projet'!$E$9+1,1))</f>
        <v>#N/A</v>
      </c>
      <c r="T62" s="59" t="e">
        <f t="shared" si="34"/>
        <v>#N/A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 t="e">
        <f>EXP(-LN(2)/35)*Z61+(1-EXP(-LN(2)/35))/(LN(2)/35)*V62*W62*VLOOKUP('Données projet'!$B$9,Paramètres!$A$1:$I$89,3,0)*0.475*44/12</f>
        <v>#N/A</v>
      </c>
      <c r="AA62" s="21" t="e">
        <f>EXP(-LN(2)/25)*AA61+(1-EXP(-LN(2)/25))/(LN(2)/25)*Calculateur!V62*Calculateur!X62*VLOOKUP('Données projet'!$B$9,Paramètres!$A$1:$I$89,3,0)*0.475*44/12</f>
        <v>#N/A</v>
      </c>
      <c r="AB62" s="21" t="e">
        <f>EXP(-LN(2)/2)*AB61+(1-EXP(-LN(2)/2))/(LN(2)/2)*V62*Y62*VLOOKUP('Données projet'!$B$9,Paramètres!$A$1:$I$89,3,0)*0.475*44/12</f>
        <v>#N/A</v>
      </c>
      <c r="AC62" s="22" t="e">
        <f t="shared" si="3"/>
        <v>#N/A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</v>
      </c>
      <c r="AI62" s="13">
        <f>IF('Données projet'!$A$62&gt;35,AI61+AH62-AQ61,IF(A62&lt;'Données projet'!$A$62,$AF$205^A62,IF(A62='Données projet'!$A$62,'Données projet'!$B$62,AI61+AH62-AQ61)))</f>
        <v>252.99999999999986</v>
      </c>
      <c r="AJ62" s="13">
        <f>AI62*VLOOKUP('Données projet'!$B$10,Paramètres!$A$1:$I$89,3,0)*VLOOKUP('Données projet'!$B$10,Paramètres!$A$1:$I$89,5,0)</f>
        <v>221.02079999999989</v>
      </c>
      <c r="AK62" s="13">
        <f t="shared" si="35"/>
        <v>54.336691745796898</v>
      </c>
      <c r="AL62" s="20">
        <f t="shared" si="4"/>
        <v>479.58096479059606</v>
      </c>
      <c r="AM62" s="59">
        <f t="shared" si="5"/>
        <v>772.91429812392937</v>
      </c>
      <c r="AN62" s="59">
        <f ca="1">AVERAGE(OFFSET($AM$3,0,0,'Données projet'!$E$10+1,1))-AVERAGE(OFFSET($H$3,0,0,'Données projet'!$E$10+1,1))</f>
        <v>338.55719679154777</v>
      </c>
      <c r="AO62" s="59">
        <f t="shared" si="36"/>
        <v>371.26234252426531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4.7435897435897463</v>
      </c>
      <c r="BD62" s="12">
        <f>IF('Données projet'!$A$88&gt;35,BD61+BC62-BL61,IF(A62&lt;'Données projet'!$A$88,$BA$205^A62,IF(A62='Données projet'!$A$88,'Données projet'!$B$88,BD61+BC62-BL61)))</f>
        <v>173.4615384615384</v>
      </c>
      <c r="BE62" s="13">
        <f>BD62*VLOOKUP('Données projet'!$B$11,Paramètres!$A$1:$I$89,3,0)*VLOOKUP('Données projet'!$B$11,Paramètres!$A$1:$I$89,5,0)</f>
        <v>165.06599999999995</v>
      </c>
      <c r="BF62" s="13">
        <f t="shared" si="37"/>
        <v>41.983084622237634</v>
      </c>
      <c r="BG62" s="20">
        <f t="shared" si="7"/>
        <v>360.61048905039712</v>
      </c>
      <c r="BH62" s="59">
        <f t="shared" si="8"/>
        <v>653.94382238373043</v>
      </c>
      <c r="BI62" s="59">
        <f ca="1">AVERAGE(OFFSET($BH$3,0,0,'Données projet'!$E$11+1,1))-AVERAGE(OFFSET($H$3,0,0,'Données projet'!$E$11+1,1))</f>
        <v>351.6178679548006</v>
      </c>
      <c r="BJ62" s="59">
        <f t="shared" si="38"/>
        <v>244.7141066773861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10.794871794871796</v>
      </c>
      <c r="BY62" s="12">
        <f>IF('Données projet'!$A$114&gt;35,BY61+BX62-CG61,IF(A62&lt;'Données projet'!$A$114,$BV$205^A62,IF(A62='Données projet'!$A$114,'Données projet'!$B$114,BY61+BX62-CG61)))</f>
        <v>307.58974358974365</v>
      </c>
      <c r="BZ62" s="13">
        <f>BY62*VLOOKUP('Données projet'!$B$12,Paramètres!$A$1:$I$89,3,0)*VLOOKUP('Données projet'!$B$12,Paramètres!$A$1:$I$89,5,0)</f>
        <v>143.95200000000003</v>
      </c>
      <c r="CA62" s="13">
        <f t="shared" si="39"/>
        <v>37.200881196340795</v>
      </c>
      <c r="CB62" s="20">
        <f t="shared" si="10"/>
        <v>315.5079347502936</v>
      </c>
      <c r="CC62" s="59">
        <f t="shared" si="11"/>
        <v>608.84126808362691</v>
      </c>
      <c r="CD62" s="59">
        <f ca="1">AVERAGE(OFFSET($CC$3,0,0,'Données projet'!$E$12+1,1))-AVERAGE(OFFSET($H$3,0,0,'Données projet'!$E$12+1,1))</f>
        <v>246.66630850723385</v>
      </c>
      <c r="CE62" s="59">
        <f t="shared" si="40"/>
        <v>145.34368562171613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9.375</v>
      </c>
      <c r="CT62" s="12">
        <f>IF('Données projet'!$A$140&gt;35,CT61+CS62-DB61,IF(A62&lt;'Données projet'!$A$140,$CQ$205^A62,IF(A62='Données projet'!$A$140,'Données projet'!$B$140,CT61+CS62-DB61)))</f>
        <v>287.62499999999994</v>
      </c>
      <c r="CU62" s="17">
        <f>CT62*VLOOKUP('Données projet'!$B$13,Paramètres!$A$1:$I$89,3,0)*VLOOKUP('Données projet'!$B$13,Paramètres!$A$1:$I$89,5,0)</f>
        <v>224.34749999999997</v>
      </c>
      <c r="CV62" s="13">
        <f t="shared" si="41"/>
        <v>55.058714525680479</v>
      </c>
      <c r="CW62" s="20">
        <f t="shared" si="13"/>
        <v>486.63249029889352</v>
      </c>
      <c r="CX62" s="59">
        <f t="shared" si="14"/>
        <v>779.96582363222683</v>
      </c>
      <c r="CY62" s="59">
        <f ca="1">AVERAGE(OFFSET($CX$3,0,0,'Données projet'!$E$13+1,1))-AVERAGE(OFFSET($H$3,0,0,'Données projet'!$E$13+1,1))</f>
        <v>292.57482726862594</v>
      </c>
      <c r="CZ62" s="59">
        <f t="shared" si="42"/>
        <v>283.48738729114024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7.6</v>
      </c>
      <c r="DO62" s="12">
        <f>IF('Données projet'!$A$166&gt;35,DO61+DN62-DW61,IF(A62&lt;'Données projet'!$A$166,$DL$205^A62,IF(A62='Données projet'!$A$166,'Données projet'!$B$166,DO61+DN62-DW61)))</f>
        <v>227.39999999999998</v>
      </c>
      <c r="DP62" s="17">
        <f>DO62*VLOOKUP('Données projet'!$B$14,Paramètres!$A$1:$I$89,3,0)*VLOOKUP('Données projet'!$B$14,Paramètres!$A$1:$I$89,5,0)</f>
        <v>230.58360000000002</v>
      </c>
      <c r="DQ62" s="13">
        <f t="shared" si="43"/>
        <v>56.408850878327968</v>
      </c>
      <c r="DR62" s="20">
        <f t="shared" si="16"/>
        <v>499.8451852797545</v>
      </c>
      <c r="DS62" s="59">
        <f t="shared" si="17"/>
        <v>793.17851861308782</v>
      </c>
      <c r="DT62" s="59">
        <f ca="1">AVERAGE(OFFSET($DS$3,0,0,'Données projet'!$E$14+1,1))-AVERAGE(OFFSET($H$3,0,0,'Données projet'!$E$14+1,1))</f>
        <v>475.47920969424894</v>
      </c>
      <c r="DU62" s="59">
        <f t="shared" si="44"/>
        <v>271.73544012419364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7.6</v>
      </c>
      <c r="EJ62" s="12">
        <f>IF('Données projet'!$A$192&gt;35,EJ61+EI62-ER61,IF(A62&lt;'Données projet'!$A$192,$EG$205^A62,IF(A62='Données projet'!$A$192,'Données projet'!$B$192,EJ61+EI62-ER61)))</f>
        <v>227.39999999999998</v>
      </c>
      <c r="EK62" s="17">
        <f>EJ62*VLOOKUP('Données projet'!$B$15,Paramètres!$A$1:$I$89,3,0)*VLOOKUP('Données projet'!$B$15,Paramètres!$A$1:$I$89,5,0)</f>
        <v>205.75151999999994</v>
      </c>
      <c r="EL62" s="13">
        <f t="shared" si="45"/>
        <v>51.006084477955554</v>
      </c>
      <c r="EM62" s="20">
        <f t="shared" si="19"/>
        <v>447.18616113243911</v>
      </c>
      <c r="EN62" s="59">
        <f t="shared" si="20"/>
        <v>740.51949446577237</v>
      </c>
      <c r="EO62" s="59">
        <f ca="1">AVERAGE(OFFSET($EN$3,0,0,'Données projet'!$E$15+1,1))-AVERAGE(OFFSET($H$3,0,0,'Données projet'!$E$15+1,1))</f>
        <v>428.8489304403459</v>
      </c>
      <c r="EP62" s="59">
        <f t="shared" si="46"/>
        <v>247.01165577562966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>
        <f>FE62*VLOOKUP('Données projet'!$B$16,Paramètres!$A$1:$I$89,3,0)*VLOOKUP('Données projet'!$B$16,Paramètres!$A$1:$I$89,5,0)</f>
        <v>0</v>
      </c>
      <c r="FG62" s="13" t="e">
        <f t="shared" si="47"/>
        <v>#NUM!</v>
      </c>
      <c r="FH62" s="20" t="e">
        <f t="shared" si="22"/>
        <v>#NUM!</v>
      </c>
      <c r="FI62" s="59" t="e">
        <f t="shared" si="23"/>
        <v>#NUM!</v>
      </c>
      <c r="FJ62" s="59">
        <f ca="1">AVERAGE(OFFSET($FI$3,0,0,'Données projet'!$E$16+1,1))-AVERAGE(OFFSET($H$3,0,0,'Données projet'!$E$16+1,1))</f>
        <v>245.25496369542458</v>
      </c>
      <c r="FK62" s="59">
        <f t="shared" si="48"/>
        <v>342.30266518164211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 t="e">
        <f>N63*VLOOKUP('Données projet'!$B$9,Paramètres!$A$1:$I$89,3,0)*VLOOKUP('Données projet'!$B$9,Paramètres!$A$1:$I$89,5,0)</f>
        <v>#N/A</v>
      </c>
      <c r="P63" s="13" t="e">
        <f t="shared" si="33"/>
        <v>#N/A</v>
      </c>
      <c r="Q63" s="20" t="e">
        <f t="shared" si="53"/>
        <v>#N/A</v>
      </c>
      <c r="R63" s="59" t="e">
        <f t="shared" si="0"/>
        <v>#N/A</v>
      </c>
      <c r="S63" s="59" t="e">
        <f ca="1">AVERAGE(OFFSET($R$3,0,0,'Données projet'!$E$9+1,1))-AVERAGE(OFFSET($H$3,0,0,'Données projet'!$E$9+1,1))</f>
        <v>#N/A</v>
      </c>
      <c r="T63" s="59" t="e">
        <f t="shared" si="34"/>
        <v>#N/A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 t="e">
        <f>EXP(-LN(2)/35)*Z62+(1-EXP(-LN(2)/35))/(LN(2)/35)*V63*W63*VLOOKUP('Données projet'!$B$9,Paramètres!$A$1:$I$89,3,0)*0.475*44/12</f>
        <v>#N/A</v>
      </c>
      <c r="AA63" s="21" t="e">
        <f>EXP(-LN(2)/25)*AA62+(1-EXP(-LN(2)/25))/(LN(2)/25)*Calculateur!V63*Calculateur!X63*VLOOKUP('Données projet'!$B$9,Paramètres!$A$1:$I$89,3,0)*0.475*44/12</f>
        <v>#N/A</v>
      </c>
      <c r="AB63" s="21" t="e">
        <f>EXP(-LN(2)/2)*AB62+(1-EXP(-LN(2)/2))/(LN(2)/2)*V63*Y63*VLOOKUP('Données projet'!$B$9,Paramètres!$A$1:$I$89,3,0)*0.475*44/12</f>
        <v>#N/A</v>
      </c>
      <c r="AC63" s="22" t="e">
        <f t="shared" si="3"/>
        <v>#N/A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258</v>
      </c>
      <c r="AG63" s="12">
        <f>VLOOKUP(A63,'Données projet'!$A$61:$I$81,9,0)</f>
        <v>5</v>
      </c>
      <c r="AH63" s="12">
        <f t="array" ref="AH63">INDEX(AG:AG,MIN(IF(ISNUMBER(AG63:AG259),ROW(AG63:AG259),"")))</f>
        <v>5</v>
      </c>
      <c r="AI63" s="13">
        <f>IF('Données projet'!$A$62&gt;35,AI62+AH63-AQ62,IF(A63&lt;'Données projet'!$A$62,$AF$205^A63,IF(A63='Données projet'!$A$62,'Données projet'!$B$62,AI62+AH63-AQ62)))</f>
        <v>257.99999999999989</v>
      </c>
      <c r="AJ63" s="13">
        <f>AI63*VLOOKUP('Données projet'!$B$10,Paramètres!$A$1:$I$89,3,0)*VLOOKUP('Données projet'!$B$10,Paramètres!$A$1:$I$89,5,0)</f>
        <v>225.38879999999995</v>
      </c>
      <c r="AK63" s="13">
        <f t="shared" si="35"/>
        <v>55.284460117161544</v>
      </c>
      <c r="AL63" s="20">
        <f t="shared" si="4"/>
        <v>488.83926137072285</v>
      </c>
      <c r="AM63" s="59">
        <f t="shared" si="5"/>
        <v>782.17259470405611</v>
      </c>
      <c r="AN63" s="59">
        <f ca="1">AVERAGE(OFFSET($AM$3,0,0,'Données projet'!$E$10+1,1))-AVERAGE(OFFSET($H$3,0,0,'Données projet'!$E$10+1,1))</f>
        <v>338.55719679154777</v>
      </c>
      <c r="AO63" s="59">
        <f t="shared" si="36"/>
        <v>371.26234252426531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25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178.2051282051282</v>
      </c>
      <c r="BB63" s="12">
        <f>VLOOKUP(A63,'Données projet'!$A$87:$I$107,9,0)</f>
        <v>4.7435897435897463</v>
      </c>
      <c r="BC63" s="12">
        <f t="array" ref="BC63">INDEX(BB:BB,MIN(IF(ISNUMBER(BB63:BB259),ROW(BB63:BB259),"")))</f>
        <v>4.7435897435897463</v>
      </c>
      <c r="BD63" s="12">
        <f>IF('Données projet'!$A$88&gt;35,BD62+BC63-BL62,IF(A63&lt;'Données projet'!$A$88,$BA$205^A63,IF(A63='Données projet'!$A$88,'Données projet'!$B$88,BD62+BC63-BL62)))</f>
        <v>178.20512820512815</v>
      </c>
      <c r="BE63" s="13">
        <f>BD63*VLOOKUP('Données projet'!$B$11,Paramètres!$A$1:$I$89,3,0)*VLOOKUP('Données projet'!$B$11,Paramètres!$A$1:$I$89,5,0)</f>
        <v>169.57999999999993</v>
      </c>
      <c r="BF63" s="13">
        <f t="shared" si="37"/>
        <v>42.995944018844156</v>
      </c>
      <c r="BG63" s="20">
        <f t="shared" si="7"/>
        <v>370.23643583282006</v>
      </c>
      <c r="BH63" s="59">
        <f t="shared" si="8"/>
        <v>663.56976916615338</v>
      </c>
      <c r="BI63" s="59">
        <f ca="1">AVERAGE(OFFSET($BH$3,0,0,'Données projet'!$E$11+1,1))-AVERAGE(OFFSET($H$3,0,0,'Données projet'!$E$11+1,1))</f>
        <v>351.6178679548006</v>
      </c>
      <c r="BJ63" s="59">
        <f t="shared" si="38"/>
        <v>244.7141066773861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10.794871794871796</v>
      </c>
      <c r="BY63" s="12">
        <f>IF('Données projet'!$A$114&gt;35,BY62+BX63-CG62,IF(A63&lt;'Données projet'!$A$114,$BV$205^A63,IF(A63='Données projet'!$A$114,'Données projet'!$B$114,BY62+BX63-CG62)))</f>
        <v>318.38461538461547</v>
      </c>
      <c r="BZ63" s="13">
        <f>BY63*VLOOKUP('Données projet'!$B$12,Paramètres!$A$1:$I$89,3,0)*VLOOKUP('Données projet'!$B$12,Paramètres!$A$1:$I$89,5,0)</f>
        <v>149.00400000000002</v>
      </c>
      <c r="CA63" s="13">
        <f t="shared" si="39"/>
        <v>38.35215335953648</v>
      </c>
      <c r="CB63" s="20">
        <f t="shared" si="10"/>
        <v>326.31196710119275</v>
      </c>
      <c r="CC63" s="59">
        <f t="shared" si="11"/>
        <v>619.64530043452601</v>
      </c>
      <c r="CD63" s="59">
        <f ca="1">AVERAGE(OFFSET($CC$3,0,0,'Données projet'!$E$12+1,1))-AVERAGE(OFFSET($H$3,0,0,'Données projet'!$E$12+1,1))</f>
        <v>246.66630850723385</v>
      </c>
      <c r="CE63" s="59">
        <f t="shared" si="40"/>
        <v>145.34368562171613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297</v>
      </c>
      <c r="CR63" s="12">
        <f>VLOOKUP(A63,'Données projet'!$A$139:$I$159,9,0)</f>
        <v>9.375</v>
      </c>
      <c r="CS63" s="12">
        <f t="array" ref="CS63">INDEX(CR:CR,MIN(IF(ISNUMBER(CR63:CR259),ROW(CR63:CR259),"")))</f>
        <v>9.375</v>
      </c>
      <c r="CT63" s="12">
        <f>IF('Données projet'!$A$140&gt;35,CT62+CS63-DB62,IF(A63&lt;'Données projet'!$A$140,$CQ$205^A63,IF(A63='Données projet'!$A$140,'Données projet'!$B$140,CT62+CS63-DB62)))</f>
        <v>296.99999999999994</v>
      </c>
      <c r="CU63" s="17">
        <f>CT63*VLOOKUP('Données projet'!$B$13,Paramètres!$A$1:$I$89,3,0)*VLOOKUP('Données projet'!$B$13,Paramètres!$A$1:$I$89,5,0)</f>
        <v>231.65999999999997</v>
      </c>
      <c r="CV63" s="13">
        <f t="shared" si="41"/>
        <v>56.641461975682766</v>
      </c>
      <c r="CW63" s="20">
        <f t="shared" si="13"/>
        <v>502.12504627431412</v>
      </c>
      <c r="CX63" s="59">
        <f t="shared" si="14"/>
        <v>795.45837960764743</v>
      </c>
      <c r="CY63" s="59">
        <f ca="1">AVERAGE(OFFSET($CX$3,0,0,'Données projet'!$E$13+1,1))-AVERAGE(OFFSET($H$3,0,0,'Données projet'!$E$13+1,1))</f>
        <v>292.57482726862594</v>
      </c>
      <c r="CZ63" s="59">
        <f t="shared" si="42"/>
        <v>283.48738729114024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47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235</v>
      </c>
      <c r="DM63" s="12">
        <f>VLOOKUP(A63,'Données projet'!$A$165:$I$185,9,0)</f>
        <v>7.6</v>
      </c>
      <c r="DN63" s="12">
        <f t="array" ref="DN63">INDEX(DM:DM,MIN(IF(ISNUMBER(DM63:DM259),ROW(DM63:DM259),"")))</f>
        <v>7.6</v>
      </c>
      <c r="DO63" s="12">
        <f>IF('Données projet'!$A$166&gt;35,DO62+DN63-DW62,IF(A63&lt;'Données projet'!$A$166,$DL$205^A63,IF(A63='Données projet'!$A$166,'Données projet'!$B$166,DO62+DN63-DW62)))</f>
        <v>234.99999999999997</v>
      </c>
      <c r="DP63" s="17">
        <f>DO63*VLOOKUP('Données projet'!$B$14,Paramètres!$A$1:$I$89,3,0)*VLOOKUP('Données projet'!$B$14,Paramètres!$A$1:$I$89,5,0)</f>
        <v>238.29000000000002</v>
      </c>
      <c r="DQ63" s="13">
        <f t="shared" si="43"/>
        <v>58.071462681001513</v>
      </c>
      <c r="DR63" s="20">
        <f t="shared" si="16"/>
        <v>516.16288083607753</v>
      </c>
      <c r="DS63" s="59">
        <f t="shared" si="17"/>
        <v>809.49621416941091</v>
      </c>
      <c r="DT63" s="59">
        <f ca="1">AVERAGE(OFFSET($DS$3,0,0,'Données projet'!$E$14+1,1))-AVERAGE(OFFSET($H$3,0,0,'Données projet'!$E$14+1,1))</f>
        <v>475.47920969424894</v>
      </c>
      <c r="DU63" s="59">
        <f t="shared" si="44"/>
        <v>271.73544012419364</v>
      </c>
      <c r="DV63" s="15">
        <f>IF(ISNA(VLOOKUP(A63,'Données projet'!$A$165:$I$185,3,0)),0,VLOOKUP(A63,'Données projet'!$A$165:$I$185,3,0))</f>
        <v>4</v>
      </c>
      <c r="DW63" s="15">
        <f>IF(ISNA(VLOOKUP(A63,'Données projet'!$A$165:$I$185,4,0)),0,VLOOKUP(A63,'Données projet'!$A$165:$I$185,4,0))</f>
        <v>42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235</v>
      </c>
      <c r="EH63" s="12">
        <f>VLOOKUP(A63,'Données projet'!$A$191:$I$211,9,0)</f>
        <v>7.6</v>
      </c>
      <c r="EI63" s="12">
        <f t="array" ref="EI63">INDEX(EH:EH,MIN(IF(ISNUMBER(EH63:EH259),ROW(EH63:EH259),"")))</f>
        <v>7.6</v>
      </c>
      <c r="EJ63" s="12">
        <f>IF('Données projet'!$A$192&gt;35,EJ62+EI63-ER62,IF(A63&lt;'Données projet'!$A$192,$EG$205^A63,IF(A63='Données projet'!$A$192,'Données projet'!$B$192,EJ62+EI63-ER62)))</f>
        <v>234.99999999999997</v>
      </c>
      <c r="EK63" s="17">
        <f>EJ63*VLOOKUP('Données projet'!$B$15,Paramètres!$A$1:$I$89,3,0)*VLOOKUP('Données projet'!$B$15,Paramètres!$A$1:$I$89,5,0)</f>
        <v>212.62799999999999</v>
      </c>
      <c r="EL63" s="13">
        <f t="shared" si="45"/>
        <v>52.509453483719035</v>
      </c>
      <c r="EM63" s="20">
        <f t="shared" si="19"/>
        <v>461.78106481747727</v>
      </c>
      <c r="EN63" s="59">
        <f t="shared" si="20"/>
        <v>755.11439815081053</v>
      </c>
      <c r="EO63" s="59">
        <f ca="1">AVERAGE(OFFSET($EN$3,0,0,'Données projet'!$E$15+1,1))-AVERAGE(OFFSET($H$3,0,0,'Données projet'!$E$15+1,1))</f>
        <v>428.8489304403459</v>
      </c>
      <c r="EP63" s="59">
        <f t="shared" si="46"/>
        <v>247.01165577562966</v>
      </c>
      <c r="EQ63" s="15">
        <f>IF(ISNA(VLOOKUP(A63,'Données projet'!$A$191:$I$211,3,0)),0,VLOOKUP(A63,'Données projet'!$A$191:$I$211,3,0))</f>
        <v>4</v>
      </c>
      <c r="ER63" s="15">
        <f>IF(ISNA(VLOOKUP(A63,'Données projet'!$A$191:$I$211,4,0)),0,VLOOKUP(A63,'Données projet'!$A$191:$I$211,4,0))</f>
        <v>42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>
        <f>FE63*VLOOKUP('Données projet'!$B$16,Paramètres!$A$1:$I$89,3,0)*VLOOKUP('Données projet'!$B$16,Paramètres!$A$1:$I$89,5,0)</f>
        <v>0</v>
      </c>
      <c r="FG63" s="13" t="e">
        <f t="shared" si="47"/>
        <v>#NUM!</v>
      </c>
      <c r="FH63" s="20" t="e">
        <f t="shared" si="22"/>
        <v>#NUM!</v>
      </c>
      <c r="FI63" s="59" t="e">
        <f t="shared" si="23"/>
        <v>#NUM!</v>
      </c>
      <c r="FJ63" s="59">
        <f ca="1">AVERAGE(OFFSET($FI$3,0,0,'Données projet'!$E$16+1,1))-AVERAGE(OFFSET($H$3,0,0,'Données projet'!$E$16+1,1))</f>
        <v>245.25496369542458</v>
      </c>
      <c r="FK63" s="59">
        <f t="shared" si="48"/>
        <v>342.30266518164211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 t="e">
        <f>N64*VLOOKUP('Données projet'!$B$9,Paramètres!$A$1:$I$89,3,0)*VLOOKUP('Données projet'!$B$9,Paramètres!$A$1:$I$89,5,0)</f>
        <v>#N/A</v>
      </c>
      <c r="P64" s="13" t="e">
        <f t="shared" si="33"/>
        <v>#N/A</v>
      </c>
      <c r="Q64" s="20" t="e">
        <f t="shared" si="53"/>
        <v>#N/A</v>
      </c>
      <c r="R64" s="59" t="e">
        <f t="shared" si="0"/>
        <v>#N/A</v>
      </c>
      <c r="S64" s="59" t="e">
        <f ca="1">AVERAGE(OFFSET($R$3,0,0,'Données projet'!$E$9+1,1))-AVERAGE(OFFSET($H$3,0,0,'Données projet'!$E$9+1,1))</f>
        <v>#N/A</v>
      </c>
      <c r="T64" s="59" t="e">
        <f t="shared" si="34"/>
        <v>#N/A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 t="e">
        <f>EXP(-LN(2)/35)*Z63+(1-EXP(-LN(2)/35))/(LN(2)/35)*V64*W64*VLOOKUP('Données projet'!$B$9,Paramètres!$A$1:$I$89,3,0)*0.475*44/12</f>
        <v>#N/A</v>
      </c>
      <c r="AA64" s="21" t="e">
        <f>EXP(-LN(2)/25)*AA63+(1-EXP(-LN(2)/25))/(LN(2)/25)*Calculateur!V64*Calculateur!X64*VLOOKUP('Données projet'!$B$9,Paramètres!$A$1:$I$89,3,0)*0.475*44/12</f>
        <v>#N/A</v>
      </c>
      <c r="AB64" s="21" t="e">
        <f>EXP(-LN(2)/2)*AB63+(1-EXP(-LN(2)/2))/(LN(2)/2)*V64*Y64*VLOOKUP('Données projet'!$B$9,Paramètres!$A$1:$I$89,3,0)*0.475*44/12</f>
        <v>#N/A</v>
      </c>
      <c r="AC64" s="22" t="e">
        <f t="shared" si="3"/>
        <v>#N/A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4.4000000000000004</v>
      </c>
      <c r="AI64" s="13">
        <f>IF('Données projet'!$A$62&gt;35,AI63+AH64-AQ63,IF(A64&lt;'Données projet'!$A$62,$AF$205^A64,IF(A64='Données projet'!$A$62,'Données projet'!$B$62,AI63+AH64-AQ63)))</f>
        <v>237.39999999999986</v>
      </c>
      <c r="AJ64" s="13">
        <f>AI64*VLOOKUP('Données projet'!$B$10,Paramètres!$A$1:$I$89,3,0)*VLOOKUP('Données projet'!$B$10,Paramètres!$A$1:$I$89,5,0)</f>
        <v>207.39263999999989</v>
      </c>
      <c r="AK64" s="13">
        <f t="shared" si="35"/>
        <v>51.365398298247158</v>
      </c>
      <c r="AL64" s="20">
        <f t="shared" si="4"/>
        <v>450.67025003611349</v>
      </c>
      <c r="AM64" s="59">
        <f t="shared" si="5"/>
        <v>744.0035833694468</v>
      </c>
      <c r="AN64" s="59">
        <f ca="1">AVERAGE(OFFSET($AM$3,0,0,'Données projet'!$E$10+1,1))-AVERAGE(OFFSET($H$3,0,0,'Données projet'!$E$10+1,1))</f>
        <v>338.55719679154777</v>
      </c>
      <c r="AO64" s="59">
        <f t="shared" si="36"/>
        <v>371.26234252426531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4.4871794871794863</v>
      </c>
      <c r="BD64" s="12">
        <f>IF('Données projet'!$A$88&gt;35,BD63+BC64-BL63,IF(A64&lt;'Données projet'!$A$88,$BA$205^A64,IF(A64='Données projet'!$A$88,'Données projet'!$B$88,BD63+BC64-BL63)))</f>
        <v>182.69230769230762</v>
      </c>
      <c r="BE64" s="13">
        <f>BD64*VLOOKUP('Données projet'!$B$11,Paramètres!$A$1:$I$89,3,0)*VLOOKUP('Données projet'!$B$11,Paramètres!$A$1:$I$89,5,0)</f>
        <v>173.84999999999994</v>
      </c>
      <c r="BF64" s="13">
        <f t="shared" si="37"/>
        <v>43.951168452592761</v>
      </c>
      <c r="BG64" s="20">
        <f t="shared" si="7"/>
        <v>379.3370350549323</v>
      </c>
      <c r="BH64" s="59">
        <f t="shared" si="8"/>
        <v>672.67036838826562</v>
      </c>
      <c r="BI64" s="59">
        <f ca="1">AVERAGE(OFFSET($BH$3,0,0,'Données projet'!$E$11+1,1))-AVERAGE(OFFSET($H$3,0,0,'Données projet'!$E$11+1,1))</f>
        <v>351.6178679548006</v>
      </c>
      <c r="BJ64" s="59">
        <f t="shared" si="38"/>
        <v>244.7141066773861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10.794871794871796</v>
      </c>
      <c r="BY64" s="12">
        <f>IF('Données projet'!$A$114&gt;35,BY63+BX64-CG63,IF(A64&lt;'Données projet'!$A$114,$BV$205^A64,IF(A64='Données projet'!$A$114,'Données projet'!$B$114,BY63+BX64-CG63)))</f>
        <v>329.1794871794873</v>
      </c>
      <c r="BZ64" s="13">
        <f>BY64*VLOOKUP('Données projet'!$B$12,Paramètres!$A$1:$I$89,3,0)*VLOOKUP('Données projet'!$B$12,Paramètres!$A$1:$I$89,5,0)</f>
        <v>154.05600000000004</v>
      </c>
      <c r="CA64" s="13">
        <f t="shared" si="39"/>
        <v>39.498889997294725</v>
      </c>
      <c r="CB64" s="20">
        <f t="shared" si="10"/>
        <v>337.1081000786217</v>
      </c>
      <c r="CC64" s="59">
        <f t="shared" si="11"/>
        <v>630.44143341195502</v>
      </c>
      <c r="CD64" s="59">
        <f ca="1">AVERAGE(OFFSET($CC$3,0,0,'Données projet'!$E$12+1,1))-AVERAGE(OFFSET($H$3,0,0,'Données projet'!$E$12+1,1))</f>
        <v>246.66630850723385</v>
      </c>
      <c r="CE64" s="59">
        <f t="shared" si="40"/>
        <v>145.34368562171613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8.6666666666666661</v>
      </c>
      <c r="CT64" s="12">
        <f>IF('Données projet'!$A$140&gt;35,CT63+CS64-DB63,IF(A64&lt;'Données projet'!$A$140,$CQ$205^A64,IF(A64='Données projet'!$A$140,'Données projet'!$B$140,CT63+CS64-DB63)))</f>
        <v>258.66666666666663</v>
      </c>
      <c r="CU64" s="17">
        <f>CT64*VLOOKUP('Données projet'!$B$13,Paramètres!$A$1:$I$89,3,0)*VLOOKUP('Données projet'!$B$13,Paramètres!$A$1:$I$89,5,0)</f>
        <v>201.76</v>
      </c>
      <c r="CV64" s="13">
        <f t="shared" si="41"/>
        <v>50.130765000424212</v>
      </c>
      <c r="CW64" s="20">
        <f t="shared" si="13"/>
        <v>438.70974904240546</v>
      </c>
      <c r="CX64" s="59">
        <f t="shared" si="14"/>
        <v>732.04308237573878</v>
      </c>
      <c r="CY64" s="59">
        <f ca="1">AVERAGE(OFFSET($CX$3,0,0,'Données projet'!$E$13+1,1))-AVERAGE(OFFSET($H$3,0,0,'Données projet'!$E$13+1,1))</f>
        <v>292.57482726862594</v>
      </c>
      <c r="CZ64" s="59">
        <f t="shared" si="42"/>
        <v>283.48738729114024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7.2</v>
      </c>
      <c r="DO64" s="12">
        <f>IF('Données projet'!$A$166&gt;35,DO63+DN64-DW63,IF(A64&lt;'Données projet'!$A$166,$DL$205^A64,IF(A64='Données projet'!$A$166,'Données projet'!$B$166,DO63+DN64-DW63)))</f>
        <v>200.19999999999996</v>
      </c>
      <c r="DP64" s="17">
        <f>DO64*VLOOKUP('Données projet'!$B$14,Paramètres!$A$1:$I$89,3,0)*VLOOKUP('Données projet'!$B$14,Paramètres!$A$1:$I$89,5,0)</f>
        <v>203.00279999999995</v>
      </c>
      <c r="DQ64" s="13">
        <f t="shared" si="43"/>
        <v>50.403518824343074</v>
      </c>
      <c r="DR64" s="20">
        <f t="shared" si="16"/>
        <v>441.3493386190641</v>
      </c>
      <c r="DS64" s="59">
        <f t="shared" si="17"/>
        <v>734.68267195239741</v>
      </c>
      <c r="DT64" s="59">
        <f ca="1">AVERAGE(OFFSET($DS$3,0,0,'Données projet'!$E$14+1,1))-AVERAGE(OFFSET($H$3,0,0,'Données projet'!$E$14+1,1))</f>
        <v>475.47920969424894</v>
      </c>
      <c r="DU64" s="59">
        <f t="shared" si="44"/>
        <v>271.73544012419364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7.2</v>
      </c>
      <c r="EJ64" s="12">
        <f>IF('Données projet'!$A$192&gt;35,EJ63+EI64-ER63,IF(A64&lt;'Données projet'!$A$192,$EG$205^A64,IF(A64='Données projet'!$A$192,'Données projet'!$B$192,EJ63+EI64-ER63)))</f>
        <v>200.19999999999996</v>
      </c>
      <c r="EK64" s="17">
        <f>EJ64*VLOOKUP('Données projet'!$B$15,Paramètres!$A$1:$I$89,3,0)*VLOOKUP('Données projet'!$B$15,Paramètres!$A$1:$I$89,5,0)</f>
        <v>181.14095999999995</v>
      </c>
      <c r="EL64" s="13">
        <f t="shared" si="45"/>
        <v>45.575935320610945</v>
      </c>
      <c r="EM64" s="20">
        <f t="shared" si="19"/>
        <v>394.86525935006392</v>
      </c>
      <c r="EN64" s="59">
        <f t="shared" si="20"/>
        <v>688.19859268339724</v>
      </c>
      <c r="EO64" s="59">
        <f ca="1">AVERAGE(OFFSET($EN$3,0,0,'Données projet'!$E$15+1,1))-AVERAGE(OFFSET($H$3,0,0,'Données projet'!$E$15+1,1))</f>
        <v>428.8489304403459</v>
      </c>
      <c r="EP64" s="59">
        <f t="shared" si="46"/>
        <v>247.01165577562966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>
        <f>FE64*VLOOKUP('Données projet'!$B$16,Paramètres!$A$1:$I$89,3,0)*VLOOKUP('Données projet'!$B$16,Paramètres!$A$1:$I$89,5,0)</f>
        <v>0</v>
      </c>
      <c r="FG64" s="13" t="e">
        <f t="shared" si="47"/>
        <v>#NUM!</v>
      </c>
      <c r="FH64" s="20" t="e">
        <f t="shared" si="22"/>
        <v>#NUM!</v>
      </c>
      <c r="FI64" s="59" t="e">
        <f t="shared" si="23"/>
        <v>#NUM!</v>
      </c>
      <c r="FJ64" s="59">
        <f ca="1">AVERAGE(OFFSET($FI$3,0,0,'Données projet'!$E$16+1,1))-AVERAGE(OFFSET($H$3,0,0,'Données projet'!$E$16+1,1))</f>
        <v>245.25496369542458</v>
      </c>
      <c r="FK64" s="59">
        <f t="shared" si="48"/>
        <v>342.30266518164211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 t="e">
        <f>N65*VLOOKUP('Données projet'!$B$9,Paramètres!$A$1:$I$89,3,0)*VLOOKUP('Données projet'!$B$9,Paramètres!$A$1:$I$89,5,0)</f>
        <v>#N/A</v>
      </c>
      <c r="P65" s="13" t="e">
        <f t="shared" si="33"/>
        <v>#N/A</v>
      </c>
      <c r="Q65" s="20" t="e">
        <f t="shared" si="53"/>
        <v>#N/A</v>
      </c>
      <c r="R65" s="59" t="e">
        <f t="shared" si="0"/>
        <v>#N/A</v>
      </c>
      <c r="S65" s="59" t="e">
        <f ca="1">AVERAGE(OFFSET($R$3,0,0,'Données projet'!$E$9+1,1))-AVERAGE(OFFSET($H$3,0,0,'Données projet'!$E$9+1,1))</f>
        <v>#N/A</v>
      </c>
      <c r="T65" s="59" t="e">
        <f t="shared" si="34"/>
        <v>#N/A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 t="e">
        <f>EXP(-LN(2)/35)*Z64+(1-EXP(-LN(2)/35))/(LN(2)/35)*V65*W65*VLOOKUP('Données projet'!$B$9,Paramètres!$A$1:$I$89,3,0)*0.475*44/12</f>
        <v>#N/A</v>
      </c>
      <c r="AA65" s="21" t="e">
        <f>EXP(-LN(2)/25)*AA64+(1-EXP(-LN(2)/25))/(LN(2)/25)*Calculateur!V65*Calculateur!X65*VLOOKUP('Données projet'!$B$9,Paramètres!$A$1:$I$89,3,0)*0.475*44/12</f>
        <v>#N/A</v>
      </c>
      <c r="AB65" s="21" t="e">
        <f>EXP(-LN(2)/2)*AB64+(1-EXP(-LN(2)/2))/(LN(2)/2)*V65*Y65*VLOOKUP('Données projet'!$B$9,Paramètres!$A$1:$I$89,3,0)*0.475*44/12</f>
        <v>#N/A</v>
      </c>
      <c r="AC65" s="22" t="e">
        <f t="shared" si="3"/>
        <v>#N/A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4.4000000000000004</v>
      </c>
      <c r="AI65" s="13">
        <f>IF('Données projet'!$A$62&gt;35,AI64+AH65-AQ64,IF(A65&lt;'Données projet'!$A$62,$AF$205^A65,IF(A65='Données projet'!$A$62,'Données projet'!$B$62,AI64+AH65-AQ64)))</f>
        <v>241.79999999999987</v>
      </c>
      <c r="AJ65" s="13">
        <f>AI65*VLOOKUP('Données projet'!$B$10,Paramètres!$A$1:$I$89,3,0)*VLOOKUP('Données projet'!$B$10,Paramètres!$A$1:$I$89,5,0)</f>
        <v>211.23647999999989</v>
      </c>
      <c r="AK65" s="13">
        <f t="shared" si="35"/>
        <v>52.205695296687686</v>
      </c>
      <c r="AL65" s="20">
        <f t="shared" si="4"/>
        <v>458.82845530839751</v>
      </c>
      <c r="AM65" s="59">
        <f t="shared" si="5"/>
        <v>752.16178864173082</v>
      </c>
      <c r="AN65" s="59">
        <f ca="1">AVERAGE(OFFSET($AM$3,0,0,'Données projet'!$E$10+1,1))-AVERAGE(OFFSET($H$3,0,0,'Données projet'!$E$10+1,1))</f>
        <v>338.55719679154777</v>
      </c>
      <c r="AO65" s="59">
        <f t="shared" si="36"/>
        <v>371.26234252426531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4.4871794871794863</v>
      </c>
      <c r="BD65" s="12">
        <f>IF('Données projet'!$A$88&gt;35,BD64+BC65-BL64,IF(A65&lt;'Données projet'!$A$88,$BA$205^A65,IF(A65='Données projet'!$A$88,'Données projet'!$B$88,BD64+BC65-BL64)))</f>
        <v>187.1794871794871</v>
      </c>
      <c r="BE65" s="13">
        <f>BD65*VLOOKUP('Données projet'!$B$11,Paramètres!$A$1:$I$89,3,0)*VLOOKUP('Données projet'!$B$11,Paramètres!$A$1:$I$89,5,0)</f>
        <v>178.11999999999992</v>
      </c>
      <c r="BF65" s="13">
        <f t="shared" si="37"/>
        <v>44.90366556024162</v>
      </c>
      <c r="BG65" s="20">
        <f t="shared" si="7"/>
        <v>388.4328841840873</v>
      </c>
      <c r="BH65" s="59">
        <f t="shared" si="8"/>
        <v>681.76621751742061</v>
      </c>
      <c r="BI65" s="59">
        <f ca="1">AVERAGE(OFFSET($BH$3,0,0,'Données projet'!$E$11+1,1))-AVERAGE(OFFSET($H$3,0,0,'Données projet'!$E$11+1,1))</f>
        <v>351.6178679548006</v>
      </c>
      <c r="BJ65" s="59">
        <f t="shared" si="38"/>
        <v>244.7141066773861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10.794871794871796</v>
      </c>
      <c r="BY65" s="12">
        <f>IF('Données projet'!$A$114&gt;35,BY64+BX65-CG64,IF(A65&lt;'Données projet'!$A$114,$BV$205^A65,IF(A65='Données projet'!$A$114,'Données projet'!$B$114,BY64+BX65-CG64)))</f>
        <v>339.97435897435912</v>
      </c>
      <c r="BZ65" s="13">
        <f>BY65*VLOOKUP('Données projet'!$B$12,Paramètres!$A$1:$I$89,3,0)*VLOOKUP('Données projet'!$B$12,Paramètres!$A$1:$I$89,5,0)</f>
        <v>159.10800000000006</v>
      </c>
      <c r="CA65" s="13">
        <f t="shared" si="39"/>
        <v>40.641256900876634</v>
      </c>
      <c r="CB65" s="20">
        <f t="shared" si="10"/>
        <v>347.89662243569359</v>
      </c>
      <c r="CC65" s="59">
        <f t="shared" si="11"/>
        <v>641.2299557690269</v>
      </c>
      <c r="CD65" s="59">
        <f ca="1">AVERAGE(OFFSET($CC$3,0,0,'Données projet'!$E$12+1,1))-AVERAGE(OFFSET($H$3,0,0,'Données projet'!$E$12+1,1))</f>
        <v>246.66630850723385</v>
      </c>
      <c r="CE65" s="59">
        <f t="shared" si="40"/>
        <v>145.34368562171613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8.6666666666666661</v>
      </c>
      <c r="CT65" s="12">
        <f>IF('Données projet'!$A$140&gt;35,CT64+CS65-DB64,IF(A65&lt;'Données projet'!$A$140,$CQ$205^A65,IF(A65='Données projet'!$A$140,'Données projet'!$B$140,CT64+CS65-DB64)))</f>
        <v>267.33333333333331</v>
      </c>
      <c r="CU65" s="17">
        <f>CT65*VLOOKUP('Données projet'!$B$13,Paramètres!$A$1:$I$89,3,0)*VLOOKUP('Données projet'!$B$13,Paramètres!$A$1:$I$89,5,0)</f>
        <v>208.51999999999998</v>
      </c>
      <c r="CV65" s="13">
        <f t="shared" si="41"/>
        <v>51.612035456318509</v>
      </c>
      <c r="CW65" s="20">
        <f t="shared" si="13"/>
        <v>453.06329508642131</v>
      </c>
      <c r="CX65" s="59">
        <f t="shared" si="14"/>
        <v>746.39662841975462</v>
      </c>
      <c r="CY65" s="59">
        <f ca="1">AVERAGE(OFFSET($CX$3,0,0,'Données projet'!$E$13+1,1))-AVERAGE(OFFSET($H$3,0,0,'Données projet'!$E$13+1,1))</f>
        <v>292.57482726862594</v>
      </c>
      <c r="CZ65" s="59">
        <f t="shared" si="42"/>
        <v>283.48738729114024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7.2</v>
      </c>
      <c r="DO65" s="12">
        <f>IF('Données projet'!$A$166&gt;35,DO64+DN65-DW64,IF(A65&lt;'Données projet'!$A$166,$DL$205^A65,IF(A65='Données projet'!$A$166,'Données projet'!$B$166,DO64+DN65-DW64)))</f>
        <v>207.39999999999995</v>
      </c>
      <c r="DP65" s="17">
        <f>DO65*VLOOKUP('Données projet'!$B$14,Paramètres!$A$1:$I$89,3,0)*VLOOKUP('Données projet'!$B$14,Paramètres!$A$1:$I$89,5,0)</f>
        <v>210.30359999999996</v>
      </c>
      <c r="DQ65" s="13">
        <f t="shared" si="43"/>
        <v>52.001924357524459</v>
      </c>
      <c r="DR65" s="20">
        <f t="shared" si="16"/>
        <v>456.84878825602163</v>
      </c>
      <c r="DS65" s="59">
        <f t="shared" si="17"/>
        <v>750.18212158935489</v>
      </c>
      <c r="DT65" s="59">
        <f ca="1">AVERAGE(OFFSET($DS$3,0,0,'Données projet'!$E$14+1,1))-AVERAGE(OFFSET($H$3,0,0,'Données projet'!$E$14+1,1))</f>
        <v>475.47920969424894</v>
      </c>
      <c r="DU65" s="59">
        <f t="shared" si="44"/>
        <v>271.73544012419364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7.2</v>
      </c>
      <c r="EJ65" s="12">
        <f>IF('Données projet'!$A$192&gt;35,EJ64+EI65-ER64,IF(A65&lt;'Données projet'!$A$192,$EG$205^A65,IF(A65='Données projet'!$A$192,'Données projet'!$B$192,EJ64+EI65-ER64)))</f>
        <v>207.39999999999995</v>
      </c>
      <c r="EK65" s="17">
        <f>EJ65*VLOOKUP('Données projet'!$B$15,Paramètres!$A$1:$I$89,3,0)*VLOOKUP('Données projet'!$B$15,Paramètres!$A$1:$I$89,5,0)</f>
        <v>187.65551999999994</v>
      </c>
      <c r="EL65" s="13">
        <f t="shared" si="45"/>
        <v>47.021247649900147</v>
      </c>
      <c r="EM65" s="20">
        <f t="shared" si="19"/>
        <v>408.72870365690932</v>
      </c>
      <c r="EN65" s="59">
        <f t="shared" si="20"/>
        <v>702.06203699024263</v>
      </c>
      <c r="EO65" s="59">
        <f ca="1">AVERAGE(OFFSET($EN$3,0,0,'Données projet'!$E$15+1,1))-AVERAGE(OFFSET($H$3,0,0,'Données projet'!$E$15+1,1))</f>
        <v>428.8489304403459</v>
      </c>
      <c r="EP65" s="59">
        <f t="shared" si="46"/>
        <v>247.01165577562966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>
        <f>FE65*VLOOKUP('Données projet'!$B$16,Paramètres!$A$1:$I$89,3,0)*VLOOKUP('Données projet'!$B$16,Paramètres!$A$1:$I$89,5,0)</f>
        <v>0</v>
      </c>
      <c r="FG65" s="13" t="e">
        <f t="shared" si="47"/>
        <v>#NUM!</v>
      </c>
      <c r="FH65" s="20" t="e">
        <f t="shared" si="22"/>
        <v>#NUM!</v>
      </c>
      <c r="FI65" s="59" t="e">
        <f t="shared" si="23"/>
        <v>#NUM!</v>
      </c>
      <c r="FJ65" s="59">
        <f ca="1">AVERAGE(OFFSET($FI$3,0,0,'Données projet'!$E$16+1,1))-AVERAGE(OFFSET($H$3,0,0,'Données projet'!$E$16+1,1))</f>
        <v>245.25496369542458</v>
      </c>
      <c r="FK65" s="59">
        <f t="shared" si="48"/>
        <v>342.30266518164211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 t="e">
        <f>N66*VLOOKUP('Données projet'!$B$9,Paramètres!$A$1:$I$89,3,0)*VLOOKUP('Données projet'!$B$9,Paramètres!$A$1:$I$89,5,0)</f>
        <v>#N/A</v>
      </c>
      <c r="P66" s="13" t="e">
        <f t="shared" si="33"/>
        <v>#N/A</v>
      </c>
      <c r="Q66" s="20" t="e">
        <f t="shared" si="53"/>
        <v>#N/A</v>
      </c>
      <c r="R66" s="59" t="e">
        <f t="shared" si="0"/>
        <v>#N/A</v>
      </c>
      <c r="S66" s="59" t="e">
        <f ca="1">AVERAGE(OFFSET($R$3,0,0,'Données projet'!$E$9+1,1))-AVERAGE(OFFSET($H$3,0,0,'Données projet'!$E$9+1,1))</f>
        <v>#N/A</v>
      </c>
      <c r="T66" s="59" t="e">
        <f t="shared" si="34"/>
        <v>#N/A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 t="e">
        <f>EXP(-LN(2)/35)*Z65+(1-EXP(-LN(2)/35))/(LN(2)/35)*V66*W66*VLOOKUP('Données projet'!$B$9,Paramètres!$A$1:$I$89,3,0)*0.475*44/12</f>
        <v>#N/A</v>
      </c>
      <c r="AA66" s="21" t="e">
        <f>EXP(-LN(2)/25)*AA65+(1-EXP(-LN(2)/25))/(LN(2)/25)*Calculateur!V66*Calculateur!X66*VLOOKUP('Données projet'!$B$9,Paramètres!$A$1:$I$89,3,0)*0.475*44/12</f>
        <v>#N/A</v>
      </c>
      <c r="AB66" s="21" t="e">
        <f>EXP(-LN(2)/2)*AB65+(1-EXP(-LN(2)/2))/(LN(2)/2)*V66*Y66*VLOOKUP('Données projet'!$B$9,Paramètres!$A$1:$I$89,3,0)*0.475*44/12</f>
        <v>#N/A</v>
      </c>
      <c r="AC66" s="22" t="e">
        <f t="shared" si="3"/>
        <v>#N/A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4.4000000000000004</v>
      </c>
      <c r="AI66" s="13">
        <f>IF('Données projet'!$A$62&gt;35,AI65+AH66-AQ65,IF(A66&lt;'Données projet'!$A$62,$AF$205^A66,IF(A66='Données projet'!$A$62,'Données projet'!$B$62,AI65+AH66-AQ65)))</f>
        <v>246.19999999999987</v>
      </c>
      <c r="AJ66" s="13">
        <f>AI66*VLOOKUP('Données projet'!$B$10,Paramètres!$A$1:$I$89,3,0)*VLOOKUP('Données projet'!$B$10,Paramètres!$A$1:$I$89,5,0)</f>
        <v>215.08031999999994</v>
      </c>
      <c r="AK66" s="13">
        <f t="shared" si="35"/>
        <v>53.044214230061456</v>
      </c>
      <c r="AL66" s="20">
        <f t="shared" si="4"/>
        <v>466.98356378402354</v>
      </c>
      <c r="AM66" s="59">
        <f t="shared" si="5"/>
        <v>760.3168971173568</v>
      </c>
      <c r="AN66" s="59">
        <f ca="1">AVERAGE(OFFSET($AM$3,0,0,'Données projet'!$E$10+1,1))-AVERAGE(OFFSET($H$3,0,0,'Données projet'!$E$10+1,1))</f>
        <v>338.55719679154777</v>
      </c>
      <c r="AO66" s="59">
        <f t="shared" si="36"/>
        <v>371.26234252426531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4.4871794871794863</v>
      </c>
      <c r="BD66" s="12">
        <f>IF('Données projet'!$A$88&gt;35,BD65+BC66-BL65,IF(A66&lt;'Données projet'!$A$88,$BA$205^A66,IF(A66='Données projet'!$A$88,'Données projet'!$B$88,BD65+BC66-BL65)))</f>
        <v>191.66666666666657</v>
      </c>
      <c r="BE66" s="13">
        <f>BD66*VLOOKUP('Données projet'!$B$11,Paramètres!$A$1:$I$89,3,0)*VLOOKUP('Données projet'!$B$11,Paramètres!$A$1:$I$89,5,0)</f>
        <v>182.3899999999999</v>
      </c>
      <c r="BF66" s="13">
        <f t="shared" si="37"/>
        <v>45.853508245632462</v>
      </c>
      <c r="BG66" s="20">
        <f t="shared" si="7"/>
        <v>397.52411019447635</v>
      </c>
      <c r="BH66" s="59">
        <f t="shared" si="8"/>
        <v>690.85744352780966</v>
      </c>
      <c r="BI66" s="59">
        <f ca="1">AVERAGE(OFFSET($BH$3,0,0,'Données projet'!$E$11+1,1))-AVERAGE(OFFSET($H$3,0,0,'Données projet'!$E$11+1,1))</f>
        <v>351.6178679548006</v>
      </c>
      <c r="BJ66" s="59">
        <f t="shared" si="38"/>
        <v>244.7141066773861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350.76923076923077</v>
      </c>
      <c r="BW66" s="12">
        <f>VLOOKUP(A66,'Données projet'!$A$113:$I$133,9,0)</f>
        <v>10.794871794871796</v>
      </c>
      <c r="BX66" s="12">
        <f t="array" ref="BX66">INDEX(BW:BW,MIN(IF(ISNUMBER(BW66:BW262),ROW(BW66:BW262),"")))</f>
        <v>10.794871794871796</v>
      </c>
      <c r="BY66" s="12">
        <f>IF('Données projet'!$A$114&gt;35,BY65+BX66-CG65,IF(A66&lt;'Données projet'!$A$114,$BV$205^A66,IF(A66='Données projet'!$A$114,'Données projet'!$B$114,BY65+BX66-CG65)))</f>
        <v>350.76923076923094</v>
      </c>
      <c r="BZ66" s="13">
        <f>BY66*VLOOKUP('Données projet'!$B$12,Paramètres!$A$1:$I$89,3,0)*VLOOKUP('Données projet'!$B$12,Paramètres!$A$1:$I$89,5,0)</f>
        <v>164.16000000000008</v>
      </c>
      <c r="CA66" s="13">
        <f t="shared" si="39"/>
        <v>41.779408735262969</v>
      </c>
      <c r="CB66" s="20">
        <f t="shared" si="10"/>
        <v>358.67780354724982</v>
      </c>
      <c r="CC66" s="59">
        <f t="shared" si="11"/>
        <v>652.01113688058308</v>
      </c>
      <c r="CD66" s="59">
        <f ca="1">AVERAGE(OFFSET($CC$3,0,0,'Données projet'!$E$12+1,1))-AVERAGE(OFFSET($H$3,0,0,'Données projet'!$E$12+1,1))</f>
        <v>246.66630850723385</v>
      </c>
      <c r="CE66" s="59">
        <f t="shared" si="40"/>
        <v>145.34368562171613</v>
      </c>
      <c r="CF66" s="15">
        <f>IF(ISNA(VLOOKUP(A66,'Données projet'!$A$113:$I$133,3,0)),0,VLOOKUP(A66,'Données projet'!$A$113:$I$133,3,0))</f>
        <v>2</v>
      </c>
      <c r="CG66" s="15">
        <f>IF(ISNA(VLOOKUP(A66,'Données projet'!$A$113:$I$133,4,0)),0,VLOOKUP(A66,'Données projet'!$A$113:$I$133,4,0))</f>
        <v>108.08461538461538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8.6666666666666661</v>
      </c>
      <c r="CT66" s="12">
        <f>IF('Données projet'!$A$140&gt;35,CT65+CS66-DB65,IF(A66&lt;'Données projet'!$A$140,$CQ$205^A66,IF(A66='Données projet'!$A$140,'Données projet'!$B$140,CT65+CS66-DB65)))</f>
        <v>276</v>
      </c>
      <c r="CU66" s="17">
        <f>CT66*VLOOKUP('Données projet'!$B$13,Paramètres!$A$1:$I$89,3,0)*VLOOKUP('Données projet'!$B$13,Paramètres!$A$1:$I$89,5,0)</f>
        <v>215.28</v>
      </c>
      <c r="CV66" s="13">
        <f t="shared" si="41"/>
        <v>53.087725740853138</v>
      </c>
      <c r="CW66" s="20">
        <f t="shared" si="13"/>
        <v>467.40712233198587</v>
      </c>
      <c r="CX66" s="59">
        <f t="shared" si="14"/>
        <v>760.74045566531913</v>
      </c>
      <c r="CY66" s="59">
        <f ca="1">AVERAGE(OFFSET($CX$3,0,0,'Données projet'!$E$13+1,1))-AVERAGE(OFFSET($H$3,0,0,'Données projet'!$E$13+1,1))</f>
        <v>292.57482726862594</v>
      </c>
      <c r="CZ66" s="59">
        <f t="shared" si="42"/>
        <v>283.48738729114024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7.2</v>
      </c>
      <c r="DO66" s="12">
        <f>IF('Données projet'!$A$166&gt;35,DO65+DN66-DW65,IF(A66&lt;'Données projet'!$A$166,$DL$205^A66,IF(A66='Données projet'!$A$166,'Données projet'!$B$166,DO65+DN66-DW65)))</f>
        <v>214.59999999999994</v>
      </c>
      <c r="DP66" s="17">
        <f>DO66*VLOOKUP('Données projet'!$B$14,Paramètres!$A$1:$I$89,3,0)*VLOOKUP('Données projet'!$B$14,Paramètres!$A$1:$I$89,5,0)</f>
        <v>217.60439999999994</v>
      </c>
      <c r="DQ66" s="13">
        <f t="shared" si="43"/>
        <v>53.593882578706356</v>
      </c>
      <c r="DR66" s="20">
        <f t="shared" si="16"/>
        <v>472.33700882458015</v>
      </c>
      <c r="DS66" s="59">
        <f t="shared" si="17"/>
        <v>765.67034215791341</v>
      </c>
      <c r="DT66" s="59">
        <f ca="1">AVERAGE(OFFSET($DS$3,0,0,'Données projet'!$E$14+1,1))-AVERAGE(OFFSET($H$3,0,0,'Données projet'!$E$14+1,1))</f>
        <v>475.47920969424894</v>
      </c>
      <c r="DU66" s="59">
        <f t="shared" si="44"/>
        <v>271.73544012419364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7.2</v>
      </c>
      <c r="EJ66" s="12">
        <f>IF('Données projet'!$A$192&gt;35,EJ65+EI66-ER65,IF(A66&lt;'Données projet'!$A$192,$EG$205^A66,IF(A66='Données projet'!$A$192,'Données projet'!$B$192,EJ65+EI66-ER65)))</f>
        <v>214.59999999999994</v>
      </c>
      <c r="EK66" s="17">
        <f>EJ66*VLOOKUP('Données projet'!$B$15,Paramètres!$A$1:$I$89,3,0)*VLOOKUP('Données projet'!$B$15,Paramètres!$A$1:$I$89,5,0)</f>
        <v>194.17007999999996</v>
      </c>
      <c r="EL66" s="13">
        <f t="shared" si="45"/>
        <v>48.460730182351035</v>
      </c>
      <c r="EM66" s="20">
        <f t="shared" si="19"/>
        <v>422.5819944009279</v>
      </c>
      <c r="EN66" s="59">
        <f t="shared" si="20"/>
        <v>715.91532773426115</v>
      </c>
      <c r="EO66" s="59">
        <f ca="1">AVERAGE(OFFSET($EN$3,0,0,'Données projet'!$E$15+1,1))-AVERAGE(OFFSET($H$3,0,0,'Données projet'!$E$15+1,1))</f>
        <v>428.8489304403459</v>
      </c>
      <c r="EP66" s="59">
        <f t="shared" si="46"/>
        <v>247.01165577562966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>
        <f>FE66*VLOOKUP('Données projet'!$B$16,Paramètres!$A$1:$I$89,3,0)*VLOOKUP('Données projet'!$B$16,Paramètres!$A$1:$I$89,5,0)</f>
        <v>0</v>
      </c>
      <c r="FG66" s="13" t="e">
        <f t="shared" si="47"/>
        <v>#NUM!</v>
      </c>
      <c r="FH66" s="20" t="e">
        <f t="shared" si="22"/>
        <v>#NUM!</v>
      </c>
      <c r="FI66" s="59" t="e">
        <f t="shared" si="23"/>
        <v>#NUM!</v>
      </c>
      <c r="FJ66" s="59">
        <f ca="1">AVERAGE(OFFSET($FI$3,0,0,'Données projet'!$E$16+1,1))-AVERAGE(OFFSET($H$3,0,0,'Données projet'!$E$16+1,1))</f>
        <v>245.25496369542458</v>
      </c>
      <c r="FK66" s="59">
        <f t="shared" si="48"/>
        <v>342.30266518164211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0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 t="e">
        <f>N67*VLOOKUP('Données projet'!$B$9,Paramètres!$A$1:$I$89,3,0)*VLOOKUP('Données projet'!$B$9,Paramètres!$A$1:$I$89,5,0)</f>
        <v>#N/A</v>
      </c>
      <c r="P67" s="13" t="e">
        <f t="shared" si="33"/>
        <v>#N/A</v>
      </c>
      <c r="Q67" s="20" t="e">
        <f t="shared" ref="Q67:Q98" si="54">(O67+P67)*0.475*44/12</f>
        <v>#N/A</v>
      </c>
      <c r="R67" s="59" t="e">
        <f t="shared" ref="R67:R130" si="55">Q67+(I67+J67)*44/12</f>
        <v>#N/A</v>
      </c>
      <c r="S67" s="59" t="e">
        <f ca="1">AVERAGE(OFFSET($R$3,0,0,'Données projet'!$E$9+1,1))-AVERAGE(OFFSET($H$3,0,0,'Données projet'!$E$9+1,1))</f>
        <v>#N/A</v>
      </c>
      <c r="T67" s="59" t="e">
        <f t="shared" si="34"/>
        <v>#N/A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 t="e">
        <f>EXP(-LN(2)/35)*Z66+(1-EXP(-LN(2)/35))/(LN(2)/35)*V67*W67*VLOOKUP('Données projet'!$B$9,Paramètres!$A$1:$I$89,3,0)*0.475*44/12</f>
        <v>#N/A</v>
      </c>
      <c r="AA67" s="21" t="e">
        <f>EXP(-LN(2)/25)*AA66+(1-EXP(-LN(2)/25))/(LN(2)/25)*Calculateur!V67*Calculateur!X67*VLOOKUP('Données projet'!$B$9,Paramètres!$A$1:$I$89,3,0)*0.475*44/12</f>
        <v>#N/A</v>
      </c>
      <c r="AB67" s="21" t="e">
        <f>EXP(-LN(2)/2)*AB66+(1-EXP(-LN(2)/2))/(LN(2)/2)*V67*Y67*VLOOKUP('Données projet'!$B$9,Paramètres!$A$1:$I$89,3,0)*0.475*44/12</f>
        <v>#N/A</v>
      </c>
      <c r="AC67" s="22" t="e">
        <f t="shared" si="3"/>
        <v>#N/A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4.4000000000000004</v>
      </c>
      <c r="AI67" s="13">
        <f>IF('Données projet'!$A$62&gt;35,AI66+AH67-AQ66,IF(A67&lt;'Données projet'!$A$62,$AF$205^A67,IF(A67='Données projet'!$A$62,'Données projet'!$B$62,AI66+AH67-AQ66)))</f>
        <v>250.59999999999988</v>
      </c>
      <c r="AJ67" s="13">
        <f>AI67*VLOOKUP('Données projet'!$B$10,Paramètres!$A$1:$I$89,3,0)*VLOOKUP('Données projet'!$B$10,Paramètres!$A$1:$I$89,5,0)</f>
        <v>218.92415999999994</v>
      </c>
      <c r="AK67" s="13">
        <f t="shared" si="35"/>
        <v>53.880990541091087</v>
      </c>
      <c r="AL67" s="20">
        <f t="shared" si="4"/>
        <v>475.13563719240022</v>
      </c>
      <c r="AM67" s="59">
        <f t="shared" si="5"/>
        <v>768.46897052573354</v>
      </c>
      <c r="AN67" s="59">
        <f ca="1">AVERAGE(OFFSET($AM$3,0,0,'Données projet'!$E$10+1,1))-AVERAGE(OFFSET($H$3,0,0,'Données projet'!$E$10+1,1))</f>
        <v>338.55719679154777</v>
      </c>
      <c r="AO67" s="59">
        <f t="shared" si="36"/>
        <v>371.26234252426531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4.4871794871794863</v>
      </c>
      <c r="BD67" s="12">
        <f>IF('Données projet'!$A$88&gt;35,BD66+BC67-BL66,IF(A67&lt;'Données projet'!$A$88,$BA$205^A67,IF(A67='Données projet'!$A$88,'Données projet'!$B$88,BD66+BC67-BL66)))</f>
        <v>196.15384615384605</v>
      </c>
      <c r="BE67" s="13">
        <f>BD67*VLOOKUP('Données projet'!$B$11,Paramètres!$A$1:$I$89,3,0)*VLOOKUP('Données projet'!$B$11,Paramètres!$A$1:$I$89,5,0)</f>
        <v>186.65999999999991</v>
      </c>
      <c r="BF67" s="13">
        <f t="shared" si="37"/>
        <v>46.800765804305463</v>
      </c>
      <c r="BG67" s="20">
        <f t="shared" si="7"/>
        <v>406.61083377583185</v>
      </c>
      <c r="BH67" s="59">
        <f t="shared" si="8"/>
        <v>699.94416710916516</v>
      </c>
      <c r="BI67" s="59">
        <f ca="1">AVERAGE(OFFSET($BH$3,0,0,'Données projet'!$E$11+1,1))-AVERAGE(OFFSET($H$3,0,0,'Données projet'!$E$11+1,1))</f>
        <v>351.6178679548006</v>
      </c>
      <c r="BJ67" s="59">
        <f t="shared" si="38"/>
        <v>244.7141066773861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9.8403846153846146</v>
      </c>
      <c r="BY67" s="12">
        <f>IF('Données projet'!$A$114&gt;35,BY66+BX67-CG66,IF(A67&lt;'Données projet'!$A$114,$BV$205^A67,IF(A67='Données projet'!$A$114,'Données projet'!$B$114,BY66+BX67-CG66)))</f>
        <v>252.52500000000018</v>
      </c>
      <c r="BZ67" s="13">
        <f>BY67*VLOOKUP('Données projet'!$B$12,Paramètres!$A$1:$I$89,3,0)*VLOOKUP('Données projet'!$B$12,Paramètres!$A$1:$I$89,5,0)</f>
        <v>118.18170000000009</v>
      </c>
      <c r="CA67" s="13">
        <f t="shared" si="39"/>
        <v>31.250534559715753</v>
      </c>
      <c r="CB67" s="20">
        <f t="shared" si="10"/>
        <v>260.26114185817181</v>
      </c>
      <c r="CC67" s="59">
        <f t="shared" si="11"/>
        <v>553.59447519150513</v>
      </c>
      <c r="CD67" s="59">
        <f ca="1">AVERAGE(OFFSET($CC$3,0,0,'Données projet'!$E$12+1,1))-AVERAGE(OFFSET($H$3,0,0,'Données projet'!$E$12+1,1))</f>
        <v>246.66630850723385</v>
      </c>
      <c r="CE67" s="59">
        <f t="shared" si="40"/>
        <v>145.34368562171613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8.6666666666666661</v>
      </c>
      <c r="CT67" s="12">
        <f>IF('Données projet'!$A$140&gt;35,CT66+CS67-DB66,IF(A67&lt;'Données projet'!$A$140,$CQ$205^A67,IF(A67='Données projet'!$A$140,'Données projet'!$B$140,CT66+CS67-DB66)))</f>
        <v>284.66666666666669</v>
      </c>
      <c r="CU67" s="17">
        <f>CT67*VLOOKUP('Données projet'!$B$13,Paramètres!$A$1:$I$89,3,0)*VLOOKUP('Données projet'!$B$13,Paramètres!$A$1:$I$89,5,0)</f>
        <v>222.04000000000002</v>
      </c>
      <c r="CV67" s="13">
        <f t="shared" si="41"/>
        <v>54.558031180803596</v>
      </c>
      <c r="CW67" s="20">
        <f t="shared" si="13"/>
        <v>481.74157097323291</v>
      </c>
      <c r="CX67" s="59">
        <f t="shared" si="14"/>
        <v>775.07490430656617</v>
      </c>
      <c r="CY67" s="59">
        <f ca="1">AVERAGE(OFFSET($CX$3,0,0,'Données projet'!$E$13+1,1))-AVERAGE(OFFSET($H$3,0,0,'Données projet'!$E$13+1,1))</f>
        <v>292.57482726862594</v>
      </c>
      <c r="CZ67" s="59">
        <f t="shared" si="42"/>
        <v>283.48738729114024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7.2</v>
      </c>
      <c r="DO67" s="12">
        <f>IF('Données projet'!$A$166&gt;35,DO66+DN67-DW66,IF(A67&lt;'Données projet'!$A$166,$DL$205^A67,IF(A67='Données projet'!$A$166,'Données projet'!$B$166,DO66+DN67-DW66)))</f>
        <v>221.79999999999993</v>
      </c>
      <c r="DP67" s="17">
        <f>DO67*VLOOKUP('Données projet'!$B$14,Paramètres!$A$1:$I$89,3,0)*VLOOKUP('Données projet'!$B$14,Paramètres!$A$1:$I$89,5,0)</f>
        <v>224.90519999999995</v>
      </c>
      <c r="DQ67" s="13">
        <f t="shared" si="43"/>
        <v>55.17963460003309</v>
      </c>
      <c r="DR67" s="20">
        <f t="shared" si="16"/>
        <v>487.81442026172425</v>
      </c>
      <c r="DS67" s="59">
        <f t="shared" si="17"/>
        <v>781.14775359505757</v>
      </c>
      <c r="DT67" s="59">
        <f ca="1">AVERAGE(OFFSET($DS$3,0,0,'Données projet'!$E$14+1,1))-AVERAGE(OFFSET($H$3,0,0,'Données projet'!$E$14+1,1))</f>
        <v>475.47920969424894</v>
      </c>
      <c r="DU67" s="59">
        <f t="shared" si="44"/>
        <v>271.73544012419364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7.2</v>
      </c>
      <c r="EJ67" s="12">
        <f>IF('Données projet'!$A$192&gt;35,EJ66+EI67-ER66,IF(A67&lt;'Données projet'!$A$192,$EG$205^A67,IF(A67='Données projet'!$A$192,'Données projet'!$B$192,EJ66+EI67-ER66)))</f>
        <v>221.79999999999993</v>
      </c>
      <c r="EK67" s="17">
        <f>EJ67*VLOOKUP('Données projet'!$B$15,Paramètres!$A$1:$I$89,3,0)*VLOOKUP('Données projet'!$B$15,Paramètres!$A$1:$I$89,5,0)</f>
        <v>200.68463999999992</v>
      </c>
      <c r="EL67" s="13">
        <f t="shared" si="45"/>
        <v>49.894600936700193</v>
      </c>
      <c r="EM67" s="20">
        <f t="shared" si="19"/>
        <v>436.42551129808606</v>
      </c>
      <c r="EN67" s="59">
        <f t="shared" si="20"/>
        <v>729.75884463141938</v>
      </c>
      <c r="EO67" s="59">
        <f ca="1">AVERAGE(OFFSET($EN$3,0,0,'Données projet'!$E$15+1,1))-AVERAGE(OFFSET($H$3,0,0,'Données projet'!$E$15+1,1))</f>
        <v>428.8489304403459</v>
      </c>
      <c r="EP67" s="59">
        <f t="shared" si="46"/>
        <v>247.01165577562966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>
        <f>FE67*VLOOKUP('Données projet'!$B$16,Paramètres!$A$1:$I$89,3,0)*VLOOKUP('Données projet'!$B$16,Paramètres!$A$1:$I$89,5,0)</f>
        <v>0</v>
      </c>
      <c r="FG67" s="13" t="e">
        <f t="shared" si="47"/>
        <v>#NUM!</v>
      </c>
      <c r="FH67" s="20" t="e">
        <f t="shared" si="22"/>
        <v>#NUM!</v>
      </c>
      <c r="FI67" s="59" t="e">
        <f t="shared" si="23"/>
        <v>#NUM!</v>
      </c>
      <c r="FJ67" s="59">
        <f ca="1">AVERAGE(OFFSET($FI$3,0,0,'Données projet'!$E$16+1,1))-AVERAGE(OFFSET($H$3,0,0,'Données projet'!$E$16+1,1))</f>
        <v>245.25496369542458</v>
      </c>
      <c r="FK67" s="59">
        <f t="shared" si="48"/>
        <v>342.30266518164211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0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 t="e">
        <f>N68*VLOOKUP('Données projet'!$B$9,Paramètres!$A$1:$I$89,3,0)*VLOOKUP('Données projet'!$B$9,Paramètres!$A$1:$I$89,5,0)</f>
        <v>#N/A</v>
      </c>
      <c r="P68" s="13" t="e">
        <f t="shared" si="33"/>
        <v>#N/A</v>
      </c>
      <c r="Q68" s="20" t="e">
        <f t="shared" si="54"/>
        <v>#N/A</v>
      </c>
      <c r="R68" s="59" t="e">
        <f t="shared" si="55"/>
        <v>#N/A</v>
      </c>
      <c r="S68" s="59" t="e">
        <f ca="1">AVERAGE(OFFSET($R$3,0,0,'Données projet'!$E$9+1,1))-AVERAGE(OFFSET($H$3,0,0,'Données projet'!$E$9+1,1))</f>
        <v>#N/A</v>
      </c>
      <c r="T68" s="59" t="e">
        <f t="shared" si="34"/>
        <v>#N/A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 t="e">
        <f>EXP(-LN(2)/35)*Z67+(1-EXP(-LN(2)/35))/(LN(2)/35)*V68*W68*VLOOKUP('Données projet'!$B$9,Paramètres!$A$1:$I$89,3,0)*0.475*44/12</f>
        <v>#N/A</v>
      </c>
      <c r="AA68" s="21" t="e">
        <f>EXP(-LN(2)/25)*AA67+(1-EXP(-LN(2)/25))/(LN(2)/25)*Calculateur!V68*Calculateur!X68*VLOOKUP('Données projet'!$B$9,Paramètres!$A$1:$I$89,3,0)*0.475*44/12</f>
        <v>#N/A</v>
      </c>
      <c r="AB68" s="21" t="e">
        <f>EXP(-LN(2)/2)*AB67+(1-EXP(-LN(2)/2))/(LN(2)/2)*V68*Y68*VLOOKUP('Données projet'!$B$9,Paramètres!$A$1:$I$89,3,0)*0.475*44/12</f>
        <v>#N/A</v>
      </c>
      <c r="AC68" s="22" t="e">
        <f t="shared" ref="AC68:AC131" si="57">SUM(Z68:AB68)</f>
        <v>#N/A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255</v>
      </c>
      <c r="AG68" s="12">
        <f>VLOOKUP(A68,'Données projet'!$A$61:$I$81,9,0)</f>
        <v>4.4000000000000004</v>
      </c>
      <c r="AH68" s="12">
        <f t="array" ref="AH68">INDEX(AG:AG,MIN(IF(ISNUMBER(AG68:AG264),ROW(AG68:AG264),"")))</f>
        <v>4.4000000000000004</v>
      </c>
      <c r="AI68" s="13">
        <f>IF('Données projet'!$A$62&gt;35,AI67+AH68-AQ67,IF(A68&lt;'Données projet'!$A$62,$AF$205^A68,IF(A68='Données projet'!$A$62,'Données projet'!$B$62,AI67+AH68-AQ67)))</f>
        <v>254.99999999999989</v>
      </c>
      <c r="AJ68" s="13">
        <f>AI68*VLOOKUP('Données projet'!$B$10,Paramètres!$A$1:$I$89,3,0)*VLOOKUP('Données projet'!$B$10,Paramètres!$A$1:$I$89,5,0)</f>
        <v>222.76799999999994</v>
      </c>
      <c r="AK68" s="13">
        <f t="shared" si="35"/>
        <v>54.716058356609508</v>
      </c>
      <c r="AL68" s="20">
        <f t="shared" ref="AL68:AL131" si="58">(AJ68+AK68)*0.475*44/12</f>
        <v>483.28473497109485</v>
      </c>
      <c r="AM68" s="59">
        <f t="shared" ref="AM68:AM131" si="59">AL68+(AD68+AE68)*44/12</f>
        <v>776.61806830442811</v>
      </c>
      <c r="AN68" s="59">
        <f ca="1">AVERAGE(OFFSET($AM$3,0,0,'Données projet'!$E$10+1,1))-AVERAGE(OFFSET($H$3,0,0,'Données projet'!$E$10+1,1))</f>
        <v>338.55719679154777</v>
      </c>
      <c r="AO68" s="59">
        <f t="shared" si="36"/>
        <v>371.26234252426531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200.64102564102564</v>
      </c>
      <c r="BB68" s="12">
        <f>VLOOKUP(A68,'Données projet'!$A$87:$I$107,9,0)</f>
        <v>4.4871794871794863</v>
      </c>
      <c r="BC68" s="12">
        <f t="array" ref="BC68">INDEX(BB:BB,MIN(IF(ISNUMBER(BB68:BB264),ROW(BB68:BB264),"")))</f>
        <v>4.4871794871794863</v>
      </c>
      <c r="BD68" s="12">
        <f>IF('Données projet'!$A$88&gt;35,BD67+BC68-BL67,IF(A68&lt;'Données projet'!$A$88,$BA$205^A68,IF(A68='Données projet'!$A$88,'Données projet'!$B$88,BD67+BC68-BL67)))</f>
        <v>200.64102564102552</v>
      </c>
      <c r="BE68" s="13">
        <f>BD68*VLOOKUP('Données projet'!$B$11,Paramètres!$A$1:$I$89,3,0)*VLOOKUP('Données projet'!$B$11,Paramètres!$A$1:$I$89,5,0)</f>
        <v>190.92999999999989</v>
      </c>
      <c r="BF68" s="13">
        <f t="shared" si="37"/>
        <v>47.745504180483643</v>
      </c>
      <c r="BG68" s="20">
        <f t="shared" ref="BG68:BG131" si="61">(BE68+BF68)*0.475*44/12</f>
        <v>415.69316978100875</v>
      </c>
      <c r="BH68" s="59">
        <f t="shared" ref="BH68:BH131" si="62">BG68+(AY68+AZ68)*44/12</f>
        <v>709.02650311434206</v>
      </c>
      <c r="BI68" s="59">
        <f ca="1">AVERAGE(OFFSET($BH$3,0,0,'Données projet'!$E$11+1,1))-AVERAGE(OFFSET($H$3,0,0,'Données projet'!$E$11+1,1))</f>
        <v>351.6178679548006</v>
      </c>
      <c r="BJ68" s="59">
        <f t="shared" si="38"/>
        <v>244.7141066773861</v>
      </c>
      <c r="BK68" s="15">
        <f>IF(ISNA(VLOOKUP(A68,'Données projet'!$A$87:$I$107,3,0)),0,VLOOKUP(A68,'Données projet'!$A$87:$I$107,3,0))</f>
        <v>5</v>
      </c>
      <c r="BL68" s="15">
        <f>IF(ISNA(VLOOKUP(A68,'Données projet'!$A$87:$I$107,4,0)),0,VLOOKUP(A68,'Données projet'!$A$87:$I$107,4,0))</f>
        <v>28.205128205128204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9.8403846153846146</v>
      </c>
      <c r="BY68" s="12">
        <f>IF('Données projet'!$A$114&gt;35,BY67+BX68-CG67,IF(A68&lt;'Données projet'!$A$114,$BV$205^A68,IF(A68='Données projet'!$A$114,'Données projet'!$B$114,BY67+BX68-CG67)))</f>
        <v>262.36538461538481</v>
      </c>
      <c r="BZ68" s="13">
        <f>BY68*VLOOKUP('Données projet'!$B$12,Paramètres!$A$1:$I$89,3,0)*VLOOKUP('Données projet'!$B$12,Paramètres!$A$1:$I$89,5,0)</f>
        <v>122.78700000000009</v>
      </c>
      <c r="CA68" s="13">
        <f t="shared" si="39"/>
        <v>32.324150146771089</v>
      </c>
      <c r="CB68" s="20">
        <f t="shared" ref="CB68:CB131" si="64">(BZ68+CA68)*0.475*44/12</f>
        <v>270.15191983895983</v>
      </c>
      <c r="CC68" s="59">
        <f t="shared" ref="CC68:CC131" si="65">CB68+(BT68+BU68)*44/12</f>
        <v>563.48525317229314</v>
      </c>
      <c r="CD68" s="59">
        <f ca="1">AVERAGE(OFFSET($CC$3,0,0,'Données projet'!$E$12+1,1))-AVERAGE(OFFSET($H$3,0,0,'Données projet'!$E$12+1,1))</f>
        <v>246.66630850723385</v>
      </c>
      <c r="CE68" s="59">
        <f t="shared" si="40"/>
        <v>145.34368562171613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8.6666666666666661</v>
      </c>
      <c r="CT68" s="12">
        <f>IF('Données projet'!$A$140&gt;35,CT67+CS68-DB67,IF(A68&lt;'Données projet'!$A$140,$CQ$205^A68,IF(A68='Données projet'!$A$140,'Données projet'!$B$140,CT67+CS68-DB67)))</f>
        <v>293.33333333333337</v>
      </c>
      <c r="CU68" s="17">
        <f>CT68*VLOOKUP('Données projet'!$B$13,Paramètres!$A$1:$I$89,3,0)*VLOOKUP('Données projet'!$B$13,Paramètres!$A$1:$I$89,5,0)</f>
        <v>228.80000000000004</v>
      </c>
      <c r="CV68" s="13">
        <f t="shared" si="41"/>
        <v>56.023134533701196</v>
      </c>
      <c r="CW68" s="20">
        <f t="shared" ref="CW68:CW131" si="67">(CU68+CV68)*0.475*44/12</f>
        <v>496.06695931286299</v>
      </c>
      <c r="CX68" s="59">
        <f t="shared" ref="CX68:CX131" si="68">CW68+(CO68+CP68)*44/12</f>
        <v>789.40029264619625</v>
      </c>
      <c r="CY68" s="59">
        <f ca="1">AVERAGE(OFFSET($CX$3,0,0,'Données projet'!$E$13+1,1))-AVERAGE(OFFSET($H$3,0,0,'Données projet'!$E$13+1,1))</f>
        <v>292.57482726862594</v>
      </c>
      <c r="CZ68" s="59">
        <f t="shared" si="42"/>
        <v>283.48738729114024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229</v>
      </c>
      <c r="DM68" s="12">
        <f>VLOOKUP(A68,'Données projet'!$A$165:$I$185,9,0)</f>
        <v>7.2</v>
      </c>
      <c r="DN68" s="12">
        <f t="array" ref="DN68">INDEX(DM:DM,MIN(IF(ISNUMBER(DM68:DM264),ROW(DM68:DM264),"")))</f>
        <v>7.2</v>
      </c>
      <c r="DO68" s="12">
        <f>IF('Données projet'!$A$166&gt;35,DO67+DN68-DW67,IF(A68&lt;'Données projet'!$A$166,$DL$205^A68,IF(A68='Données projet'!$A$166,'Données projet'!$B$166,DO67+DN68-DW67)))</f>
        <v>228.99999999999991</v>
      </c>
      <c r="DP68" s="17">
        <f>DO68*VLOOKUP('Données projet'!$B$14,Paramètres!$A$1:$I$89,3,0)*VLOOKUP('Données projet'!$B$14,Paramètres!$A$1:$I$89,5,0)</f>
        <v>232.2059999999999</v>
      </c>
      <c r="DQ68" s="13">
        <f t="shared" si="43"/>
        <v>56.759404991217522</v>
      </c>
      <c r="DR68" s="20">
        <f t="shared" ref="DR68:DR131" si="70">(DP68+DQ68)*0.475*44/12</f>
        <v>503.281413693037</v>
      </c>
      <c r="DS68" s="59">
        <f t="shared" ref="DS68:DS131" si="71">DR68+(DJ68+DK68)*44/12</f>
        <v>796.61474702637031</v>
      </c>
      <c r="DT68" s="59">
        <f ca="1">AVERAGE(OFFSET($DS$3,0,0,'Données projet'!$E$14+1,1))-AVERAGE(OFFSET($H$3,0,0,'Données projet'!$E$14+1,1))</f>
        <v>475.47920969424894</v>
      </c>
      <c r="DU68" s="59">
        <f t="shared" si="44"/>
        <v>271.73544012419364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229</v>
      </c>
      <c r="EH68" s="12">
        <f>VLOOKUP(A68,'Données projet'!$A$191:$I$211,9,0)</f>
        <v>7.2</v>
      </c>
      <c r="EI68" s="12">
        <f t="array" ref="EI68">INDEX(EH:EH,MIN(IF(ISNUMBER(EH68:EH264),ROW(EH68:EH264),"")))</f>
        <v>7.2</v>
      </c>
      <c r="EJ68" s="12">
        <f>IF('Données projet'!$A$192&gt;35,EJ67+EI68-ER67,IF(A68&lt;'Données projet'!$A$192,$EG$205^A68,IF(A68='Données projet'!$A$192,'Données projet'!$B$192,EJ67+EI68-ER67)))</f>
        <v>228.99999999999991</v>
      </c>
      <c r="EK68" s="17">
        <f>EJ68*VLOOKUP('Données projet'!$B$15,Paramètres!$A$1:$I$89,3,0)*VLOOKUP('Données projet'!$B$15,Paramètres!$A$1:$I$89,5,0)</f>
        <v>207.19919999999991</v>
      </c>
      <c r="EL68" s="13">
        <f t="shared" si="45"/>
        <v>51.3230629736655</v>
      </c>
      <c r="EM68" s="20">
        <f t="shared" ref="EM68:EM131" si="73">(EK68+EL68)*0.475*44/12</f>
        <v>450.25960801246725</v>
      </c>
      <c r="EN68" s="59">
        <f t="shared" ref="EN68:EN131" si="74">EM68+(EE68+EF68)*44/12</f>
        <v>743.59294134580057</v>
      </c>
      <c r="EO68" s="59">
        <f ca="1">AVERAGE(OFFSET($EN$3,0,0,'Données projet'!$E$15+1,1))-AVERAGE(OFFSET($H$3,0,0,'Données projet'!$E$15+1,1))</f>
        <v>428.8489304403459</v>
      </c>
      <c r="EP68" s="59">
        <f t="shared" si="46"/>
        <v>247.01165577562966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>
        <f>FE68*VLOOKUP('Données projet'!$B$16,Paramètres!$A$1:$I$89,3,0)*VLOOKUP('Données projet'!$B$16,Paramètres!$A$1:$I$89,5,0)</f>
        <v>0</v>
      </c>
      <c r="FG68" s="13" t="e">
        <f t="shared" si="47"/>
        <v>#NUM!</v>
      </c>
      <c r="FH68" s="20" t="e">
        <f t="shared" ref="FH68:FH131" si="76">(FF68+FG68)*0.475*44/12</f>
        <v>#NUM!</v>
      </c>
      <c r="FI68" s="59" t="e">
        <f t="shared" ref="FI68:FI131" si="77">FH68+(EZ68+FA68)*44/12</f>
        <v>#NUM!</v>
      </c>
      <c r="FJ68" s="59">
        <f ca="1">AVERAGE(OFFSET($FI$3,0,0,'Données projet'!$E$16+1,1))-AVERAGE(OFFSET($H$3,0,0,'Données projet'!$E$16+1,1))</f>
        <v>245.25496369542458</v>
      </c>
      <c r="FK68" s="59">
        <f t="shared" si="48"/>
        <v>342.30266518164211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0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 t="e">
        <f>N69*VLOOKUP('Données projet'!$B$9,Paramètres!$A$1:$I$89,3,0)*VLOOKUP('Données projet'!$B$9,Paramètres!$A$1:$I$89,5,0)</f>
        <v>#N/A</v>
      </c>
      <c r="P69" s="13" t="e">
        <f t="shared" ref="P69:P132" si="87">EXP(-1.0587+0.8836*LN(O69)+0.284)</f>
        <v>#N/A</v>
      </c>
      <c r="Q69" s="20" t="e">
        <f t="shared" si="54"/>
        <v>#N/A</v>
      </c>
      <c r="R69" s="59" t="e">
        <f t="shared" si="55"/>
        <v>#N/A</v>
      </c>
      <c r="S69" s="59" t="e">
        <f ca="1">AVERAGE(OFFSET($R$3,0,0,'Données projet'!$E$9+1,1))-AVERAGE(OFFSET($H$3,0,0,'Données projet'!$E$9+1,1))</f>
        <v>#N/A</v>
      </c>
      <c r="T69" s="59" t="e">
        <f t="shared" ref="T69:T132" si="88">$T$3</f>
        <v>#N/A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 t="e">
        <f>EXP(-LN(2)/35)*Z68+(1-EXP(-LN(2)/35))/(LN(2)/35)*V69*W69*VLOOKUP('Données projet'!$B$9,Paramètres!$A$1:$I$89,3,0)*0.475*44/12</f>
        <v>#N/A</v>
      </c>
      <c r="AA69" s="21" t="e">
        <f>EXP(-LN(2)/25)*AA68+(1-EXP(-LN(2)/25))/(LN(2)/25)*Calculateur!V69*Calculateur!X69*VLOOKUP('Données projet'!$B$9,Paramètres!$A$1:$I$89,3,0)*0.475*44/12</f>
        <v>#N/A</v>
      </c>
      <c r="AB69" s="21" t="e">
        <f>EXP(-LN(2)/2)*AB68+(1-EXP(-LN(2)/2))/(LN(2)/2)*V69*Y69*VLOOKUP('Données projet'!$B$9,Paramètres!$A$1:$I$89,3,0)*0.475*44/12</f>
        <v>#N/A</v>
      </c>
      <c r="AC69" s="22" t="e">
        <f t="shared" si="57"/>
        <v>#N/A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3.8</v>
      </c>
      <c r="AI69" s="13">
        <f>IF('Données projet'!$A$62&gt;35,AI68+AH69-AQ68,IF(A69&lt;'Données projet'!$A$62,$AF$205^A69,IF(A69='Données projet'!$A$62,'Données projet'!$B$62,AI68+AH69-AQ68)))</f>
        <v>258.7999999999999</v>
      </c>
      <c r="AJ69" s="13">
        <f>AI69*VLOOKUP('Données projet'!$B$10,Paramètres!$A$1:$I$89,3,0)*VLOOKUP('Données projet'!$B$10,Paramètres!$A$1:$I$89,5,0)</f>
        <v>226.08767999999995</v>
      </c>
      <c r="AK69" s="13">
        <f t="shared" ref="AK69:AK132" si="89">EXP(-1.0587+0.8836*LN(AJ69)+0.284)</f>
        <v>55.435903662934471</v>
      </c>
      <c r="AL69" s="20">
        <f t="shared" si="58"/>
        <v>490.32024154627743</v>
      </c>
      <c r="AM69" s="59">
        <f t="shared" si="59"/>
        <v>783.65357487961069</v>
      </c>
      <c r="AN69" s="59">
        <f ca="1">AVERAGE(OFFSET($AM$3,0,0,'Données projet'!$E$10+1,1))-AVERAGE(OFFSET($H$3,0,0,'Données projet'!$E$10+1,1))</f>
        <v>338.55719679154777</v>
      </c>
      <c r="AO69" s="59">
        <f t="shared" ref="AO69:AO132" si="90">$AO$3</f>
        <v>371.26234252426531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4.3589743589743595</v>
      </c>
      <c r="BD69" s="12">
        <f>IF('Données projet'!$A$88&gt;35,BD68+BC69-BL68,IF(A69&lt;'Données projet'!$A$88,$BA$205^A69,IF(A69='Données projet'!$A$88,'Données projet'!$B$88,BD68+BC69-BL68)))</f>
        <v>176.79487179487168</v>
      </c>
      <c r="BE69" s="13">
        <f>BD69*VLOOKUP('Données projet'!$B$11,Paramètres!$A$1:$I$89,3,0)*VLOOKUP('Données projet'!$B$11,Paramètres!$A$1:$I$89,5,0)</f>
        <v>168.23799999999989</v>
      </c>
      <c r="BF69" s="13">
        <f t="shared" ref="BF69:BF132" si="91">EXP(-1.0587+0.8836*LN(BE69)+0.284)</f>
        <v>42.695155225480995</v>
      </c>
      <c r="BG69" s="20">
        <f t="shared" si="61"/>
        <v>367.37524535104586</v>
      </c>
      <c r="BH69" s="59">
        <f t="shared" si="62"/>
        <v>660.70857868437918</v>
      </c>
      <c r="BI69" s="59">
        <f ca="1">AVERAGE(OFFSET($BH$3,0,0,'Données projet'!$E$11+1,1))-AVERAGE(OFFSET($H$3,0,0,'Données projet'!$E$11+1,1))</f>
        <v>351.6178679548006</v>
      </c>
      <c r="BJ69" s="59">
        <f t="shared" ref="BJ69:BJ132" si="92">$BJ$3</f>
        <v>244.7141066773861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9.8403846153846146</v>
      </c>
      <c r="BY69" s="12">
        <f>IF('Données projet'!$A$114&gt;35,BY68+BX69-CG68,IF(A69&lt;'Données projet'!$A$114,$BV$205^A69,IF(A69='Données projet'!$A$114,'Données projet'!$B$114,BY68+BX69-CG68)))</f>
        <v>272.20576923076942</v>
      </c>
      <c r="BZ69" s="13">
        <f>BY69*VLOOKUP('Données projet'!$B$12,Paramètres!$A$1:$I$89,3,0)*VLOOKUP('Données projet'!$B$12,Paramètres!$A$1:$I$89,5,0)</f>
        <v>127.39230000000009</v>
      </c>
      <c r="CA69" s="13">
        <f t="shared" ref="CA69:CA132" si="93">EXP(-1.0587+0.8836*LN(BZ69)+0.284)</f>
        <v>33.393087658344783</v>
      </c>
      <c r="CB69" s="20">
        <f t="shared" si="64"/>
        <v>280.0345501716173</v>
      </c>
      <c r="CC69" s="59">
        <f t="shared" si="65"/>
        <v>573.36788350495067</v>
      </c>
      <c r="CD69" s="59">
        <f ca="1">AVERAGE(OFFSET($CC$3,0,0,'Données projet'!$E$12+1,1))-AVERAGE(OFFSET($H$3,0,0,'Données projet'!$E$12+1,1))</f>
        <v>246.66630850723385</v>
      </c>
      <c r="CE69" s="59">
        <f t="shared" ref="CE69:CE132" si="94">$CE$3</f>
        <v>145.34368562171613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8.6666666666666661</v>
      </c>
      <c r="CT69" s="12">
        <f>IF('Données projet'!$A$140&gt;35,CT68+CS69-DB68,IF(A69&lt;'Données projet'!$A$140,$CQ$205^A69,IF(A69='Données projet'!$A$140,'Données projet'!$B$140,CT68+CS69-DB68)))</f>
        <v>302.00000000000006</v>
      </c>
      <c r="CU69" s="17">
        <f>CT69*VLOOKUP('Données projet'!$B$13,Paramètres!$A$1:$I$89,3,0)*VLOOKUP('Données projet'!$B$13,Paramètres!$A$1:$I$89,5,0)</f>
        <v>235.56000000000006</v>
      </c>
      <c r="CV69" s="13">
        <f t="shared" ref="CV69:CV132" si="95">EXP(-1.0587+0.8836*LN(CU69)+0.284)</f>
        <v>57.483207143847771</v>
      </c>
      <c r="CW69" s="20">
        <f t="shared" si="67"/>
        <v>510.38358577553487</v>
      </c>
      <c r="CX69" s="59">
        <f t="shared" si="68"/>
        <v>803.71691910886818</v>
      </c>
      <c r="CY69" s="59">
        <f ca="1">AVERAGE(OFFSET($CX$3,0,0,'Données projet'!$E$13+1,1))-AVERAGE(OFFSET($H$3,0,0,'Données projet'!$E$13+1,1))</f>
        <v>292.57482726862594</v>
      </c>
      <c r="CZ69" s="59">
        <f t="shared" ref="CZ69:CZ132" si="96">$CZ$3</f>
        <v>283.48738729114024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6.8</v>
      </c>
      <c r="DO69" s="12">
        <f>IF('Données projet'!$A$166&gt;35,DO68+DN69-DW68,IF(A69&lt;'Données projet'!$A$166,$DL$205^A69,IF(A69='Données projet'!$A$166,'Données projet'!$B$166,DO68+DN69-DW68)))</f>
        <v>235.79999999999993</v>
      </c>
      <c r="DP69" s="17">
        <f>DO69*VLOOKUP('Données projet'!$B$14,Paramètres!$A$1:$I$89,3,0)*VLOOKUP('Données projet'!$B$14,Paramètres!$A$1:$I$89,5,0)</f>
        <v>239.10119999999995</v>
      </c>
      <c r="DQ69" s="13">
        <f t="shared" ref="DQ69:DQ132" si="97">EXP(-1.0587+0.8836*LN(DP69)+0.284)</f>
        <v>58.246107075777331</v>
      </c>
      <c r="DR69" s="20">
        <f t="shared" si="70"/>
        <v>517.87989315697871</v>
      </c>
      <c r="DS69" s="59">
        <f t="shared" si="71"/>
        <v>811.21322649031208</v>
      </c>
      <c r="DT69" s="59">
        <f ca="1">AVERAGE(OFFSET($DS$3,0,0,'Données projet'!$E$14+1,1))-AVERAGE(OFFSET($H$3,0,0,'Données projet'!$E$14+1,1))</f>
        <v>475.47920969424894</v>
      </c>
      <c r="DU69" s="59">
        <f t="shared" ref="DU69:DU132" si="98">$DU$3</f>
        <v>271.73544012419364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6.8</v>
      </c>
      <c r="EJ69" s="12">
        <f>IF('Données projet'!$A$192&gt;35,EJ68+EI69-ER68,IF(A69&lt;'Données projet'!$A$192,$EG$205^A69,IF(A69='Données projet'!$A$192,'Données projet'!$B$192,EJ68+EI69-ER68)))</f>
        <v>235.79999999999993</v>
      </c>
      <c r="EK69" s="17">
        <f>EJ69*VLOOKUP('Données projet'!$B$15,Paramètres!$A$1:$I$89,3,0)*VLOOKUP('Données projet'!$B$15,Paramètres!$A$1:$I$89,5,0)</f>
        <v>213.35183999999992</v>
      </c>
      <c r="EL69" s="13">
        <f t="shared" ref="EL69:EL132" si="99">EXP(-1.0587+0.8836*LN(EK69)+0.284)</f>
        <v>52.667370665417188</v>
      </c>
      <c r="EM69" s="20">
        <f t="shared" si="73"/>
        <v>463.31679190893482</v>
      </c>
      <c r="EN69" s="59">
        <f t="shared" si="74"/>
        <v>756.65012524226813</v>
      </c>
      <c r="EO69" s="59">
        <f ca="1">AVERAGE(OFFSET($EN$3,0,0,'Données projet'!$E$15+1,1))-AVERAGE(OFFSET($H$3,0,0,'Données projet'!$E$15+1,1))</f>
        <v>428.8489304403459</v>
      </c>
      <c r="EP69" s="59">
        <f t="shared" ref="EP69:EP132" si="100">$EP$3</f>
        <v>247.01165577562966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>
        <f>FE69*VLOOKUP('Données projet'!$B$16,Paramètres!$A$1:$I$89,3,0)*VLOOKUP('Données projet'!$B$16,Paramètres!$A$1:$I$89,5,0)</f>
        <v>0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245.25496369542458</v>
      </c>
      <c r="FK69" s="59">
        <f t="shared" ref="FK69:FK132" si="102">$FK$3</f>
        <v>342.30266518164211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0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 t="e">
        <f>N70*VLOOKUP('Données projet'!$B$9,Paramètres!$A$1:$I$89,3,0)*VLOOKUP('Données projet'!$B$9,Paramètres!$A$1:$I$89,5,0)</f>
        <v>#N/A</v>
      </c>
      <c r="P70" s="13" t="e">
        <f t="shared" si="87"/>
        <v>#N/A</v>
      </c>
      <c r="Q70" s="20" t="e">
        <f t="shared" si="54"/>
        <v>#N/A</v>
      </c>
      <c r="R70" s="59" t="e">
        <f t="shared" si="55"/>
        <v>#N/A</v>
      </c>
      <c r="S70" s="59" t="e">
        <f ca="1">AVERAGE(OFFSET($R$3,0,0,'Données projet'!$E$9+1,1))-AVERAGE(OFFSET($H$3,0,0,'Données projet'!$E$9+1,1))</f>
        <v>#N/A</v>
      </c>
      <c r="T70" s="59" t="e">
        <f t="shared" si="88"/>
        <v>#N/A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 t="e">
        <f>EXP(-LN(2)/35)*Z69+(1-EXP(-LN(2)/35))/(LN(2)/35)*V70*W70*VLOOKUP('Données projet'!$B$9,Paramètres!$A$1:$I$89,3,0)*0.475*44/12</f>
        <v>#N/A</v>
      </c>
      <c r="AA70" s="21" t="e">
        <f>EXP(-LN(2)/25)*AA69+(1-EXP(-LN(2)/25))/(LN(2)/25)*Calculateur!V70*Calculateur!X70*VLOOKUP('Données projet'!$B$9,Paramètres!$A$1:$I$89,3,0)*0.475*44/12</f>
        <v>#N/A</v>
      </c>
      <c r="AB70" s="21" t="e">
        <f>EXP(-LN(2)/2)*AB69+(1-EXP(-LN(2)/2))/(LN(2)/2)*V70*Y70*VLOOKUP('Données projet'!$B$9,Paramètres!$A$1:$I$89,3,0)*0.475*44/12</f>
        <v>#N/A</v>
      </c>
      <c r="AC70" s="22" t="e">
        <f t="shared" si="57"/>
        <v>#N/A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3.8</v>
      </c>
      <c r="AI70" s="13">
        <f>IF('Données projet'!$A$62&gt;35,AI69+AH70-AQ69,IF(A70&lt;'Données projet'!$A$62,$AF$205^A70,IF(A70='Données projet'!$A$62,'Données projet'!$B$62,AI69+AH70-AQ69)))</f>
        <v>262.59999999999991</v>
      </c>
      <c r="AJ70" s="13">
        <f>AI70*VLOOKUP('Données projet'!$B$10,Paramètres!$A$1:$I$89,3,0)*VLOOKUP('Données projet'!$B$10,Paramètres!$A$1:$I$89,5,0)</f>
        <v>229.40735999999993</v>
      </c>
      <c r="AK70" s="13">
        <f t="shared" si="89"/>
        <v>56.15451967202349</v>
      </c>
      <c r="AL70" s="20">
        <f t="shared" si="58"/>
        <v>497.35360709544074</v>
      </c>
      <c r="AM70" s="59">
        <f t="shared" si="59"/>
        <v>790.68694042877405</v>
      </c>
      <c r="AN70" s="59">
        <f ca="1">AVERAGE(OFFSET($AM$3,0,0,'Données projet'!$E$10+1,1))-AVERAGE(OFFSET($H$3,0,0,'Données projet'!$E$10+1,1))</f>
        <v>338.55719679154777</v>
      </c>
      <c r="AO70" s="59">
        <f t="shared" si="90"/>
        <v>371.26234252426531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4.3589743589743595</v>
      </c>
      <c r="BD70" s="12">
        <f>IF('Données projet'!$A$88&gt;35,BD69+BC70-BL69,IF(A70&lt;'Données projet'!$A$88,$BA$205^A70,IF(A70='Données projet'!$A$88,'Données projet'!$B$88,BD69+BC70-BL69)))</f>
        <v>181.15384615384605</v>
      </c>
      <c r="BE70" s="13">
        <f>BD70*VLOOKUP('Données projet'!$B$11,Paramètres!$A$1:$I$89,3,0)*VLOOKUP('Données projet'!$B$11,Paramètres!$A$1:$I$89,5,0)</f>
        <v>172.38599999999991</v>
      </c>
      <c r="BF70" s="13">
        <f t="shared" si="91"/>
        <v>43.623973962324399</v>
      </c>
      <c r="BG70" s="20">
        <f t="shared" si="61"/>
        <v>376.21737131771482</v>
      </c>
      <c r="BH70" s="59">
        <f t="shared" si="62"/>
        <v>669.55070465104814</v>
      </c>
      <c r="BI70" s="59">
        <f ca="1">AVERAGE(OFFSET($BH$3,0,0,'Données projet'!$E$11+1,1))-AVERAGE(OFFSET($H$3,0,0,'Données projet'!$E$11+1,1))</f>
        <v>351.6178679548006</v>
      </c>
      <c r="BJ70" s="59">
        <f t="shared" si="92"/>
        <v>244.7141066773861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9.8403846153846146</v>
      </c>
      <c r="BY70" s="12">
        <f>IF('Données projet'!$A$114&gt;35,BY69+BX70-CG69,IF(A70&lt;'Données projet'!$A$114,$BV$205^A70,IF(A70='Données projet'!$A$114,'Données projet'!$B$114,BY69+BX70-CG69)))</f>
        <v>282.04615384615403</v>
      </c>
      <c r="BZ70" s="13">
        <f>BY70*VLOOKUP('Données projet'!$B$12,Paramètres!$A$1:$I$89,3,0)*VLOOKUP('Données projet'!$B$12,Paramètres!$A$1:$I$89,5,0)</f>
        <v>131.99760000000009</v>
      </c>
      <c r="CA70" s="13">
        <f t="shared" si="93"/>
        <v>34.457535581186555</v>
      </c>
      <c r="CB70" s="20">
        <f t="shared" si="64"/>
        <v>289.90936113723336</v>
      </c>
      <c r="CC70" s="59">
        <f t="shared" si="65"/>
        <v>583.24269447056668</v>
      </c>
      <c r="CD70" s="59">
        <f ca="1">AVERAGE(OFFSET($CC$3,0,0,'Données projet'!$E$12+1,1))-AVERAGE(OFFSET($H$3,0,0,'Données projet'!$E$12+1,1))</f>
        <v>246.66630850723385</v>
      </c>
      <c r="CE70" s="59">
        <f t="shared" si="94"/>
        <v>145.34368562171613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8.6666666666666661</v>
      </c>
      <c r="CT70" s="12">
        <f>IF('Données projet'!$A$140&gt;35,CT69+CS70-DB69,IF(A70&lt;'Données projet'!$A$140,$CQ$205^A70,IF(A70='Données projet'!$A$140,'Données projet'!$B$140,CT69+CS70-DB69)))</f>
        <v>310.66666666666674</v>
      </c>
      <c r="CU70" s="17">
        <f>CT70*VLOOKUP('Données projet'!$B$13,Paramètres!$A$1:$I$89,3,0)*VLOOKUP('Données projet'!$B$13,Paramètres!$A$1:$I$89,5,0)</f>
        <v>242.32000000000008</v>
      </c>
      <c r="CV70" s="13">
        <f t="shared" si="95"/>
        <v>58.938409961900909</v>
      </c>
      <c r="CW70" s="20">
        <f t="shared" si="67"/>
        <v>524.69173068364421</v>
      </c>
      <c r="CX70" s="59">
        <f t="shared" si="68"/>
        <v>818.02506401697747</v>
      </c>
      <c r="CY70" s="59">
        <f ca="1">AVERAGE(OFFSET($CX$3,0,0,'Données projet'!$E$13+1,1))-AVERAGE(OFFSET($H$3,0,0,'Données projet'!$E$13+1,1))</f>
        <v>292.57482726862594</v>
      </c>
      <c r="CZ70" s="59">
        <f t="shared" si="96"/>
        <v>283.48738729114024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6.8</v>
      </c>
      <c r="DO70" s="12">
        <f>IF('Données projet'!$A$166&gt;35,DO69+DN70-DW69,IF(A70&lt;'Données projet'!$A$166,$DL$205^A70,IF(A70='Données projet'!$A$166,'Données projet'!$B$166,DO69+DN70-DW69)))</f>
        <v>242.59999999999994</v>
      </c>
      <c r="DP70" s="17">
        <f>DO70*VLOOKUP('Données projet'!$B$14,Paramètres!$A$1:$I$89,3,0)*VLOOKUP('Données projet'!$B$14,Paramètres!$A$1:$I$89,5,0)</f>
        <v>245.99639999999997</v>
      </c>
      <c r="DQ70" s="13">
        <f t="shared" si="97"/>
        <v>59.72782632026442</v>
      </c>
      <c r="DR70" s="20">
        <f t="shared" si="70"/>
        <v>532.46969417446041</v>
      </c>
      <c r="DS70" s="59">
        <f t="shared" si="71"/>
        <v>825.80302750779379</v>
      </c>
      <c r="DT70" s="59">
        <f ca="1">AVERAGE(OFFSET($DS$3,0,0,'Données projet'!$E$14+1,1))-AVERAGE(OFFSET($H$3,0,0,'Données projet'!$E$14+1,1))</f>
        <v>475.47920969424894</v>
      </c>
      <c r="DU70" s="59">
        <f t="shared" si="98"/>
        <v>271.73544012419364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6.8</v>
      </c>
      <c r="EJ70" s="12">
        <f>IF('Données projet'!$A$192&gt;35,EJ69+EI70-ER69,IF(A70&lt;'Données projet'!$A$192,$EG$205^A70,IF(A70='Données projet'!$A$192,'Données projet'!$B$192,EJ69+EI70-ER69)))</f>
        <v>242.59999999999994</v>
      </c>
      <c r="EK70" s="17">
        <f>EJ70*VLOOKUP('Données projet'!$B$15,Paramètres!$A$1:$I$89,3,0)*VLOOKUP('Données projet'!$B$15,Paramètres!$A$1:$I$89,5,0)</f>
        <v>219.50447999999992</v>
      </c>
      <c r="EL70" s="13">
        <f t="shared" si="99"/>
        <v>54.007172767040167</v>
      </c>
      <c r="EM70" s="20">
        <f t="shared" si="73"/>
        <v>476.36612856926143</v>
      </c>
      <c r="EN70" s="59">
        <f t="shared" si="74"/>
        <v>769.69946190259475</v>
      </c>
      <c r="EO70" s="59">
        <f ca="1">AVERAGE(OFFSET($EN$3,0,0,'Données projet'!$E$15+1,1))-AVERAGE(OFFSET($H$3,0,0,'Données projet'!$E$15+1,1))</f>
        <v>428.8489304403459</v>
      </c>
      <c r="EP70" s="59">
        <f t="shared" si="100"/>
        <v>247.01165577562966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>
        <f>FE70*VLOOKUP('Données projet'!$B$16,Paramètres!$A$1:$I$89,3,0)*VLOOKUP('Données projet'!$B$16,Paramètres!$A$1:$I$89,5,0)</f>
        <v>0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245.25496369542458</v>
      </c>
      <c r="FK70" s="59">
        <f t="shared" si="102"/>
        <v>342.30266518164211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0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 t="e">
        <f>N71*VLOOKUP('Données projet'!$B$9,Paramètres!$A$1:$I$89,3,0)*VLOOKUP('Données projet'!$B$9,Paramètres!$A$1:$I$89,5,0)</f>
        <v>#N/A</v>
      </c>
      <c r="P71" s="13" t="e">
        <f t="shared" si="87"/>
        <v>#N/A</v>
      </c>
      <c r="Q71" s="20" t="e">
        <f t="shared" si="54"/>
        <v>#N/A</v>
      </c>
      <c r="R71" s="59" t="e">
        <f t="shared" si="55"/>
        <v>#N/A</v>
      </c>
      <c r="S71" s="59" t="e">
        <f ca="1">AVERAGE(OFFSET($R$3,0,0,'Données projet'!$E$9+1,1))-AVERAGE(OFFSET($H$3,0,0,'Données projet'!$E$9+1,1))</f>
        <v>#N/A</v>
      </c>
      <c r="T71" s="59" t="e">
        <f t="shared" si="88"/>
        <v>#N/A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 t="e">
        <f>EXP(-LN(2)/35)*Z70+(1-EXP(-LN(2)/35))/(LN(2)/35)*V71*W71*VLOOKUP('Données projet'!$B$9,Paramètres!$A$1:$I$89,3,0)*0.475*44/12</f>
        <v>#N/A</v>
      </c>
      <c r="AA71" s="21" t="e">
        <f>EXP(-LN(2)/25)*AA70+(1-EXP(-LN(2)/25))/(LN(2)/25)*Calculateur!V71*Calculateur!X71*VLOOKUP('Données projet'!$B$9,Paramètres!$A$1:$I$89,3,0)*0.475*44/12</f>
        <v>#N/A</v>
      </c>
      <c r="AB71" s="21" t="e">
        <f>EXP(-LN(2)/2)*AB70+(1-EXP(-LN(2)/2))/(LN(2)/2)*V71*Y71*VLOOKUP('Données projet'!$B$9,Paramètres!$A$1:$I$89,3,0)*0.475*44/12</f>
        <v>#N/A</v>
      </c>
      <c r="AC71" s="22" t="e">
        <f t="shared" si="57"/>
        <v>#N/A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3.8</v>
      </c>
      <c r="AI71" s="13">
        <f>IF('Données projet'!$A$62&gt;35,AI70+AH71-AQ70,IF(A71&lt;'Données projet'!$A$62,$AF$205^A71,IF(A71='Données projet'!$A$62,'Données projet'!$B$62,AI70+AH71-AQ70)))</f>
        <v>266.39999999999992</v>
      </c>
      <c r="AJ71" s="13">
        <f>AI71*VLOOKUP('Données projet'!$B$10,Paramètres!$A$1:$I$89,3,0)*VLOOKUP('Données projet'!$B$10,Paramètres!$A$1:$I$89,5,0)</f>
        <v>232.72703999999996</v>
      </c>
      <c r="AK71" s="13">
        <f t="shared" si="89"/>
        <v>56.871926227931105</v>
      </c>
      <c r="AL71" s="20">
        <f t="shared" si="58"/>
        <v>504.38486618031317</v>
      </c>
      <c r="AM71" s="59">
        <f t="shared" si="59"/>
        <v>797.71819951364648</v>
      </c>
      <c r="AN71" s="59">
        <f ca="1">AVERAGE(OFFSET($AM$3,0,0,'Données projet'!$E$10+1,1))-AVERAGE(OFFSET($H$3,0,0,'Données projet'!$E$10+1,1))</f>
        <v>338.55719679154777</v>
      </c>
      <c r="AO71" s="59">
        <f t="shared" si="90"/>
        <v>371.26234252426531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4.3589743589743595</v>
      </c>
      <c r="BD71" s="12">
        <f>IF('Données projet'!$A$88&gt;35,BD70+BC71-BL70,IF(A71&lt;'Données projet'!$A$88,$BA$205^A71,IF(A71='Données projet'!$A$88,'Données projet'!$B$88,BD70+BC71-BL70)))</f>
        <v>185.51282051282041</v>
      </c>
      <c r="BE71" s="13">
        <f>BD71*VLOOKUP('Données projet'!$B$11,Paramètres!$A$1:$I$89,3,0)*VLOOKUP('Données projet'!$B$11,Paramètres!$A$1:$I$89,5,0)</f>
        <v>176.53399999999991</v>
      </c>
      <c r="BF71" s="13">
        <f t="shared" si="91"/>
        <v>44.550194592706617</v>
      </c>
      <c r="BG71" s="20">
        <f t="shared" si="61"/>
        <v>385.05497224896385</v>
      </c>
      <c r="BH71" s="59">
        <f t="shared" si="62"/>
        <v>678.38830558229711</v>
      </c>
      <c r="BI71" s="59">
        <f ca="1">AVERAGE(OFFSET($BH$3,0,0,'Données projet'!$E$11+1,1))-AVERAGE(OFFSET($H$3,0,0,'Données projet'!$E$11+1,1))</f>
        <v>351.6178679548006</v>
      </c>
      <c r="BJ71" s="59">
        <f t="shared" si="92"/>
        <v>244.7141066773861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9.8403846153846146</v>
      </c>
      <c r="BY71" s="12">
        <f>IF('Données projet'!$A$114&gt;35,BY70+BX71-CG70,IF(A71&lt;'Données projet'!$A$114,$BV$205^A71,IF(A71='Données projet'!$A$114,'Données projet'!$B$114,BY70+BX71-CG70)))</f>
        <v>291.88653846153863</v>
      </c>
      <c r="BZ71" s="13">
        <f>BY71*VLOOKUP('Données projet'!$B$12,Paramètres!$A$1:$I$89,3,0)*VLOOKUP('Données projet'!$B$12,Paramètres!$A$1:$I$89,5,0)</f>
        <v>136.60290000000006</v>
      </c>
      <c r="CA71" s="13">
        <f t="shared" si="93"/>
        <v>35.517668503884643</v>
      </c>
      <c r="CB71" s="20">
        <f t="shared" si="64"/>
        <v>299.77665681093248</v>
      </c>
      <c r="CC71" s="59">
        <f t="shared" si="65"/>
        <v>593.10999014426579</v>
      </c>
      <c r="CD71" s="59">
        <f ca="1">AVERAGE(OFFSET($CC$3,0,0,'Données projet'!$E$12+1,1))-AVERAGE(OFFSET($H$3,0,0,'Données projet'!$E$12+1,1))</f>
        <v>246.66630850723385</v>
      </c>
      <c r="CE71" s="59">
        <f t="shared" si="94"/>
        <v>145.34368562171613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8.6666666666666661</v>
      </c>
      <c r="CT71" s="12">
        <f>IF('Données projet'!$A$140&gt;35,CT70+CS71-DB70,IF(A71&lt;'Données projet'!$A$140,$CQ$205^A71,IF(A71='Données projet'!$A$140,'Données projet'!$B$140,CT70+CS71-DB70)))</f>
        <v>319.33333333333343</v>
      </c>
      <c r="CU71" s="17">
        <f>CT71*VLOOKUP('Données projet'!$B$13,Paramètres!$A$1:$I$89,3,0)*VLOOKUP('Données projet'!$B$13,Paramètres!$A$1:$I$89,5,0)</f>
        <v>249.08000000000007</v>
      </c>
      <c r="CV71" s="13">
        <f t="shared" si="95"/>
        <v>60.388894447487807</v>
      </c>
      <c r="CW71" s="20">
        <f t="shared" si="67"/>
        <v>538.99165782937473</v>
      </c>
      <c r="CX71" s="59">
        <f t="shared" si="68"/>
        <v>832.3249911627081</v>
      </c>
      <c r="CY71" s="59">
        <f ca="1">AVERAGE(OFFSET($CX$3,0,0,'Données projet'!$E$13+1,1))-AVERAGE(OFFSET($H$3,0,0,'Données projet'!$E$13+1,1))</f>
        <v>292.57482726862594</v>
      </c>
      <c r="CZ71" s="59">
        <f t="shared" si="96"/>
        <v>283.48738729114024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6.8</v>
      </c>
      <c r="DO71" s="12">
        <f>IF('Données projet'!$A$166&gt;35,DO70+DN71-DW70,IF(A71&lt;'Données projet'!$A$166,$DL$205^A71,IF(A71='Données projet'!$A$166,'Données projet'!$B$166,DO70+DN71-DW70)))</f>
        <v>249.39999999999995</v>
      </c>
      <c r="DP71" s="17">
        <f>DO71*VLOOKUP('Données projet'!$B$14,Paramètres!$A$1:$I$89,3,0)*VLOOKUP('Données projet'!$B$14,Paramètres!$A$1:$I$89,5,0)</f>
        <v>252.89159999999998</v>
      </c>
      <c r="DQ71" s="13">
        <f t="shared" si="97"/>
        <v>61.204718436590312</v>
      </c>
      <c r="DR71" s="20">
        <f t="shared" si="70"/>
        <v>547.05108794372802</v>
      </c>
      <c r="DS71" s="59">
        <f t="shared" si="71"/>
        <v>840.38442127706139</v>
      </c>
      <c r="DT71" s="59">
        <f ca="1">AVERAGE(OFFSET($DS$3,0,0,'Données projet'!$E$14+1,1))-AVERAGE(OFFSET($H$3,0,0,'Données projet'!$E$14+1,1))</f>
        <v>475.47920969424894</v>
      </c>
      <c r="DU71" s="59">
        <f t="shared" si="98"/>
        <v>271.73544012419364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6.8</v>
      </c>
      <c r="EJ71" s="12">
        <f>IF('Données projet'!$A$192&gt;35,EJ70+EI71-ER70,IF(A71&lt;'Données projet'!$A$192,$EG$205^A71,IF(A71='Données projet'!$A$192,'Données projet'!$B$192,EJ70+EI71-ER70)))</f>
        <v>249.39999999999995</v>
      </c>
      <c r="EK71" s="17">
        <f>EJ71*VLOOKUP('Données projet'!$B$15,Paramètres!$A$1:$I$89,3,0)*VLOOKUP('Données projet'!$B$15,Paramètres!$A$1:$I$89,5,0)</f>
        <v>225.65711999999994</v>
      </c>
      <c r="EL71" s="13">
        <f t="shared" si="99"/>
        <v>55.342610076561513</v>
      </c>
      <c r="EM71" s="20">
        <f t="shared" si="73"/>
        <v>489.40786321667775</v>
      </c>
      <c r="EN71" s="59">
        <f t="shared" si="74"/>
        <v>782.74119655001107</v>
      </c>
      <c r="EO71" s="59">
        <f ca="1">AVERAGE(OFFSET($EN$3,0,0,'Données projet'!$E$15+1,1))-AVERAGE(OFFSET($H$3,0,0,'Données projet'!$E$15+1,1))</f>
        <v>428.8489304403459</v>
      </c>
      <c r="EP71" s="59">
        <f t="shared" si="100"/>
        <v>247.01165577562966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>
        <f>FE71*VLOOKUP('Données projet'!$B$16,Paramètres!$A$1:$I$89,3,0)*VLOOKUP('Données projet'!$B$16,Paramètres!$A$1:$I$89,5,0)</f>
        <v>0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245.25496369542458</v>
      </c>
      <c r="FK71" s="59">
        <f t="shared" si="102"/>
        <v>342.30266518164211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0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 t="e">
        <f>N72*VLOOKUP('Données projet'!$B$9,Paramètres!$A$1:$I$89,3,0)*VLOOKUP('Données projet'!$B$9,Paramètres!$A$1:$I$89,5,0)</f>
        <v>#N/A</v>
      </c>
      <c r="P72" s="13" t="e">
        <f t="shared" si="87"/>
        <v>#N/A</v>
      </c>
      <c r="Q72" s="20" t="e">
        <f t="shared" si="54"/>
        <v>#N/A</v>
      </c>
      <c r="R72" s="59" t="e">
        <f t="shared" si="55"/>
        <v>#N/A</v>
      </c>
      <c r="S72" s="59" t="e">
        <f ca="1">AVERAGE(OFFSET($R$3,0,0,'Données projet'!$E$9+1,1))-AVERAGE(OFFSET($H$3,0,0,'Données projet'!$E$9+1,1))</f>
        <v>#N/A</v>
      </c>
      <c r="T72" s="59" t="e">
        <f t="shared" si="88"/>
        <v>#N/A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 t="e">
        <f>EXP(-LN(2)/35)*Z71+(1-EXP(-LN(2)/35))/(LN(2)/35)*V72*W72*VLOOKUP('Données projet'!$B$9,Paramètres!$A$1:$I$89,3,0)*0.475*44/12</f>
        <v>#N/A</v>
      </c>
      <c r="AA72" s="21" t="e">
        <f>EXP(-LN(2)/25)*AA71+(1-EXP(-LN(2)/25))/(LN(2)/25)*Calculateur!V72*Calculateur!X72*VLOOKUP('Données projet'!$B$9,Paramètres!$A$1:$I$89,3,0)*0.475*44/12</f>
        <v>#N/A</v>
      </c>
      <c r="AB72" s="21" t="e">
        <f>EXP(-LN(2)/2)*AB71+(1-EXP(-LN(2)/2))/(LN(2)/2)*V72*Y72*VLOOKUP('Données projet'!$B$9,Paramètres!$A$1:$I$89,3,0)*0.475*44/12</f>
        <v>#N/A</v>
      </c>
      <c r="AC72" s="22" t="e">
        <f t="shared" si="57"/>
        <v>#N/A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3.8</v>
      </c>
      <c r="AI72" s="13">
        <f>IF('Données projet'!$A$62&gt;35,AI71+AH72-AQ71,IF(A72&lt;'Données projet'!$A$62,$AF$205^A72,IF(A72='Données projet'!$A$62,'Données projet'!$B$62,AI71+AH72-AQ71)))</f>
        <v>270.19999999999993</v>
      </c>
      <c r="AJ72" s="13">
        <f>AI72*VLOOKUP('Données projet'!$B$10,Paramètres!$A$1:$I$89,3,0)*VLOOKUP('Données projet'!$B$10,Paramètres!$A$1:$I$89,5,0)</f>
        <v>236.04671999999999</v>
      </c>
      <c r="AK72" s="13">
        <f t="shared" si="89"/>
        <v>57.588142576078461</v>
      </c>
      <c r="AL72" s="20">
        <f t="shared" si="58"/>
        <v>511.41405232000324</v>
      </c>
      <c r="AM72" s="59">
        <f t="shared" si="59"/>
        <v>804.74738565333655</v>
      </c>
      <c r="AN72" s="59">
        <f ca="1">AVERAGE(OFFSET($AM$3,0,0,'Données projet'!$E$10+1,1))-AVERAGE(OFFSET($H$3,0,0,'Données projet'!$E$10+1,1))</f>
        <v>338.55719679154777</v>
      </c>
      <c r="AO72" s="59">
        <f t="shared" si="90"/>
        <v>371.26234252426531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4.3589743589743595</v>
      </c>
      <c r="BD72" s="12">
        <f>IF('Données projet'!$A$88&gt;35,BD71+BC72-BL71,IF(A72&lt;'Données projet'!$A$88,$BA$205^A72,IF(A72='Données projet'!$A$88,'Données projet'!$B$88,BD71+BC72-BL71)))</f>
        <v>189.87179487179478</v>
      </c>
      <c r="BE72" s="13">
        <f>BD72*VLOOKUP('Données projet'!$B$11,Paramètres!$A$1:$I$89,3,0)*VLOOKUP('Données projet'!$B$11,Paramètres!$A$1:$I$89,5,0)</f>
        <v>180.6819999999999</v>
      </c>
      <c r="BF72" s="13">
        <f t="shared" si="91"/>
        <v>45.473885189516494</v>
      </c>
      <c r="BG72" s="20">
        <f t="shared" si="61"/>
        <v>393.88816670507435</v>
      </c>
      <c r="BH72" s="59">
        <f t="shared" si="62"/>
        <v>687.22150003840761</v>
      </c>
      <c r="BI72" s="59">
        <f ca="1">AVERAGE(OFFSET($BH$3,0,0,'Données projet'!$E$11+1,1))-AVERAGE(OFFSET($H$3,0,0,'Données projet'!$E$11+1,1))</f>
        <v>351.6178679548006</v>
      </c>
      <c r="BJ72" s="59">
        <f t="shared" si="92"/>
        <v>244.7141066773861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9.8403846153846146</v>
      </c>
      <c r="BY72" s="12">
        <f>IF('Données projet'!$A$114&gt;35,BY71+BX72-CG71,IF(A72&lt;'Données projet'!$A$114,$BV$205^A72,IF(A72='Données projet'!$A$114,'Données projet'!$B$114,BY71+BX72-CG71)))</f>
        <v>301.72692307692324</v>
      </c>
      <c r="BZ72" s="13">
        <f>BY72*VLOOKUP('Données projet'!$B$12,Paramètres!$A$1:$I$89,3,0)*VLOOKUP('Données projet'!$B$12,Paramètres!$A$1:$I$89,5,0)</f>
        <v>141.20820000000006</v>
      </c>
      <c r="CA72" s="13">
        <f t="shared" si="93"/>
        <v>36.573648575322004</v>
      </c>
      <c r="CB72" s="20">
        <f t="shared" si="64"/>
        <v>309.63671960201924</v>
      </c>
      <c r="CC72" s="59">
        <f t="shared" si="65"/>
        <v>602.97005293535256</v>
      </c>
      <c r="CD72" s="59">
        <f ca="1">AVERAGE(OFFSET($CC$3,0,0,'Données projet'!$E$12+1,1))-AVERAGE(OFFSET($H$3,0,0,'Données projet'!$E$12+1,1))</f>
        <v>246.66630850723385</v>
      </c>
      <c r="CE72" s="59">
        <f t="shared" si="94"/>
        <v>145.34368562171613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>
        <f>VLOOKUP(A72,'Données projet'!$A$139:$I$159,2,0)</f>
        <v>328</v>
      </c>
      <c r="CR72" s="12">
        <f>VLOOKUP(A72,'Données projet'!$A$139:$I$159,9,0)</f>
        <v>8.6666666666666661</v>
      </c>
      <c r="CS72" s="12">
        <f t="array" ref="CS72">INDEX(CR:CR,MIN(IF(ISNUMBER(CR72:CR268),ROW(CR72:CR268),"")))</f>
        <v>8.6666666666666661</v>
      </c>
      <c r="CT72" s="12">
        <f>IF('Données projet'!$A$140&gt;35,CT71+CS72-DB71,IF(A72&lt;'Données projet'!$A$140,$CQ$205^A72,IF(A72='Données projet'!$A$140,'Données projet'!$B$140,CT71+CS72-DB71)))</f>
        <v>328.00000000000011</v>
      </c>
      <c r="CU72" s="17">
        <f>CT72*VLOOKUP('Données projet'!$B$13,Paramètres!$A$1:$I$89,3,0)*VLOOKUP('Données projet'!$B$13,Paramètres!$A$1:$I$89,5,0)</f>
        <v>255.84000000000009</v>
      </c>
      <c r="CV72" s="13">
        <f t="shared" si="95"/>
        <v>61.834803371075836</v>
      </c>
      <c r="CW72" s="20">
        <f t="shared" si="67"/>
        <v>553.28361587129064</v>
      </c>
      <c r="CX72" s="59">
        <f t="shared" si="68"/>
        <v>846.61694920462401</v>
      </c>
      <c r="CY72" s="59">
        <f ca="1">AVERAGE(OFFSET($CX$3,0,0,'Données projet'!$E$13+1,1))-AVERAGE(OFFSET($H$3,0,0,'Données projet'!$E$13+1,1))</f>
        <v>292.57482726862594</v>
      </c>
      <c r="CZ72" s="59">
        <f t="shared" si="96"/>
        <v>283.48738729114024</v>
      </c>
      <c r="DA72" s="15">
        <f>IF(ISNA(VLOOKUP(A72,'Données projet'!$A$139:$I$159,3,0)),0,VLOOKUP(A72,'Données projet'!$A$139:$I$159,3,0))</f>
        <v>7</v>
      </c>
      <c r="DB72" s="15">
        <f>IF(ISNA(VLOOKUP(A72,'Données projet'!$A$139:$I$159,4,0)),0,VLOOKUP(A72,'Données projet'!$A$139:$I$159,4,0))</f>
        <v>328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6.8</v>
      </c>
      <c r="DO72" s="12">
        <f>IF('Données projet'!$A$166&gt;35,DO71+DN72-DW71,IF(A72&lt;'Données projet'!$A$166,$DL$205^A72,IF(A72='Données projet'!$A$166,'Données projet'!$B$166,DO71+DN72-DW71)))</f>
        <v>256.19999999999993</v>
      </c>
      <c r="DP72" s="17">
        <f>DO72*VLOOKUP('Données projet'!$B$14,Paramètres!$A$1:$I$89,3,0)*VLOOKUP('Données projet'!$B$14,Paramètres!$A$1:$I$89,5,0)</f>
        <v>259.78679999999997</v>
      </c>
      <c r="DQ72" s="13">
        <f t="shared" si="97"/>
        <v>62.676930162260739</v>
      </c>
      <c r="DR72" s="20">
        <f t="shared" si="70"/>
        <v>561.62433003260401</v>
      </c>
      <c r="DS72" s="59">
        <f t="shared" si="71"/>
        <v>854.95766336593738</v>
      </c>
      <c r="DT72" s="59">
        <f ca="1">AVERAGE(OFFSET($DS$3,0,0,'Données projet'!$E$14+1,1))-AVERAGE(OFFSET($H$3,0,0,'Données projet'!$E$14+1,1))</f>
        <v>475.47920969424894</v>
      </c>
      <c r="DU72" s="59">
        <f t="shared" si="98"/>
        <v>271.73544012419364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6.8</v>
      </c>
      <c r="EJ72" s="12">
        <f>IF('Données projet'!$A$192&gt;35,EJ71+EI72-ER71,IF(A72&lt;'Données projet'!$A$192,$EG$205^A72,IF(A72='Données projet'!$A$192,'Données projet'!$B$192,EJ71+EI72-ER71)))</f>
        <v>256.19999999999993</v>
      </c>
      <c r="EK72" s="17">
        <f>EJ72*VLOOKUP('Données projet'!$B$15,Paramètres!$A$1:$I$89,3,0)*VLOOKUP('Données projet'!$B$15,Paramètres!$A$1:$I$89,5,0)</f>
        <v>231.80975999999993</v>
      </c>
      <c r="EL72" s="13">
        <f t="shared" si="99"/>
        <v>56.673815277159328</v>
      </c>
      <c r="EM72" s="20">
        <f t="shared" si="73"/>
        <v>502.44222694105241</v>
      </c>
      <c r="EN72" s="59">
        <f t="shared" si="74"/>
        <v>795.77556027438573</v>
      </c>
      <c r="EO72" s="59">
        <f ca="1">AVERAGE(OFFSET($EN$3,0,0,'Données projet'!$E$15+1,1))-AVERAGE(OFFSET($H$3,0,0,'Données projet'!$E$15+1,1))</f>
        <v>428.8489304403459</v>
      </c>
      <c r="EP72" s="59">
        <f t="shared" si="100"/>
        <v>247.01165577562966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>
        <f>FE72*VLOOKUP('Données projet'!$B$16,Paramètres!$A$1:$I$89,3,0)*VLOOKUP('Données projet'!$B$16,Paramètres!$A$1:$I$89,5,0)</f>
        <v>0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245.25496369542458</v>
      </c>
      <c r="FK72" s="59">
        <f t="shared" si="102"/>
        <v>342.30266518164211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0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 t="e">
        <f>N73*VLOOKUP('Données projet'!$B$9,Paramètres!$A$1:$I$89,3,0)*VLOOKUP('Données projet'!$B$9,Paramètres!$A$1:$I$89,5,0)</f>
        <v>#N/A</v>
      </c>
      <c r="P73" s="13" t="e">
        <f t="shared" si="87"/>
        <v>#N/A</v>
      </c>
      <c r="Q73" s="20" t="e">
        <f t="shared" si="54"/>
        <v>#N/A</v>
      </c>
      <c r="R73" s="59" t="e">
        <f t="shared" si="55"/>
        <v>#N/A</v>
      </c>
      <c r="S73" s="59" t="e">
        <f ca="1">AVERAGE(OFFSET($R$3,0,0,'Données projet'!$E$9+1,1))-AVERAGE(OFFSET($H$3,0,0,'Données projet'!$E$9+1,1))</f>
        <v>#N/A</v>
      </c>
      <c r="T73" s="59" t="e">
        <f t="shared" si="88"/>
        <v>#N/A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 t="e">
        <f>EXP(-LN(2)/35)*Z72+(1-EXP(-LN(2)/35))/(LN(2)/35)*V73*W73*VLOOKUP('Données projet'!$B$9,Paramètres!$A$1:$I$89,3,0)*0.475*44/12</f>
        <v>#N/A</v>
      </c>
      <c r="AA73" s="21" t="e">
        <f>EXP(-LN(2)/25)*AA72+(1-EXP(-LN(2)/25))/(LN(2)/25)*Calculateur!V73*Calculateur!X73*VLOOKUP('Données projet'!$B$9,Paramètres!$A$1:$I$89,3,0)*0.475*44/12</f>
        <v>#N/A</v>
      </c>
      <c r="AB73" s="21" t="e">
        <f>EXP(-LN(2)/2)*AB72+(1-EXP(-LN(2)/2))/(LN(2)/2)*V73*Y73*VLOOKUP('Données projet'!$B$9,Paramètres!$A$1:$I$89,3,0)*0.475*44/12</f>
        <v>#N/A</v>
      </c>
      <c r="AC73" s="22" t="e">
        <f t="shared" si="57"/>
        <v>#N/A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274</v>
      </c>
      <c r="AG73" s="12">
        <f>VLOOKUP(A73,'Données projet'!$A$61:$I$81,9,0)</f>
        <v>3.8</v>
      </c>
      <c r="AH73" s="12">
        <f t="array" ref="AH73">INDEX(AG:AG,MIN(IF(ISNUMBER(AG73:AG269),ROW(AG73:AG269),"")))</f>
        <v>3.8</v>
      </c>
      <c r="AI73" s="13">
        <f>IF('Données projet'!$A$62&gt;35,AI72+AH73-AQ72,IF(A73&lt;'Données projet'!$A$62,$AF$205^A73,IF(A73='Données projet'!$A$62,'Données projet'!$B$62,AI72+AH73-AQ72)))</f>
        <v>273.99999999999994</v>
      </c>
      <c r="AJ73" s="13">
        <f>AI73*VLOOKUP('Données projet'!$B$10,Paramètres!$A$1:$I$89,3,0)*VLOOKUP('Données projet'!$B$10,Paramètres!$A$1:$I$89,5,0)</f>
        <v>239.36639999999997</v>
      </c>
      <c r="AK73" s="13">
        <f t="shared" si="89"/>
        <v>58.303187389471979</v>
      </c>
      <c r="AL73" s="20">
        <f t="shared" si="58"/>
        <v>518.44119803666365</v>
      </c>
      <c r="AM73" s="59">
        <f t="shared" si="59"/>
        <v>811.77453136999702</v>
      </c>
      <c r="AN73" s="59">
        <f ca="1">AVERAGE(OFFSET($AM$3,0,0,'Données projet'!$E$10+1,1))-AVERAGE(OFFSET($H$3,0,0,'Données projet'!$E$10+1,1))</f>
        <v>338.55719679154777</v>
      </c>
      <c r="AO73" s="59">
        <f t="shared" si="90"/>
        <v>371.26234252426531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194.23076923076923</v>
      </c>
      <c r="BB73" s="12">
        <f>VLOOKUP(A73,'Données projet'!$A$87:$I$107,9,0)</f>
        <v>4.3589743589743595</v>
      </c>
      <c r="BC73" s="12">
        <f t="array" ref="BC73">INDEX(BB:BB,MIN(IF(ISNUMBER(BB73:BB269),ROW(BB73:BB269),"")))</f>
        <v>4.3589743589743595</v>
      </c>
      <c r="BD73" s="12">
        <f>IF('Données projet'!$A$88&gt;35,BD72+BC73-BL72,IF(A73&lt;'Données projet'!$A$88,$BA$205^A73,IF(A73='Données projet'!$A$88,'Données projet'!$B$88,BD72+BC73-BL72)))</f>
        <v>194.23076923076914</v>
      </c>
      <c r="BE73" s="13">
        <f>BD73*VLOOKUP('Données projet'!$B$11,Paramètres!$A$1:$I$89,3,0)*VLOOKUP('Données projet'!$B$11,Paramètres!$A$1:$I$89,5,0)</f>
        <v>184.8299999999999</v>
      </c>
      <c r="BF73" s="13">
        <f t="shared" si="91"/>
        <v>46.395110521715885</v>
      </c>
      <c r="BG73" s="20">
        <f t="shared" si="61"/>
        <v>402.7170674919883</v>
      </c>
      <c r="BH73" s="59">
        <f t="shared" si="62"/>
        <v>696.05040082532162</v>
      </c>
      <c r="BI73" s="59">
        <f ca="1">AVERAGE(OFFSET($BH$3,0,0,'Données projet'!$E$11+1,1))-AVERAGE(OFFSET($H$3,0,0,'Données projet'!$E$11+1,1))</f>
        <v>351.6178679548006</v>
      </c>
      <c r="BJ73" s="59">
        <f t="shared" si="92"/>
        <v>244.7141066773861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9.8403846153846146</v>
      </c>
      <c r="BY73" s="12">
        <f>IF('Données projet'!$A$114&gt;35,BY72+BX73-CG72,IF(A73&lt;'Données projet'!$A$114,$BV$205^A73,IF(A73='Données projet'!$A$114,'Données projet'!$B$114,BY72+BX73-CG72)))</f>
        <v>311.56730769230785</v>
      </c>
      <c r="BZ73" s="13">
        <f>BY73*VLOOKUP('Données projet'!$B$12,Paramètres!$A$1:$I$89,3,0)*VLOOKUP('Données projet'!$B$12,Paramètres!$A$1:$I$89,5,0)</f>
        <v>145.81350000000009</v>
      </c>
      <c r="CA73" s="13">
        <f t="shared" si="93"/>
        <v>37.62562676752588</v>
      </c>
      <c r="CB73" s="20">
        <f t="shared" si="64"/>
        <v>319.48981245344106</v>
      </c>
      <c r="CC73" s="59">
        <f t="shared" si="65"/>
        <v>612.82314578677438</v>
      </c>
      <c r="CD73" s="59">
        <f ca="1">AVERAGE(OFFSET($CC$3,0,0,'Données projet'!$E$12+1,1))-AVERAGE(OFFSET($H$3,0,0,'Données projet'!$E$12+1,1))</f>
        <v>246.66630850723385</v>
      </c>
      <c r="CE73" s="59">
        <f t="shared" si="94"/>
        <v>145.34368562171613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1.1368683772161603E-13</v>
      </c>
      <c r="CU73" s="17">
        <f>CT73*VLOOKUP('Données projet'!$B$13,Paramètres!$A$1:$I$89,3,0)*VLOOKUP('Données projet'!$B$13,Paramètres!$A$1:$I$89,5,0)</f>
        <v>8.8675733422860506E-14</v>
      </c>
      <c r="CV73" s="13">
        <f t="shared" si="95"/>
        <v>1.3509285393066301E-12</v>
      </c>
      <c r="CW73" s="20">
        <f t="shared" si="67"/>
        <v>2.5073107750038623E-12</v>
      </c>
      <c r="CX73" s="59">
        <f t="shared" si="68"/>
        <v>293.33333333333582</v>
      </c>
      <c r="CY73" s="59">
        <f ca="1">AVERAGE(OFFSET($CX$3,0,0,'Données projet'!$E$13+1,1))-AVERAGE(OFFSET($H$3,0,0,'Données projet'!$E$13+1,1))</f>
        <v>292.57482726862594</v>
      </c>
      <c r="CZ73" s="59">
        <f t="shared" si="96"/>
        <v>283.48738729114024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263</v>
      </c>
      <c r="DM73" s="12">
        <f>VLOOKUP(A73,'Données projet'!$A$165:$I$185,9,0)</f>
        <v>6.8</v>
      </c>
      <c r="DN73" s="12">
        <f t="array" ref="DN73">INDEX(DM:DM,MIN(IF(ISNUMBER(DM73:DM269),ROW(DM73:DM269),"")))</f>
        <v>6.8</v>
      </c>
      <c r="DO73" s="12">
        <f>IF('Données projet'!$A$166&gt;35,DO72+DN73-DW72,IF(A73&lt;'Données projet'!$A$166,$DL$205^A73,IF(A73='Données projet'!$A$166,'Données projet'!$B$166,DO72+DN73-DW72)))</f>
        <v>262.99999999999994</v>
      </c>
      <c r="DP73" s="17">
        <f>DO73*VLOOKUP('Données projet'!$B$14,Paramètres!$A$1:$I$89,3,0)*VLOOKUP('Données projet'!$B$14,Paramètres!$A$1:$I$89,5,0)</f>
        <v>266.68199999999996</v>
      </c>
      <c r="DQ73" s="13">
        <f t="shared" si="97"/>
        <v>64.144600001897771</v>
      </c>
      <c r="DR73" s="20">
        <f t="shared" si="70"/>
        <v>576.189661669972</v>
      </c>
      <c r="DS73" s="59">
        <f t="shared" si="71"/>
        <v>869.52299500330537</v>
      </c>
      <c r="DT73" s="59">
        <f ca="1">AVERAGE(OFFSET($DS$3,0,0,'Données projet'!$E$14+1,1))-AVERAGE(OFFSET($H$3,0,0,'Données projet'!$E$14+1,1))</f>
        <v>475.47920969424894</v>
      </c>
      <c r="DU73" s="59">
        <f t="shared" si="98"/>
        <v>271.73544012419364</v>
      </c>
      <c r="DV73" s="15">
        <f>IF(ISNA(VLOOKUP(A73,'Données projet'!$A$165:$I$185,3,0)),0,VLOOKUP(A73,'Données projet'!$A$165:$I$185,3,0))</f>
        <v>5</v>
      </c>
      <c r="DW73" s="15">
        <f>IF(ISNA(VLOOKUP(A73,'Données projet'!$A$165:$I$185,4,0)),0,VLOOKUP(A73,'Données projet'!$A$165:$I$185,4,0))</f>
        <v>42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263</v>
      </c>
      <c r="EH73" s="12">
        <f>VLOOKUP(A73,'Données projet'!$A$191:$I$211,9,0)</f>
        <v>6.8</v>
      </c>
      <c r="EI73" s="12">
        <f t="array" ref="EI73">INDEX(EH:EH,MIN(IF(ISNUMBER(EH73:EH269),ROW(EH73:EH269),"")))</f>
        <v>6.8</v>
      </c>
      <c r="EJ73" s="12">
        <f>IF('Données projet'!$A$192&gt;35,EJ72+EI73-ER72,IF(A73&lt;'Données projet'!$A$192,$EG$205^A73,IF(A73='Données projet'!$A$192,'Données projet'!$B$192,EJ72+EI73-ER72)))</f>
        <v>262.99999999999994</v>
      </c>
      <c r="EK73" s="17">
        <f>EJ73*VLOOKUP('Données projet'!$B$15,Paramètres!$A$1:$I$89,3,0)*VLOOKUP('Données projet'!$B$15,Paramètres!$A$1:$I$89,5,0)</f>
        <v>237.96239999999995</v>
      </c>
      <c r="EL73" s="13">
        <f t="shared" si="99"/>
        <v>58.00091360766335</v>
      </c>
      <c r="EM73" s="20">
        <f t="shared" si="73"/>
        <v>515.4694378666801</v>
      </c>
      <c r="EN73" s="59">
        <f t="shared" si="74"/>
        <v>808.80277120001347</v>
      </c>
      <c r="EO73" s="59">
        <f ca="1">AVERAGE(OFFSET($EN$3,0,0,'Données projet'!$E$15+1,1))-AVERAGE(OFFSET($H$3,0,0,'Données projet'!$E$15+1,1))</f>
        <v>428.8489304403459</v>
      </c>
      <c r="EP73" s="59">
        <f t="shared" si="100"/>
        <v>247.01165577562966</v>
      </c>
      <c r="EQ73" s="15">
        <f>IF(ISNA(VLOOKUP(A73,'Données projet'!$A$191:$I$211,3,0)),0,VLOOKUP(A73,'Données projet'!$A$191:$I$211,3,0))</f>
        <v>5</v>
      </c>
      <c r="ER73" s="15">
        <f>IF(ISNA(VLOOKUP(A73,'Données projet'!$A$191:$I$211,4,0)),0,VLOOKUP(A73,'Données projet'!$A$191:$I$211,4,0))</f>
        <v>42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>
        <f>FE73*VLOOKUP('Données projet'!$B$16,Paramètres!$A$1:$I$89,3,0)*VLOOKUP('Données projet'!$B$16,Paramètres!$A$1:$I$89,5,0)</f>
        <v>0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245.25496369542458</v>
      </c>
      <c r="FK73" s="59">
        <f t="shared" si="102"/>
        <v>342.30266518164211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0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 t="e">
        <f>N74*VLOOKUP('Données projet'!$B$9,Paramètres!$A$1:$I$89,3,0)*VLOOKUP('Données projet'!$B$9,Paramètres!$A$1:$I$89,5,0)</f>
        <v>#N/A</v>
      </c>
      <c r="P74" s="13" t="e">
        <f t="shared" si="87"/>
        <v>#N/A</v>
      </c>
      <c r="Q74" s="20" t="e">
        <f t="shared" si="54"/>
        <v>#N/A</v>
      </c>
      <c r="R74" s="59" t="e">
        <f t="shared" si="55"/>
        <v>#N/A</v>
      </c>
      <c r="S74" s="59" t="e">
        <f ca="1">AVERAGE(OFFSET($R$3,0,0,'Données projet'!$E$9+1,1))-AVERAGE(OFFSET($H$3,0,0,'Données projet'!$E$9+1,1))</f>
        <v>#N/A</v>
      </c>
      <c r="T74" s="59" t="e">
        <f t="shared" si="88"/>
        <v>#N/A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 t="e">
        <f>EXP(-LN(2)/35)*Z73+(1-EXP(-LN(2)/35))/(LN(2)/35)*V74*W74*VLOOKUP('Données projet'!$B$9,Paramètres!$A$1:$I$89,3,0)*0.475*44/12</f>
        <v>#N/A</v>
      </c>
      <c r="AA74" s="21" t="e">
        <f>EXP(-LN(2)/25)*AA73+(1-EXP(-LN(2)/25))/(LN(2)/25)*Calculateur!V74*Calculateur!X74*VLOOKUP('Données projet'!$B$9,Paramètres!$A$1:$I$89,3,0)*0.475*44/12</f>
        <v>#N/A</v>
      </c>
      <c r="AB74" s="21" t="e">
        <f>EXP(-LN(2)/2)*AB73+(1-EXP(-LN(2)/2))/(LN(2)/2)*V74*Y74*VLOOKUP('Données projet'!$B$9,Paramètres!$A$1:$I$89,3,0)*0.475*44/12</f>
        <v>#N/A</v>
      </c>
      <c r="AC74" s="22" t="e">
        <f t="shared" si="57"/>
        <v>#N/A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3.4</v>
      </c>
      <c r="AI74" s="13">
        <f>IF('Données projet'!$A$62&gt;35,AI73+AH74-AQ73,IF(A74&lt;'Données projet'!$A$62,$AF$205^A74,IF(A74='Données projet'!$A$62,'Données projet'!$B$62,AI73+AH74-AQ73)))</f>
        <v>256.39999999999992</v>
      </c>
      <c r="AJ74" s="13">
        <f>AI74*VLOOKUP('Données projet'!$B$10,Paramètres!$A$1:$I$89,3,0)*VLOOKUP('Données projet'!$B$10,Paramètres!$A$1:$I$89,5,0)</f>
        <v>223.99103999999997</v>
      </c>
      <c r="AK74" s="13">
        <f t="shared" si="89"/>
        <v>54.981408824201601</v>
      </c>
      <c r="AL74" s="20">
        <f t="shared" si="58"/>
        <v>485.87701503548442</v>
      </c>
      <c r="AM74" s="59">
        <f t="shared" si="59"/>
        <v>779.21034836881768</v>
      </c>
      <c r="AN74" s="59">
        <f ca="1">AVERAGE(OFFSET($AM$3,0,0,'Données projet'!$E$10+1,1))-AVERAGE(OFFSET($H$3,0,0,'Données projet'!$E$10+1,1))</f>
        <v>338.55719679154777</v>
      </c>
      <c r="AO74" s="59">
        <f t="shared" si="90"/>
        <v>371.26234252426531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3.9743589743589722</v>
      </c>
      <c r="BD74" s="12">
        <f>IF('Données projet'!$A$88&gt;35,BD73+BC74-BL73,IF(A74&lt;'Données projet'!$A$88,$BA$205^A74,IF(A74='Données projet'!$A$88,'Données projet'!$B$88,BD73+BC74-BL73)))</f>
        <v>198.20512820512812</v>
      </c>
      <c r="BE74" s="13">
        <f>BD74*VLOOKUP('Données projet'!$B$11,Paramètres!$A$1:$I$89,3,0)*VLOOKUP('Données projet'!$B$11,Paramètres!$A$1:$I$89,5,0)</f>
        <v>188.61199999999991</v>
      </c>
      <c r="BF74" s="13">
        <f t="shared" si="91"/>
        <v>47.232954932734806</v>
      </c>
      <c r="BG74" s="20">
        <f t="shared" si="61"/>
        <v>410.76329650784623</v>
      </c>
      <c r="BH74" s="59">
        <f t="shared" si="62"/>
        <v>704.09662984117949</v>
      </c>
      <c r="BI74" s="59">
        <f ca="1">AVERAGE(OFFSET($BH$3,0,0,'Données projet'!$E$11+1,1))-AVERAGE(OFFSET($H$3,0,0,'Données projet'!$E$11+1,1))</f>
        <v>351.6178679548006</v>
      </c>
      <c r="BJ74" s="59">
        <f t="shared" si="92"/>
        <v>244.7141066773861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9.8403846153846146</v>
      </c>
      <c r="BY74" s="12">
        <f>IF('Données projet'!$A$114&gt;35,BY73+BX74-CG73,IF(A74&lt;'Données projet'!$A$114,$BV$205^A74,IF(A74='Données projet'!$A$114,'Données projet'!$B$114,BY73+BX74-CG73)))</f>
        <v>321.40769230769246</v>
      </c>
      <c r="BZ74" s="13">
        <f>BY74*VLOOKUP('Données projet'!$B$12,Paramètres!$A$1:$I$89,3,0)*VLOOKUP('Données projet'!$B$12,Paramètres!$A$1:$I$89,5,0)</f>
        <v>150.41880000000006</v>
      </c>
      <c r="CA74" s="13">
        <f t="shared" si="93"/>
        <v>38.67374397449511</v>
      </c>
      <c r="CB74" s="20">
        <f t="shared" si="64"/>
        <v>329.33618075557905</v>
      </c>
      <c r="CC74" s="59">
        <f t="shared" si="65"/>
        <v>622.66951408891236</v>
      </c>
      <c r="CD74" s="59">
        <f ca="1">AVERAGE(OFFSET($CC$3,0,0,'Données projet'!$E$12+1,1))-AVERAGE(OFFSET($H$3,0,0,'Données projet'!$E$12+1,1))</f>
        <v>246.66630850723385</v>
      </c>
      <c r="CE74" s="59">
        <f t="shared" si="94"/>
        <v>145.34368562171613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1.1368683772161603E-13</v>
      </c>
      <c r="CU74" s="17">
        <f>CT74*VLOOKUP('Données projet'!$B$13,Paramètres!$A$1:$I$89,3,0)*VLOOKUP('Données projet'!$B$13,Paramètres!$A$1:$I$89,5,0)</f>
        <v>8.8675733422860506E-14</v>
      </c>
      <c r="CV74" s="13">
        <f t="shared" si="95"/>
        <v>1.3509285393066301E-12</v>
      </c>
      <c r="CW74" s="20">
        <f t="shared" si="67"/>
        <v>2.5073107750038623E-12</v>
      </c>
      <c r="CX74" s="59">
        <f t="shared" si="68"/>
        <v>293.33333333333582</v>
      </c>
      <c r="CY74" s="59">
        <f ca="1">AVERAGE(OFFSET($CX$3,0,0,'Données projet'!$E$13+1,1))-AVERAGE(OFFSET($H$3,0,0,'Données projet'!$E$13+1,1))</f>
        <v>292.57482726862594</v>
      </c>
      <c r="CZ74" s="59">
        <f t="shared" si="96"/>
        <v>283.48738729114024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6.2</v>
      </c>
      <c r="DO74" s="12">
        <f>IF('Données projet'!$A$166&gt;35,DO73+DN74-DW73,IF(A74&lt;'Données projet'!$A$166,$DL$205^A74,IF(A74='Données projet'!$A$166,'Données projet'!$B$166,DO73+DN74-DW73)))</f>
        <v>227.19999999999993</v>
      </c>
      <c r="DP74" s="17">
        <f>DO74*VLOOKUP('Données projet'!$B$14,Paramètres!$A$1:$I$89,3,0)*VLOOKUP('Données projet'!$B$14,Paramètres!$A$1:$I$89,5,0)</f>
        <v>230.38079999999994</v>
      </c>
      <c r="DQ74" s="13">
        <f t="shared" si="97"/>
        <v>56.365011465139979</v>
      </c>
      <c r="DR74" s="20">
        <f t="shared" si="70"/>
        <v>499.41562163511867</v>
      </c>
      <c r="DS74" s="59">
        <f t="shared" si="71"/>
        <v>792.74895496845193</v>
      </c>
      <c r="DT74" s="59">
        <f ca="1">AVERAGE(OFFSET($DS$3,0,0,'Données projet'!$E$14+1,1))-AVERAGE(OFFSET($H$3,0,0,'Données projet'!$E$14+1,1))</f>
        <v>475.47920969424894</v>
      </c>
      <c r="DU74" s="59">
        <f t="shared" si="98"/>
        <v>271.73544012419364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6.2</v>
      </c>
      <c r="EJ74" s="12">
        <f>IF('Données projet'!$A$192&gt;35,EJ73+EI74-ER73,IF(A74&lt;'Données projet'!$A$192,$EG$205^A74,IF(A74='Données projet'!$A$192,'Données projet'!$B$192,EJ73+EI74-ER73)))</f>
        <v>227.19999999999993</v>
      </c>
      <c r="EK74" s="17">
        <f>EJ74*VLOOKUP('Données projet'!$B$15,Paramètres!$A$1:$I$89,3,0)*VLOOKUP('Données projet'!$B$15,Paramètres!$A$1:$I$89,5,0)</f>
        <v>205.57055999999994</v>
      </c>
      <c r="EL74" s="13">
        <f t="shared" si="99"/>
        <v>50.966443946767392</v>
      </c>
      <c r="EM74" s="20">
        <f t="shared" si="73"/>
        <v>446.80194854061978</v>
      </c>
      <c r="EN74" s="59">
        <f t="shared" si="74"/>
        <v>740.13528187395309</v>
      </c>
      <c r="EO74" s="59">
        <f ca="1">AVERAGE(OFFSET($EN$3,0,0,'Données projet'!$E$15+1,1))-AVERAGE(OFFSET($H$3,0,0,'Données projet'!$E$15+1,1))</f>
        <v>428.8489304403459</v>
      </c>
      <c r="EP74" s="59">
        <f t="shared" si="100"/>
        <v>247.01165577562966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>
        <f>FE74*VLOOKUP('Données projet'!$B$16,Paramètres!$A$1:$I$89,3,0)*VLOOKUP('Données projet'!$B$16,Paramètres!$A$1:$I$89,5,0)</f>
        <v>0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245.25496369542458</v>
      </c>
      <c r="FK74" s="59">
        <f t="shared" si="102"/>
        <v>342.30266518164211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0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 t="e">
        <f>N75*VLOOKUP('Données projet'!$B$9,Paramètres!$A$1:$I$89,3,0)*VLOOKUP('Données projet'!$B$9,Paramètres!$A$1:$I$89,5,0)</f>
        <v>#N/A</v>
      </c>
      <c r="P75" s="13" t="e">
        <f t="shared" si="87"/>
        <v>#N/A</v>
      </c>
      <c r="Q75" s="20" t="e">
        <f t="shared" si="54"/>
        <v>#N/A</v>
      </c>
      <c r="R75" s="59" t="e">
        <f t="shared" si="55"/>
        <v>#N/A</v>
      </c>
      <c r="S75" s="59" t="e">
        <f ca="1">AVERAGE(OFFSET($R$3,0,0,'Données projet'!$E$9+1,1))-AVERAGE(OFFSET($H$3,0,0,'Données projet'!$E$9+1,1))</f>
        <v>#N/A</v>
      </c>
      <c r="T75" s="59" t="e">
        <f t="shared" si="88"/>
        <v>#N/A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 t="e">
        <f>EXP(-LN(2)/35)*Z74+(1-EXP(-LN(2)/35))/(LN(2)/35)*V75*W75*VLOOKUP('Données projet'!$B$9,Paramètres!$A$1:$I$89,3,0)*0.475*44/12</f>
        <v>#N/A</v>
      </c>
      <c r="AA75" s="21" t="e">
        <f>EXP(-LN(2)/25)*AA74+(1-EXP(-LN(2)/25))/(LN(2)/25)*Calculateur!V75*Calculateur!X75*VLOOKUP('Données projet'!$B$9,Paramètres!$A$1:$I$89,3,0)*0.475*44/12</f>
        <v>#N/A</v>
      </c>
      <c r="AB75" s="21" t="e">
        <f>EXP(-LN(2)/2)*AB74+(1-EXP(-LN(2)/2))/(LN(2)/2)*V75*Y75*VLOOKUP('Données projet'!$B$9,Paramètres!$A$1:$I$89,3,0)*0.475*44/12</f>
        <v>#N/A</v>
      </c>
      <c r="AC75" s="22" t="e">
        <f t="shared" si="57"/>
        <v>#N/A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3.4</v>
      </c>
      <c r="AI75" s="13">
        <f>IF('Données projet'!$A$62&gt;35,AI74+AH75-AQ74,IF(A75&lt;'Données projet'!$A$62,$AF$205^A75,IF(A75='Données projet'!$A$62,'Données projet'!$B$62,AI74+AH75-AQ74)))</f>
        <v>259.7999999999999</v>
      </c>
      <c r="AJ75" s="13">
        <f>AI75*VLOOKUP('Données projet'!$B$10,Paramètres!$A$1:$I$89,3,0)*VLOOKUP('Données projet'!$B$10,Paramètres!$A$1:$I$89,5,0)</f>
        <v>226.96127999999993</v>
      </c>
      <c r="AK75" s="13">
        <f t="shared" si="89"/>
        <v>55.625131501998617</v>
      </c>
      <c r="AL75" s="20">
        <f t="shared" si="58"/>
        <v>492.17133336598084</v>
      </c>
      <c r="AM75" s="59">
        <f t="shared" si="59"/>
        <v>785.50466669931416</v>
      </c>
      <c r="AN75" s="59">
        <f ca="1">AVERAGE(OFFSET($AM$3,0,0,'Données projet'!$E$10+1,1))-AVERAGE(OFFSET($H$3,0,0,'Données projet'!$E$10+1,1))</f>
        <v>338.55719679154777</v>
      </c>
      <c r="AO75" s="59">
        <f t="shared" si="90"/>
        <v>371.26234252426531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3.9743589743589722</v>
      </c>
      <c r="BD75" s="12">
        <f>IF('Données projet'!$A$88&gt;35,BD74+BC75-BL74,IF(A75&lt;'Données projet'!$A$88,$BA$205^A75,IF(A75='Données projet'!$A$88,'Données projet'!$B$88,BD74+BC75-BL74)))</f>
        <v>202.1794871794871</v>
      </c>
      <c r="BE75" s="13">
        <f>BD75*VLOOKUP('Données projet'!$B$11,Paramètres!$A$1:$I$89,3,0)*VLOOKUP('Données projet'!$B$11,Paramètres!$A$1:$I$89,5,0)</f>
        <v>192.39399999999992</v>
      </c>
      <c r="BF75" s="13">
        <f t="shared" si="91"/>
        <v>48.06884593738954</v>
      </c>
      <c r="BG75" s="20">
        <f t="shared" si="61"/>
        <v>418.80612334095326</v>
      </c>
      <c r="BH75" s="59">
        <f t="shared" si="62"/>
        <v>712.13945667428652</v>
      </c>
      <c r="BI75" s="59">
        <f ca="1">AVERAGE(OFFSET($BH$3,0,0,'Données projet'!$E$11+1,1))-AVERAGE(OFFSET($H$3,0,0,'Données projet'!$E$11+1,1))</f>
        <v>351.6178679548006</v>
      </c>
      <c r="BJ75" s="59">
        <f t="shared" si="92"/>
        <v>244.7141066773861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9.8403846153846146</v>
      </c>
      <c r="BY75" s="12">
        <f>IF('Données projet'!$A$114&gt;35,BY74+BX75-CG74,IF(A75&lt;'Données projet'!$A$114,$BV$205^A75,IF(A75='Données projet'!$A$114,'Données projet'!$B$114,BY74+BX75-CG74)))</f>
        <v>331.24807692307706</v>
      </c>
      <c r="BZ75" s="13">
        <f>BY75*VLOOKUP('Données projet'!$B$12,Paramètres!$A$1:$I$89,3,0)*VLOOKUP('Données projet'!$B$12,Paramètres!$A$1:$I$89,5,0)</f>
        <v>155.02410000000006</v>
      </c>
      <c r="CA75" s="13">
        <f t="shared" si="93"/>
        <v>39.718131972677462</v>
      </c>
      <c r="CB75" s="20">
        <f t="shared" si="64"/>
        <v>339.17605401908003</v>
      </c>
      <c r="CC75" s="59">
        <f t="shared" si="65"/>
        <v>632.50938735241334</v>
      </c>
      <c r="CD75" s="59">
        <f ca="1">AVERAGE(OFFSET($CC$3,0,0,'Données projet'!$E$12+1,1))-AVERAGE(OFFSET($H$3,0,0,'Données projet'!$E$12+1,1))</f>
        <v>246.66630850723385</v>
      </c>
      <c r="CE75" s="59">
        <f t="shared" si="94"/>
        <v>145.34368562171613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1.1368683772161603E-13</v>
      </c>
      <c r="CU75" s="17">
        <f>CT75*VLOOKUP('Données projet'!$B$13,Paramètres!$A$1:$I$89,3,0)*VLOOKUP('Données projet'!$B$13,Paramètres!$A$1:$I$89,5,0)</f>
        <v>8.8675733422860506E-14</v>
      </c>
      <c r="CV75" s="13">
        <f t="shared" si="95"/>
        <v>1.3509285393066301E-12</v>
      </c>
      <c r="CW75" s="20">
        <f t="shared" si="67"/>
        <v>2.5073107750038623E-12</v>
      </c>
      <c r="CX75" s="59">
        <f t="shared" si="68"/>
        <v>293.33333333333582</v>
      </c>
      <c r="CY75" s="59">
        <f ca="1">AVERAGE(OFFSET($CX$3,0,0,'Données projet'!$E$13+1,1))-AVERAGE(OFFSET($H$3,0,0,'Données projet'!$E$13+1,1))</f>
        <v>292.57482726862594</v>
      </c>
      <c r="CZ75" s="59">
        <f t="shared" si="96"/>
        <v>283.48738729114024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6.2</v>
      </c>
      <c r="DO75" s="12">
        <f>IF('Données projet'!$A$166&gt;35,DO74+DN75-DW74,IF(A75&lt;'Données projet'!$A$166,$DL$205^A75,IF(A75='Données projet'!$A$166,'Données projet'!$B$166,DO74+DN75-DW74)))</f>
        <v>233.39999999999992</v>
      </c>
      <c r="DP75" s="17">
        <f>DO75*VLOOKUP('Données projet'!$B$14,Paramètres!$A$1:$I$89,3,0)*VLOOKUP('Données projet'!$B$14,Paramètres!$A$1:$I$89,5,0)</f>
        <v>236.66759999999994</v>
      </c>
      <c r="DQ75" s="13">
        <f t="shared" si="97"/>
        <v>57.721965974560838</v>
      </c>
      <c r="DR75" s="20">
        <f t="shared" si="70"/>
        <v>512.72849407235992</v>
      </c>
      <c r="DS75" s="59">
        <f t="shared" si="71"/>
        <v>806.06182740569329</v>
      </c>
      <c r="DT75" s="59">
        <f ca="1">AVERAGE(OFFSET($DS$3,0,0,'Données projet'!$E$14+1,1))-AVERAGE(OFFSET($H$3,0,0,'Données projet'!$E$14+1,1))</f>
        <v>475.47920969424894</v>
      </c>
      <c r="DU75" s="59">
        <f t="shared" si="98"/>
        <v>271.73544012419364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6.2</v>
      </c>
      <c r="EJ75" s="12">
        <f>IF('Données projet'!$A$192&gt;35,EJ74+EI75-ER74,IF(A75&lt;'Données projet'!$A$192,$EG$205^A75,IF(A75='Données projet'!$A$192,'Données projet'!$B$192,EJ74+EI75-ER74)))</f>
        <v>233.39999999999992</v>
      </c>
      <c r="EK75" s="17">
        <f>EJ75*VLOOKUP('Données projet'!$B$15,Paramètres!$A$1:$I$89,3,0)*VLOOKUP('Données projet'!$B$15,Paramètres!$A$1:$I$89,5,0)</f>
        <v>211.18031999999994</v>
      </c>
      <c r="EL75" s="13">
        <f t="shared" si="99"/>
        <v>52.193431117443019</v>
      </c>
      <c r="EM75" s="20">
        <f t="shared" si="73"/>
        <v>458.70928319621316</v>
      </c>
      <c r="EN75" s="59">
        <f t="shared" si="74"/>
        <v>752.04261652954642</v>
      </c>
      <c r="EO75" s="59">
        <f ca="1">AVERAGE(OFFSET($EN$3,0,0,'Données projet'!$E$15+1,1))-AVERAGE(OFFSET($H$3,0,0,'Données projet'!$E$15+1,1))</f>
        <v>428.8489304403459</v>
      </c>
      <c r="EP75" s="59">
        <f t="shared" si="100"/>
        <v>247.01165577562966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>
        <f>FE75*VLOOKUP('Données projet'!$B$16,Paramètres!$A$1:$I$89,3,0)*VLOOKUP('Données projet'!$B$16,Paramètres!$A$1:$I$89,5,0)</f>
        <v>0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245.25496369542458</v>
      </c>
      <c r="FK75" s="59">
        <f t="shared" si="102"/>
        <v>342.30266518164211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0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 t="e">
        <f>N76*VLOOKUP('Données projet'!$B$9,Paramètres!$A$1:$I$89,3,0)*VLOOKUP('Données projet'!$B$9,Paramètres!$A$1:$I$89,5,0)</f>
        <v>#N/A</v>
      </c>
      <c r="P76" s="13" t="e">
        <f t="shared" si="87"/>
        <v>#N/A</v>
      </c>
      <c r="Q76" s="20" t="e">
        <f t="shared" si="54"/>
        <v>#N/A</v>
      </c>
      <c r="R76" s="59" t="e">
        <f t="shared" si="55"/>
        <v>#N/A</v>
      </c>
      <c r="S76" s="59" t="e">
        <f ca="1">AVERAGE(OFFSET($R$3,0,0,'Données projet'!$E$9+1,1))-AVERAGE(OFFSET($H$3,0,0,'Données projet'!$E$9+1,1))</f>
        <v>#N/A</v>
      </c>
      <c r="T76" s="59" t="e">
        <f t="shared" si="88"/>
        <v>#N/A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 t="e">
        <f>EXP(-LN(2)/35)*Z75+(1-EXP(-LN(2)/35))/(LN(2)/35)*V76*W76*VLOOKUP('Données projet'!$B$9,Paramètres!$A$1:$I$89,3,0)*0.475*44/12</f>
        <v>#N/A</v>
      </c>
      <c r="AA76" s="21" t="e">
        <f>EXP(-LN(2)/25)*AA75+(1-EXP(-LN(2)/25))/(LN(2)/25)*Calculateur!V76*Calculateur!X76*VLOOKUP('Données projet'!$B$9,Paramètres!$A$1:$I$89,3,0)*0.475*44/12</f>
        <v>#N/A</v>
      </c>
      <c r="AB76" s="21" t="e">
        <f>EXP(-LN(2)/2)*AB75+(1-EXP(-LN(2)/2))/(LN(2)/2)*V76*Y76*VLOOKUP('Données projet'!$B$9,Paramètres!$A$1:$I$89,3,0)*0.475*44/12</f>
        <v>#N/A</v>
      </c>
      <c r="AC76" s="22" t="e">
        <f t="shared" si="57"/>
        <v>#N/A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3.4</v>
      </c>
      <c r="AI76" s="13">
        <f>IF('Données projet'!$A$62&gt;35,AI75+AH76-AQ75,IF(A76&lt;'Données projet'!$A$62,$AF$205^A76,IF(A76='Données projet'!$A$62,'Données projet'!$B$62,AI75+AH76-AQ75)))</f>
        <v>263.19999999999987</v>
      </c>
      <c r="AJ76" s="13">
        <f>AI76*VLOOKUP('Données projet'!$B$10,Paramètres!$A$1:$I$89,3,0)*VLOOKUP('Données projet'!$B$10,Paramètres!$A$1:$I$89,5,0)</f>
        <v>229.93151999999992</v>
      </c>
      <c r="AK76" s="13">
        <f t="shared" si="89"/>
        <v>56.26787429746841</v>
      </c>
      <c r="AL76" s="20">
        <f t="shared" si="58"/>
        <v>498.4639450680906</v>
      </c>
      <c r="AM76" s="59">
        <f t="shared" si="59"/>
        <v>791.79727840142391</v>
      </c>
      <c r="AN76" s="59">
        <f ca="1">AVERAGE(OFFSET($AM$3,0,0,'Données projet'!$E$10+1,1))-AVERAGE(OFFSET($H$3,0,0,'Données projet'!$E$10+1,1))</f>
        <v>338.55719679154777</v>
      </c>
      <c r="AO76" s="59">
        <f t="shared" si="90"/>
        <v>371.26234252426531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3.9743589743589722</v>
      </c>
      <c r="BD76" s="12">
        <f>IF('Données projet'!$A$88&gt;35,BD75+BC76-BL75,IF(A76&lt;'Données projet'!$A$88,$BA$205^A76,IF(A76='Données projet'!$A$88,'Données projet'!$B$88,BD75+BC76-BL75)))</f>
        <v>206.15384615384608</v>
      </c>
      <c r="BE76" s="13">
        <f>BD76*VLOOKUP('Données projet'!$B$11,Paramètres!$A$1:$I$89,3,0)*VLOOKUP('Données projet'!$B$11,Paramètres!$A$1:$I$89,5,0)</f>
        <v>196.17599999999993</v>
      </c>
      <c r="BF76" s="13">
        <f t="shared" si="91"/>
        <v>48.902826361146467</v>
      </c>
      <c r="BG76" s="20">
        <f t="shared" si="61"/>
        <v>426.84562257899665</v>
      </c>
      <c r="BH76" s="59">
        <f t="shared" si="62"/>
        <v>720.17895591232991</v>
      </c>
      <c r="BI76" s="59">
        <f ca="1">AVERAGE(OFFSET($BH$3,0,0,'Données projet'!$E$11+1,1))-AVERAGE(OFFSET($H$3,0,0,'Données projet'!$E$11+1,1))</f>
        <v>351.6178679548006</v>
      </c>
      <c r="BJ76" s="59">
        <f t="shared" si="92"/>
        <v>244.7141066773861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9.8403846153846146</v>
      </c>
      <c r="BY76" s="12">
        <f>IF('Données projet'!$A$114&gt;35,BY75+BX76-CG75,IF(A76&lt;'Données projet'!$A$114,$BV$205^A76,IF(A76='Données projet'!$A$114,'Données projet'!$B$114,BY75+BX76-CG75)))</f>
        <v>341.08846153846167</v>
      </c>
      <c r="BZ76" s="13">
        <f>BY76*VLOOKUP('Données projet'!$B$12,Paramètres!$A$1:$I$89,3,0)*VLOOKUP('Données projet'!$B$12,Paramètres!$A$1:$I$89,5,0)</f>
        <v>159.62940000000006</v>
      </c>
      <c r="CA76" s="13">
        <f t="shared" si="93"/>
        <v>40.758914264108547</v>
      </c>
      <c r="CB76" s="20">
        <f t="shared" si="64"/>
        <v>349.00964734332246</v>
      </c>
      <c r="CC76" s="59">
        <f t="shared" si="65"/>
        <v>642.34298067665577</v>
      </c>
      <c r="CD76" s="59">
        <f ca="1">AVERAGE(OFFSET($CC$3,0,0,'Données projet'!$E$12+1,1))-AVERAGE(OFFSET($H$3,0,0,'Données projet'!$E$12+1,1))</f>
        <v>246.66630850723385</v>
      </c>
      <c r="CE76" s="59">
        <f t="shared" si="94"/>
        <v>145.34368562171613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1.1368683772161603E-13</v>
      </c>
      <c r="CU76" s="17">
        <f>CT76*VLOOKUP('Données projet'!$B$13,Paramètres!$A$1:$I$89,3,0)*VLOOKUP('Données projet'!$B$13,Paramètres!$A$1:$I$89,5,0)</f>
        <v>8.8675733422860506E-14</v>
      </c>
      <c r="CV76" s="13">
        <f t="shared" si="95"/>
        <v>1.3509285393066301E-12</v>
      </c>
      <c r="CW76" s="20">
        <f t="shared" si="67"/>
        <v>2.5073107750038623E-12</v>
      </c>
      <c r="CX76" s="59">
        <f t="shared" si="68"/>
        <v>293.33333333333582</v>
      </c>
      <c r="CY76" s="59">
        <f ca="1">AVERAGE(OFFSET($CX$3,0,0,'Données projet'!$E$13+1,1))-AVERAGE(OFFSET($H$3,0,0,'Données projet'!$E$13+1,1))</f>
        <v>292.57482726862594</v>
      </c>
      <c r="CZ76" s="59">
        <f t="shared" si="96"/>
        <v>283.48738729114024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6.2</v>
      </c>
      <c r="DO76" s="12">
        <f>IF('Données projet'!$A$166&gt;35,DO75+DN76-DW75,IF(A76&lt;'Données projet'!$A$166,$DL$205^A76,IF(A76='Données projet'!$A$166,'Données projet'!$B$166,DO75+DN76-DW75)))</f>
        <v>239.59999999999991</v>
      </c>
      <c r="DP76" s="17">
        <f>DO76*VLOOKUP('Données projet'!$B$14,Paramètres!$A$1:$I$89,3,0)*VLOOKUP('Données projet'!$B$14,Paramètres!$A$1:$I$89,5,0)</f>
        <v>242.95439999999994</v>
      </c>
      <c r="DQ76" s="13">
        <f t="shared" si="97"/>
        <v>59.074730698078945</v>
      </c>
      <c r="DR76" s="20">
        <f t="shared" si="70"/>
        <v>526.034069299154</v>
      </c>
      <c r="DS76" s="59">
        <f t="shared" si="71"/>
        <v>819.36740263248726</v>
      </c>
      <c r="DT76" s="59">
        <f ca="1">AVERAGE(OFFSET($DS$3,0,0,'Données projet'!$E$14+1,1))-AVERAGE(OFFSET($H$3,0,0,'Données projet'!$E$14+1,1))</f>
        <v>475.47920969424894</v>
      </c>
      <c r="DU76" s="59">
        <f t="shared" si="98"/>
        <v>271.73544012419364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6.2</v>
      </c>
      <c r="EJ76" s="12">
        <f>IF('Données projet'!$A$192&gt;35,EJ75+EI76-ER75,IF(A76&lt;'Données projet'!$A$192,$EG$205^A76,IF(A76='Données projet'!$A$192,'Données projet'!$B$192,EJ75+EI76-ER75)))</f>
        <v>239.59999999999991</v>
      </c>
      <c r="EK76" s="17">
        <f>EJ76*VLOOKUP('Données projet'!$B$15,Paramètres!$A$1:$I$89,3,0)*VLOOKUP('Données projet'!$B$15,Paramètres!$A$1:$I$89,5,0)</f>
        <v>216.7900799999999</v>
      </c>
      <c r="EL76" s="13">
        <f t="shared" si="99"/>
        <v>53.416629794462551</v>
      </c>
      <c r="EM76" s="20">
        <f t="shared" si="73"/>
        <v>470.61001955868869</v>
      </c>
      <c r="EN76" s="59">
        <f t="shared" si="74"/>
        <v>763.94335289202195</v>
      </c>
      <c r="EO76" s="59">
        <f ca="1">AVERAGE(OFFSET($EN$3,0,0,'Données projet'!$E$15+1,1))-AVERAGE(OFFSET($H$3,0,0,'Données projet'!$E$15+1,1))</f>
        <v>428.8489304403459</v>
      </c>
      <c r="EP76" s="59">
        <f t="shared" si="100"/>
        <v>247.01165577562966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>
        <f>FE76*VLOOKUP('Données projet'!$B$16,Paramètres!$A$1:$I$89,3,0)*VLOOKUP('Données projet'!$B$16,Paramètres!$A$1:$I$89,5,0)</f>
        <v>0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245.25496369542458</v>
      </c>
      <c r="FK76" s="59">
        <f t="shared" si="102"/>
        <v>342.30266518164211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0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 t="e">
        <f>N77*VLOOKUP('Données projet'!$B$9,Paramètres!$A$1:$I$89,3,0)*VLOOKUP('Données projet'!$B$9,Paramètres!$A$1:$I$89,5,0)</f>
        <v>#N/A</v>
      </c>
      <c r="P77" s="13" t="e">
        <f t="shared" si="87"/>
        <v>#N/A</v>
      </c>
      <c r="Q77" s="20" t="e">
        <f t="shared" si="54"/>
        <v>#N/A</v>
      </c>
      <c r="R77" s="59" t="e">
        <f t="shared" si="55"/>
        <v>#N/A</v>
      </c>
      <c r="S77" s="59" t="e">
        <f ca="1">AVERAGE(OFFSET($R$3,0,0,'Données projet'!$E$9+1,1))-AVERAGE(OFFSET($H$3,0,0,'Données projet'!$E$9+1,1))</f>
        <v>#N/A</v>
      </c>
      <c r="T77" s="59" t="e">
        <f t="shared" si="88"/>
        <v>#N/A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 t="e">
        <f>EXP(-LN(2)/35)*Z76+(1-EXP(-LN(2)/35))/(LN(2)/35)*V77*W77*VLOOKUP('Données projet'!$B$9,Paramètres!$A$1:$I$89,3,0)*0.475*44/12</f>
        <v>#N/A</v>
      </c>
      <c r="AA77" s="21" t="e">
        <f>EXP(-LN(2)/25)*AA76+(1-EXP(-LN(2)/25))/(LN(2)/25)*Calculateur!V77*Calculateur!X77*VLOOKUP('Données projet'!$B$9,Paramètres!$A$1:$I$89,3,0)*0.475*44/12</f>
        <v>#N/A</v>
      </c>
      <c r="AB77" s="21" t="e">
        <f>EXP(-LN(2)/2)*AB76+(1-EXP(-LN(2)/2))/(LN(2)/2)*V77*Y77*VLOOKUP('Données projet'!$B$9,Paramètres!$A$1:$I$89,3,0)*0.475*44/12</f>
        <v>#N/A</v>
      </c>
      <c r="AC77" s="22" t="e">
        <f t="shared" si="57"/>
        <v>#N/A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3.4</v>
      </c>
      <c r="AI77" s="13">
        <f>IF('Données projet'!$A$62&gt;35,AI76+AH77-AQ76,IF(A77&lt;'Données projet'!$A$62,$AF$205^A77,IF(A77='Données projet'!$A$62,'Données projet'!$B$62,AI76+AH77-AQ76)))</f>
        <v>266.59999999999985</v>
      </c>
      <c r="AJ77" s="13">
        <f>AI77*VLOOKUP('Données projet'!$B$10,Paramètres!$A$1:$I$89,3,0)*VLOOKUP('Données projet'!$B$10,Paramètres!$A$1:$I$89,5,0)</f>
        <v>232.90175999999991</v>
      </c>
      <c r="AK77" s="13">
        <f t="shared" si="89"/>
        <v>56.909651332233828</v>
      </c>
      <c r="AL77" s="20">
        <f t="shared" si="58"/>
        <v>504.7548747369737</v>
      </c>
      <c r="AM77" s="59">
        <f t="shared" si="59"/>
        <v>798.08820807030702</v>
      </c>
      <c r="AN77" s="59">
        <f ca="1">AVERAGE(OFFSET($AM$3,0,0,'Données projet'!$E$10+1,1))-AVERAGE(OFFSET($H$3,0,0,'Données projet'!$E$10+1,1))</f>
        <v>338.55719679154777</v>
      </c>
      <c r="AO77" s="59">
        <f t="shared" si="90"/>
        <v>371.26234252426531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3.9743589743589722</v>
      </c>
      <c r="BD77" s="12">
        <f>IF('Données projet'!$A$88&gt;35,BD76+BC77-BL76,IF(A77&lt;'Données projet'!$A$88,$BA$205^A77,IF(A77='Données projet'!$A$88,'Données projet'!$B$88,BD76+BC77-BL76)))</f>
        <v>210.12820512820505</v>
      </c>
      <c r="BE77" s="13">
        <f>BD77*VLOOKUP('Données projet'!$B$11,Paramètres!$A$1:$I$89,3,0)*VLOOKUP('Données projet'!$B$11,Paramètres!$A$1:$I$89,5,0)</f>
        <v>199.95799999999994</v>
      </c>
      <c r="BF77" s="13">
        <f t="shared" si="91"/>
        <v>49.734937283774826</v>
      </c>
      <c r="BG77" s="20">
        <f t="shared" si="61"/>
        <v>434.88186576924096</v>
      </c>
      <c r="BH77" s="59">
        <f t="shared" si="62"/>
        <v>728.21519910257427</v>
      </c>
      <c r="BI77" s="59">
        <f ca="1">AVERAGE(OFFSET($BH$3,0,0,'Données projet'!$E$11+1,1))-AVERAGE(OFFSET($H$3,0,0,'Données projet'!$E$11+1,1))</f>
        <v>351.6178679548006</v>
      </c>
      <c r="BJ77" s="59">
        <f t="shared" si="92"/>
        <v>244.7141066773861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9.8403846153846146</v>
      </c>
      <c r="BY77" s="12">
        <f>IF('Données projet'!$A$114&gt;35,BY76+BX77-CG76,IF(A77&lt;'Données projet'!$A$114,$BV$205^A77,IF(A77='Données projet'!$A$114,'Données projet'!$B$114,BY76+BX77-CG76)))</f>
        <v>350.92884615384628</v>
      </c>
      <c r="BZ77" s="13">
        <f>BY77*VLOOKUP('Données projet'!$B$12,Paramètres!$A$1:$I$89,3,0)*VLOOKUP('Données projet'!$B$12,Paramètres!$A$1:$I$89,5,0)</f>
        <v>164.23470000000006</v>
      </c>
      <c r="CA77" s="13">
        <f t="shared" si="93"/>
        <v>41.796206819517984</v>
      </c>
      <c r="CB77" s="20">
        <f t="shared" si="64"/>
        <v>358.83716271066055</v>
      </c>
      <c r="CC77" s="59">
        <f t="shared" si="65"/>
        <v>652.17049604399381</v>
      </c>
      <c r="CD77" s="59">
        <f ca="1">AVERAGE(OFFSET($CC$3,0,0,'Données projet'!$E$12+1,1))-AVERAGE(OFFSET($H$3,0,0,'Données projet'!$E$12+1,1))</f>
        <v>246.66630850723385</v>
      </c>
      <c r="CE77" s="59">
        <f t="shared" si="94"/>
        <v>145.34368562171613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1.1368683772161603E-13</v>
      </c>
      <c r="CU77" s="17">
        <f>CT77*VLOOKUP('Données projet'!$B$13,Paramètres!$A$1:$I$89,3,0)*VLOOKUP('Données projet'!$B$13,Paramètres!$A$1:$I$89,5,0)</f>
        <v>8.8675733422860506E-14</v>
      </c>
      <c r="CV77" s="13">
        <f t="shared" si="95"/>
        <v>1.3509285393066301E-12</v>
      </c>
      <c r="CW77" s="20">
        <f t="shared" si="67"/>
        <v>2.5073107750038623E-12</v>
      </c>
      <c r="CX77" s="59">
        <f t="shared" si="68"/>
        <v>293.33333333333582</v>
      </c>
      <c r="CY77" s="59">
        <f ca="1">AVERAGE(OFFSET($CX$3,0,0,'Données projet'!$E$13+1,1))-AVERAGE(OFFSET($H$3,0,0,'Données projet'!$E$13+1,1))</f>
        <v>292.57482726862594</v>
      </c>
      <c r="CZ77" s="59">
        <f t="shared" si="96"/>
        <v>283.48738729114024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6.2</v>
      </c>
      <c r="DO77" s="12">
        <f>IF('Données projet'!$A$166&gt;35,DO76+DN77-DW76,IF(A77&lt;'Données projet'!$A$166,$DL$205^A77,IF(A77='Données projet'!$A$166,'Données projet'!$B$166,DO76+DN77-DW76)))</f>
        <v>245.7999999999999</v>
      </c>
      <c r="DP77" s="17">
        <f>DO77*VLOOKUP('Données projet'!$B$14,Paramètres!$A$1:$I$89,3,0)*VLOOKUP('Données projet'!$B$14,Paramètres!$A$1:$I$89,5,0)</f>
        <v>249.24119999999988</v>
      </c>
      <c r="DQ77" s="13">
        <f t="shared" si="97"/>
        <v>60.42342651744687</v>
      </c>
      <c r="DR77" s="20">
        <f t="shared" si="70"/>
        <v>539.3325578512198</v>
      </c>
      <c r="DS77" s="59">
        <f t="shared" si="71"/>
        <v>832.66589118455317</v>
      </c>
      <c r="DT77" s="59">
        <f ca="1">AVERAGE(OFFSET($DS$3,0,0,'Données projet'!$E$14+1,1))-AVERAGE(OFFSET($H$3,0,0,'Données projet'!$E$14+1,1))</f>
        <v>475.47920969424894</v>
      </c>
      <c r="DU77" s="59">
        <f t="shared" si="98"/>
        <v>271.73544012419364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6.2</v>
      </c>
      <c r="EJ77" s="12">
        <f>IF('Données projet'!$A$192&gt;35,EJ76+EI77-ER76,IF(A77&lt;'Données projet'!$A$192,$EG$205^A77,IF(A77='Données projet'!$A$192,'Données projet'!$B$192,EJ76+EI77-ER76)))</f>
        <v>245.7999999999999</v>
      </c>
      <c r="EK77" s="17">
        <f>EJ77*VLOOKUP('Données projet'!$B$15,Paramètres!$A$1:$I$89,3,0)*VLOOKUP('Données projet'!$B$15,Paramètres!$A$1:$I$89,5,0)</f>
        <v>222.3998399999999</v>
      </c>
      <c r="EL77" s="13">
        <f t="shared" si="99"/>
        <v>54.636149281681448</v>
      </c>
      <c r="EM77" s="20">
        <f t="shared" si="73"/>
        <v>482.50434799892832</v>
      </c>
      <c r="EN77" s="59">
        <f t="shared" si="74"/>
        <v>775.83768133226158</v>
      </c>
      <c r="EO77" s="59">
        <f ca="1">AVERAGE(OFFSET($EN$3,0,0,'Données projet'!$E$15+1,1))-AVERAGE(OFFSET($H$3,0,0,'Données projet'!$E$15+1,1))</f>
        <v>428.8489304403459</v>
      </c>
      <c r="EP77" s="59">
        <f t="shared" si="100"/>
        <v>247.01165577562966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>
        <f>FE77*VLOOKUP('Données projet'!$B$16,Paramètres!$A$1:$I$89,3,0)*VLOOKUP('Données projet'!$B$16,Paramètres!$A$1:$I$89,5,0)</f>
        <v>0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245.25496369542458</v>
      </c>
      <c r="FK77" s="59">
        <f t="shared" si="102"/>
        <v>342.30266518164211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0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 t="e">
        <f>N78*VLOOKUP('Données projet'!$B$9,Paramètres!$A$1:$I$89,3,0)*VLOOKUP('Données projet'!$B$9,Paramètres!$A$1:$I$89,5,0)</f>
        <v>#N/A</v>
      </c>
      <c r="P78" s="13" t="e">
        <f t="shared" si="87"/>
        <v>#N/A</v>
      </c>
      <c r="Q78" s="20" t="e">
        <f t="shared" si="54"/>
        <v>#N/A</v>
      </c>
      <c r="R78" s="59" t="e">
        <f t="shared" si="55"/>
        <v>#N/A</v>
      </c>
      <c r="S78" s="59" t="e">
        <f ca="1">AVERAGE(OFFSET($R$3,0,0,'Données projet'!$E$9+1,1))-AVERAGE(OFFSET($H$3,0,0,'Données projet'!$E$9+1,1))</f>
        <v>#N/A</v>
      </c>
      <c r="T78" s="59" t="e">
        <f t="shared" si="88"/>
        <v>#N/A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 t="e">
        <f>EXP(-LN(2)/35)*Z77+(1-EXP(-LN(2)/35))/(LN(2)/35)*V78*W78*VLOOKUP('Données projet'!$B$9,Paramètres!$A$1:$I$89,3,0)*0.475*44/12</f>
        <v>#N/A</v>
      </c>
      <c r="AA78" s="21" t="e">
        <f>EXP(-LN(2)/25)*AA77+(1-EXP(-LN(2)/25))/(LN(2)/25)*Calculateur!V78*Calculateur!X78*VLOOKUP('Données projet'!$B$9,Paramètres!$A$1:$I$89,3,0)*0.475*44/12</f>
        <v>#N/A</v>
      </c>
      <c r="AB78" s="21" t="e">
        <f>EXP(-LN(2)/2)*AB77+(1-EXP(-LN(2)/2))/(LN(2)/2)*V78*Y78*VLOOKUP('Données projet'!$B$9,Paramètres!$A$1:$I$89,3,0)*0.475*44/12</f>
        <v>#N/A</v>
      </c>
      <c r="AC78" s="22" t="e">
        <f t="shared" si="57"/>
        <v>#N/A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270</v>
      </c>
      <c r="AG78" s="12">
        <f>VLOOKUP(A78,'Données projet'!$A$61:$I$81,9,0)</f>
        <v>3.4</v>
      </c>
      <c r="AH78" s="12">
        <f t="array" ref="AH78">INDEX(AG:AG,MIN(IF(ISNUMBER(AG78:AG274),ROW(AG78:AG274),"")))</f>
        <v>3.4</v>
      </c>
      <c r="AI78" s="13">
        <f>IF('Données projet'!$A$62&gt;35,AI77+AH78-AQ77,IF(A78&lt;'Données projet'!$A$62,$AF$205^A78,IF(A78='Données projet'!$A$62,'Données projet'!$B$62,AI77+AH78-AQ77)))</f>
        <v>269.99999999999983</v>
      </c>
      <c r="AJ78" s="13">
        <f>AI78*VLOOKUP('Données projet'!$B$10,Paramètres!$A$1:$I$89,3,0)*VLOOKUP('Données projet'!$B$10,Paramètres!$A$1:$I$89,5,0)</f>
        <v>235.8719999999999</v>
      </c>
      <c r="AK78" s="13">
        <f t="shared" si="89"/>
        <v>57.550476347015277</v>
      </c>
      <c r="AL78" s="20">
        <f t="shared" si="58"/>
        <v>511.04414630438481</v>
      </c>
      <c r="AM78" s="59">
        <f t="shared" si="59"/>
        <v>804.37747963771812</v>
      </c>
      <c r="AN78" s="59">
        <f ca="1">AVERAGE(OFFSET($AM$3,0,0,'Données projet'!$E$10+1,1))-AVERAGE(OFFSET($H$3,0,0,'Données projet'!$E$10+1,1))</f>
        <v>338.55719679154777</v>
      </c>
      <c r="AO78" s="59">
        <f t="shared" si="90"/>
        <v>371.26234252426531</v>
      </c>
      <c r="AP78" s="15">
        <f>IF(ISNA(VLOOKUP(A78,'Données projet'!$A$61:$I$81,3,0)),0,VLOOKUP(A78,'Données projet'!$A$61:$I$81,3,0))</f>
        <v>7</v>
      </c>
      <c r="AQ78" s="15">
        <f>IF(ISNA(VLOOKUP(A78,'Données projet'!$A$61:$I$81,4,0)),0,VLOOKUP(A78,'Données projet'!$A$61:$I$81,4,0))</f>
        <v>9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214.10256410256409</v>
      </c>
      <c r="BB78" s="12">
        <f>VLOOKUP(A78,'Données projet'!$A$87:$I$107,9,0)</f>
        <v>3.9743589743589722</v>
      </c>
      <c r="BC78" s="12">
        <f t="array" ref="BC78">INDEX(BB:BB,MIN(IF(ISNUMBER(BB78:BB274),ROW(BB78:BB274),"")))</f>
        <v>3.9743589743589722</v>
      </c>
      <c r="BD78" s="12">
        <f>IF('Données projet'!$A$88&gt;35,BD77+BC78-BL77,IF(A78&lt;'Données projet'!$A$88,$BA$205^A78,IF(A78='Données projet'!$A$88,'Données projet'!$B$88,BD77+BC78-BL77)))</f>
        <v>214.10256410256403</v>
      </c>
      <c r="BE78" s="13">
        <f>BD78*VLOOKUP('Données projet'!$B$11,Paramètres!$A$1:$I$89,3,0)*VLOOKUP('Données projet'!$B$11,Paramètres!$A$1:$I$89,5,0)</f>
        <v>203.73999999999995</v>
      </c>
      <c r="BF78" s="13">
        <f t="shared" si="91"/>
        <v>50.565218142155274</v>
      </c>
      <c r="BG78" s="20">
        <f t="shared" si="61"/>
        <v>442.91492159758701</v>
      </c>
      <c r="BH78" s="59">
        <f t="shared" si="62"/>
        <v>736.24825493092033</v>
      </c>
      <c r="BI78" s="59">
        <f ca="1">AVERAGE(OFFSET($BH$3,0,0,'Données projet'!$E$11+1,1))-AVERAGE(OFFSET($H$3,0,0,'Données projet'!$E$11+1,1))</f>
        <v>351.6178679548006</v>
      </c>
      <c r="BJ78" s="59">
        <f t="shared" si="92"/>
        <v>244.7141066773861</v>
      </c>
      <c r="BK78" s="15">
        <f>IF(ISNA(VLOOKUP(A78,'Données projet'!$A$87:$I$107,3,0)),0,VLOOKUP(A78,'Données projet'!$A$87:$I$107,3,0))</f>
        <v>6</v>
      </c>
      <c r="BL78" s="15">
        <f>IF(ISNA(VLOOKUP(A78,'Données projet'!$A$87:$I$107,4,0)),0,VLOOKUP(A78,'Données projet'!$A$87:$I$107,4,0))</f>
        <v>26.923076923076923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360.76923076923077</v>
      </c>
      <c r="BW78" s="12">
        <f>VLOOKUP(A78,'Données projet'!$A$113:$I$133,9,0)</f>
        <v>9.8403846153846146</v>
      </c>
      <c r="BX78" s="12">
        <f t="array" ref="BX78">INDEX(BW:BW,MIN(IF(ISNUMBER(BW78:BW274),ROW(BW78:BW274),"")))</f>
        <v>9.8403846153846146</v>
      </c>
      <c r="BY78" s="12">
        <f>IF('Données projet'!$A$114&gt;35,BY77+BX78-CG77,IF(A78&lt;'Données projet'!$A$114,$BV$205^A78,IF(A78='Données projet'!$A$114,'Données projet'!$B$114,BY77+BX78-CG77)))</f>
        <v>360.76923076923089</v>
      </c>
      <c r="BZ78" s="13">
        <f>BY78*VLOOKUP('Données projet'!$B$12,Paramètres!$A$1:$I$89,3,0)*VLOOKUP('Données projet'!$B$12,Paramètres!$A$1:$I$89,5,0)</f>
        <v>168.84000000000003</v>
      </c>
      <c r="CA78" s="13">
        <f t="shared" si="93"/>
        <v>42.830118735743198</v>
      </c>
      <c r="CB78" s="20">
        <f t="shared" si="64"/>
        <v>368.65879013141949</v>
      </c>
      <c r="CC78" s="59">
        <f t="shared" si="65"/>
        <v>661.99212346475281</v>
      </c>
      <c r="CD78" s="59">
        <f ca="1">AVERAGE(OFFSET($CC$3,0,0,'Données projet'!$E$12+1,1))-AVERAGE(OFFSET($H$3,0,0,'Données projet'!$E$12+1,1))</f>
        <v>246.66630850723385</v>
      </c>
      <c r="CE78" s="59">
        <f t="shared" si="94"/>
        <v>145.34368562171613</v>
      </c>
      <c r="CF78" s="15">
        <f>IF(ISNA(VLOOKUP(A78,'Données projet'!$A$113:$I$133,3,0)),0,VLOOKUP(A78,'Données projet'!$A$113:$I$133,3,0))</f>
        <v>3</v>
      </c>
      <c r="CG78" s="15">
        <f>IF(ISNA(VLOOKUP(A78,'Données projet'!$A$113:$I$133,4,0)),0,VLOOKUP(A78,'Données projet'!$A$113:$I$133,4,0))</f>
        <v>85.361538461538458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1.1368683772161603E-13</v>
      </c>
      <c r="CU78" s="17">
        <f>CT78*VLOOKUP('Données projet'!$B$13,Paramètres!$A$1:$I$89,3,0)*VLOOKUP('Données projet'!$B$13,Paramètres!$A$1:$I$89,5,0)</f>
        <v>8.8675733422860506E-14</v>
      </c>
      <c r="CV78" s="13">
        <f t="shared" si="95"/>
        <v>1.3509285393066301E-12</v>
      </c>
      <c r="CW78" s="20">
        <f t="shared" si="67"/>
        <v>2.5073107750038623E-12</v>
      </c>
      <c r="CX78" s="59">
        <f t="shared" si="68"/>
        <v>293.33333333333582</v>
      </c>
      <c r="CY78" s="59">
        <f ca="1">AVERAGE(OFFSET($CX$3,0,0,'Données projet'!$E$13+1,1))-AVERAGE(OFFSET($H$3,0,0,'Données projet'!$E$13+1,1))</f>
        <v>292.57482726862594</v>
      </c>
      <c r="CZ78" s="59">
        <f t="shared" si="96"/>
        <v>283.48738729114024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252</v>
      </c>
      <c r="DM78" s="12">
        <f>VLOOKUP(A78,'Données projet'!$A$165:$I$185,9,0)</f>
        <v>6.2</v>
      </c>
      <c r="DN78" s="12">
        <f t="array" ref="DN78">INDEX(DM:DM,MIN(IF(ISNUMBER(DM78:DM274),ROW(DM78:DM274),"")))</f>
        <v>6.2</v>
      </c>
      <c r="DO78" s="12">
        <f>IF('Données projet'!$A$166&gt;35,DO77+DN78-DW77,IF(A78&lt;'Données projet'!$A$166,$DL$205^A78,IF(A78='Données projet'!$A$166,'Données projet'!$B$166,DO77+DN78-DW77)))</f>
        <v>251.99999999999989</v>
      </c>
      <c r="DP78" s="17">
        <f>DO78*VLOOKUP('Données projet'!$B$14,Paramètres!$A$1:$I$89,3,0)*VLOOKUP('Données projet'!$B$14,Paramètres!$A$1:$I$89,5,0)</f>
        <v>255.52799999999991</v>
      </c>
      <c r="DQ78" s="13">
        <f t="shared" si="97"/>
        <v>61.768167868721477</v>
      </c>
      <c r="DR78" s="20">
        <f t="shared" si="70"/>
        <v>552.62415903802309</v>
      </c>
      <c r="DS78" s="59">
        <f t="shared" si="71"/>
        <v>845.95749237135647</v>
      </c>
      <c r="DT78" s="59">
        <f ca="1">AVERAGE(OFFSET($DS$3,0,0,'Données projet'!$E$14+1,1))-AVERAGE(OFFSET($H$3,0,0,'Données projet'!$E$14+1,1))</f>
        <v>475.47920969424894</v>
      </c>
      <c r="DU78" s="59">
        <f t="shared" si="98"/>
        <v>271.73544012419364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252</v>
      </c>
      <c r="EH78" s="12">
        <f>VLOOKUP(A78,'Données projet'!$A$191:$I$211,9,0)</f>
        <v>6.2</v>
      </c>
      <c r="EI78" s="12">
        <f t="array" ref="EI78">INDEX(EH:EH,MIN(IF(ISNUMBER(EH78:EH274),ROW(EH78:EH274),"")))</f>
        <v>6.2</v>
      </c>
      <c r="EJ78" s="12">
        <f>IF('Données projet'!$A$192&gt;35,EJ77+EI78-ER77,IF(A78&lt;'Données projet'!$A$192,$EG$205^A78,IF(A78='Données projet'!$A$192,'Données projet'!$B$192,EJ77+EI78-ER77)))</f>
        <v>251.99999999999989</v>
      </c>
      <c r="EK78" s="17">
        <f>EJ78*VLOOKUP('Données projet'!$B$15,Paramètres!$A$1:$I$89,3,0)*VLOOKUP('Données projet'!$B$15,Paramètres!$A$1:$I$89,5,0)</f>
        <v>228.00959999999986</v>
      </c>
      <c r="EL78" s="13">
        <f t="shared" si="99"/>
        <v>55.852093054619779</v>
      </c>
      <c r="EM78" s="20">
        <f t="shared" si="73"/>
        <v>494.39244873679587</v>
      </c>
      <c r="EN78" s="59">
        <f t="shared" si="74"/>
        <v>787.72578207012918</v>
      </c>
      <c r="EO78" s="59">
        <f ca="1">AVERAGE(OFFSET($EN$3,0,0,'Données projet'!$E$15+1,1))-AVERAGE(OFFSET($H$3,0,0,'Données projet'!$E$15+1,1))</f>
        <v>428.8489304403459</v>
      </c>
      <c r="EP78" s="59">
        <f t="shared" si="100"/>
        <v>247.01165577562966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>
        <f>FE78*VLOOKUP('Données projet'!$B$16,Paramètres!$A$1:$I$89,3,0)*VLOOKUP('Données projet'!$B$16,Paramètres!$A$1:$I$89,5,0)</f>
        <v>0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245.25496369542458</v>
      </c>
      <c r="FK78" s="59">
        <f t="shared" si="102"/>
        <v>342.30266518164211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0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 t="e">
        <f>N79*VLOOKUP('Données projet'!$B$9,Paramètres!$A$1:$I$89,3,0)*VLOOKUP('Données projet'!$B$9,Paramètres!$A$1:$I$89,5,0)</f>
        <v>#N/A</v>
      </c>
      <c r="P79" s="13" t="e">
        <f t="shared" si="87"/>
        <v>#N/A</v>
      </c>
      <c r="Q79" s="20" t="e">
        <f t="shared" si="54"/>
        <v>#N/A</v>
      </c>
      <c r="R79" s="59" t="e">
        <f t="shared" si="55"/>
        <v>#N/A</v>
      </c>
      <c r="S79" s="59" t="e">
        <f ca="1">AVERAGE(OFFSET($R$3,0,0,'Données projet'!$E$9+1,1))-AVERAGE(OFFSET($H$3,0,0,'Données projet'!$E$9+1,1))</f>
        <v>#N/A</v>
      </c>
      <c r="T79" s="59" t="e">
        <f t="shared" si="88"/>
        <v>#N/A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 t="e">
        <f>EXP(-LN(2)/35)*Z78+(1-EXP(-LN(2)/35))/(LN(2)/35)*V79*W79*VLOOKUP('Données projet'!$B$9,Paramètres!$A$1:$I$89,3,0)*0.475*44/12</f>
        <v>#N/A</v>
      </c>
      <c r="AA79" s="21" t="e">
        <f>EXP(-LN(2)/25)*AA78+(1-EXP(-LN(2)/25))/(LN(2)/25)*Calculateur!V79*Calculateur!X79*VLOOKUP('Données projet'!$B$9,Paramètres!$A$1:$I$89,3,0)*0.475*44/12</f>
        <v>#N/A</v>
      </c>
      <c r="AB79" s="21" t="e">
        <f>EXP(-LN(2)/2)*AB78+(1-EXP(-LN(2)/2))/(LN(2)/2)*V79*Y79*VLOOKUP('Données projet'!$B$9,Paramètres!$A$1:$I$89,3,0)*0.475*44/12</f>
        <v>#N/A</v>
      </c>
      <c r="AC79" s="22" t="e">
        <f t="shared" si="57"/>
        <v>#N/A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</v>
      </c>
      <c r="AI79" s="13">
        <f>IF('Données projet'!$A$62&gt;35,AI78+AH79-AQ78,IF(A79&lt;'Données projet'!$A$62,$AF$205^A79,IF(A79='Données projet'!$A$62,'Données projet'!$B$62,AI78+AH79-AQ78)))</f>
        <v>263.99999999999983</v>
      </c>
      <c r="AJ79" s="13">
        <f>AI79*VLOOKUP('Données projet'!$B$10,Paramètres!$A$1:$I$89,3,0)*VLOOKUP('Données projet'!$B$10,Paramètres!$A$1:$I$89,5,0)</f>
        <v>230.63039999999987</v>
      </c>
      <c r="AK79" s="13">
        <f t="shared" si="89"/>
        <v>56.418967028503204</v>
      </c>
      <c r="AL79" s="20">
        <f t="shared" si="58"/>
        <v>499.94431424130948</v>
      </c>
      <c r="AM79" s="59">
        <f t="shared" si="59"/>
        <v>793.27764757464274</v>
      </c>
      <c r="AN79" s="59">
        <f ca="1">AVERAGE(OFFSET($AM$3,0,0,'Données projet'!$E$10+1,1))-AVERAGE(OFFSET($H$3,0,0,'Données projet'!$E$10+1,1))</f>
        <v>338.55719679154777</v>
      </c>
      <c r="AO79" s="59">
        <f t="shared" si="90"/>
        <v>371.26234252426531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3.8461538461538511</v>
      </c>
      <c r="BD79" s="12">
        <f>IF('Données projet'!$A$88&gt;35,BD78+BC79-BL78,IF(A79&lt;'Données projet'!$A$88,$BA$205^A79,IF(A79='Données projet'!$A$88,'Données projet'!$B$88,BD78+BC79-BL78)))</f>
        <v>191.02564102564094</v>
      </c>
      <c r="BE79" s="13">
        <f>BD79*VLOOKUP('Données projet'!$B$11,Paramètres!$A$1:$I$89,3,0)*VLOOKUP('Données projet'!$B$11,Paramètres!$A$1:$I$89,5,0)</f>
        <v>181.77999999999992</v>
      </c>
      <c r="BF79" s="13">
        <f t="shared" si="91"/>
        <v>45.717976285292259</v>
      </c>
      <c r="BG79" s="20">
        <f t="shared" si="61"/>
        <v>396.22564203021716</v>
      </c>
      <c r="BH79" s="59">
        <f t="shared" si="62"/>
        <v>689.55897536355042</v>
      </c>
      <c r="BI79" s="59">
        <f ca="1">AVERAGE(OFFSET($BH$3,0,0,'Données projet'!$E$11+1,1))-AVERAGE(OFFSET($H$3,0,0,'Données projet'!$E$11+1,1))</f>
        <v>351.6178679548006</v>
      </c>
      <c r="BJ79" s="59">
        <f t="shared" si="92"/>
        <v>244.7141066773861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8.9724358974358953</v>
      </c>
      <c r="BY79" s="12">
        <f>IF('Données projet'!$A$114&gt;35,BY78+BX79-CG78,IF(A79&lt;'Données projet'!$A$114,$BV$205^A79,IF(A79='Données projet'!$A$114,'Données projet'!$B$114,BY78+BX79-CG78)))</f>
        <v>284.38012820512836</v>
      </c>
      <c r="BZ79" s="13">
        <f>BY79*VLOOKUP('Données projet'!$B$12,Paramètres!$A$1:$I$89,3,0)*VLOOKUP('Données projet'!$B$12,Paramètres!$A$1:$I$89,5,0)</f>
        <v>133.08990000000006</v>
      </c>
      <c r="CA79" s="13">
        <f t="shared" si="93"/>
        <v>34.70936545524836</v>
      </c>
      <c r="CB79" s="20">
        <f t="shared" si="64"/>
        <v>292.25038733455762</v>
      </c>
      <c r="CC79" s="59">
        <f t="shared" si="65"/>
        <v>585.58372066789093</v>
      </c>
      <c r="CD79" s="59">
        <f ca="1">AVERAGE(OFFSET($CC$3,0,0,'Données projet'!$E$12+1,1))-AVERAGE(OFFSET($H$3,0,0,'Données projet'!$E$12+1,1))</f>
        <v>246.66630850723385</v>
      </c>
      <c r="CE79" s="59">
        <f t="shared" si="94"/>
        <v>145.34368562171613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1.1368683772161603E-13</v>
      </c>
      <c r="CU79" s="17">
        <f>CT79*VLOOKUP('Données projet'!$B$13,Paramètres!$A$1:$I$89,3,0)*VLOOKUP('Données projet'!$B$13,Paramètres!$A$1:$I$89,5,0)</f>
        <v>8.8675733422860506E-14</v>
      </c>
      <c r="CV79" s="13">
        <f t="shared" si="95"/>
        <v>1.3509285393066301E-12</v>
      </c>
      <c r="CW79" s="20">
        <f t="shared" si="67"/>
        <v>2.5073107750038623E-12</v>
      </c>
      <c r="CX79" s="59">
        <f t="shared" si="68"/>
        <v>293.33333333333582</v>
      </c>
      <c r="CY79" s="59">
        <f ca="1">AVERAGE(OFFSET($CX$3,0,0,'Données projet'!$E$13+1,1))-AVERAGE(OFFSET($H$3,0,0,'Données projet'!$E$13+1,1))</f>
        <v>292.57482726862594</v>
      </c>
      <c r="CZ79" s="59">
        <f t="shared" si="96"/>
        <v>283.48738729114024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</v>
      </c>
      <c r="DO79" s="12">
        <f>IF('Données projet'!$A$166&gt;35,DO78+DN79-DW78,IF(A79&lt;'Données projet'!$A$166,$DL$205^A79,IF(A79='Données projet'!$A$166,'Données projet'!$B$166,DO78+DN79-DW78)))</f>
        <v>257.99999999999989</v>
      </c>
      <c r="DP79" s="17">
        <f>DO79*VLOOKUP('Données projet'!$B$14,Paramètres!$A$1:$I$89,3,0)*VLOOKUP('Données projet'!$B$14,Paramètres!$A$1:$I$89,5,0)</f>
        <v>261.61199999999991</v>
      </c>
      <c r="DQ79" s="13">
        <f t="shared" si="97"/>
        <v>63.065867509496442</v>
      </c>
      <c r="DR79" s="20">
        <f t="shared" si="70"/>
        <v>565.48061924570618</v>
      </c>
      <c r="DS79" s="59">
        <f t="shared" si="71"/>
        <v>858.81395257903955</v>
      </c>
      <c r="DT79" s="59">
        <f ca="1">AVERAGE(OFFSET($DS$3,0,0,'Données projet'!$E$14+1,1))-AVERAGE(OFFSET($H$3,0,0,'Données projet'!$E$14+1,1))</f>
        <v>475.47920969424894</v>
      </c>
      <c r="DU79" s="59">
        <f t="shared" si="98"/>
        <v>271.73544012419364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6</v>
      </c>
      <c r="EJ79" s="12">
        <f>IF('Données projet'!$A$192&gt;35,EJ78+EI79-ER78,IF(A79&lt;'Données projet'!$A$192,$EG$205^A79,IF(A79='Données projet'!$A$192,'Données projet'!$B$192,EJ78+EI79-ER78)))</f>
        <v>257.99999999999989</v>
      </c>
      <c r="EK79" s="17">
        <f>EJ79*VLOOKUP('Données projet'!$B$15,Paramètres!$A$1:$I$89,3,0)*VLOOKUP('Données projet'!$B$15,Paramètres!$A$1:$I$89,5,0)</f>
        <v>233.43839999999989</v>
      </c>
      <c r="EL79" s="13">
        <f t="shared" si="99"/>
        <v>57.025500710931624</v>
      </c>
      <c r="EM79" s="20">
        <f t="shared" si="73"/>
        <v>505.89129373820577</v>
      </c>
      <c r="EN79" s="59">
        <f t="shared" si="74"/>
        <v>799.22462707153909</v>
      </c>
      <c r="EO79" s="59">
        <f ca="1">AVERAGE(OFFSET($EN$3,0,0,'Données projet'!$E$15+1,1))-AVERAGE(OFFSET($H$3,0,0,'Données projet'!$E$15+1,1))</f>
        <v>428.8489304403459</v>
      </c>
      <c r="EP79" s="59">
        <f t="shared" si="100"/>
        <v>247.01165577562966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>
        <f>FE79*VLOOKUP('Données projet'!$B$16,Paramètres!$A$1:$I$89,3,0)*VLOOKUP('Données projet'!$B$16,Paramètres!$A$1:$I$89,5,0)</f>
        <v>0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245.25496369542458</v>
      </c>
      <c r="FK79" s="59">
        <f t="shared" si="102"/>
        <v>342.30266518164211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0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 t="e">
        <f>N80*VLOOKUP('Données projet'!$B$9,Paramètres!$A$1:$I$89,3,0)*VLOOKUP('Données projet'!$B$9,Paramètres!$A$1:$I$89,5,0)</f>
        <v>#N/A</v>
      </c>
      <c r="P80" s="13" t="e">
        <f t="shared" si="87"/>
        <v>#N/A</v>
      </c>
      <c r="Q80" s="20" t="e">
        <f t="shared" si="54"/>
        <v>#N/A</v>
      </c>
      <c r="R80" s="59" t="e">
        <f t="shared" si="55"/>
        <v>#N/A</v>
      </c>
      <c r="S80" s="59" t="e">
        <f ca="1">AVERAGE(OFFSET($R$3,0,0,'Données projet'!$E$9+1,1))-AVERAGE(OFFSET($H$3,0,0,'Données projet'!$E$9+1,1))</f>
        <v>#N/A</v>
      </c>
      <c r="T80" s="59" t="e">
        <f t="shared" si="88"/>
        <v>#N/A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 t="e">
        <f>EXP(-LN(2)/35)*Z79+(1-EXP(-LN(2)/35))/(LN(2)/35)*V80*W80*VLOOKUP('Données projet'!$B$9,Paramètres!$A$1:$I$89,3,0)*0.475*44/12</f>
        <v>#N/A</v>
      </c>
      <c r="AA80" s="21" t="e">
        <f>EXP(-LN(2)/25)*AA79+(1-EXP(-LN(2)/25))/(LN(2)/25)*Calculateur!V80*Calculateur!X80*VLOOKUP('Données projet'!$B$9,Paramètres!$A$1:$I$89,3,0)*0.475*44/12</f>
        <v>#N/A</v>
      </c>
      <c r="AB80" s="21" t="e">
        <f>EXP(-LN(2)/2)*AB79+(1-EXP(-LN(2)/2))/(LN(2)/2)*V80*Y80*VLOOKUP('Données projet'!$B$9,Paramètres!$A$1:$I$89,3,0)*0.475*44/12</f>
        <v>#N/A</v>
      </c>
      <c r="AC80" s="22" t="e">
        <f t="shared" si="57"/>
        <v>#N/A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</v>
      </c>
      <c r="AI80" s="13">
        <f>IF('Données projet'!$A$62&gt;35,AI79+AH80-AQ79,IF(A80&lt;'Données projet'!$A$62,$AF$205^A80,IF(A80='Données projet'!$A$62,'Données projet'!$B$62,AI79+AH80-AQ79)))</f>
        <v>266.99999999999983</v>
      </c>
      <c r="AJ80" s="13">
        <f>AI80*VLOOKUP('Données projet'!$B$10,Paramètres!$A$1:$I$89,3,0)*VLOOKUP('Données projet'!$B$10,Paramètres!$A$1:$I$89,5,0)</f>
        <v>233.2511999999999</v>
      </c>
      <c r="AK80" s="13">
        <f t="shared" si="89"/>
        <v>56.985091661350864</v>
      </c>
      <c r="AL80" s="20">
        <f t="shared" si="58"/>
        <v>505.49487464351915</v>
      </c>
      <c r="AM80" s="59">
        <f t="shared" si="59"/>
        <v>798.82820797685247</v>
      </c>
      <c r="AN80" s="59">
        <f ca="1">AVERAGE(OFFSET($AM$3,0,0,'Données projet'!$E$10+1,1))-AVERAGE(OFFSET($H$3,0,0,'Données projet'!$E$10+1,1))</f>
        <v>338.55719679154777</v>
      </c>
      <c r="AO80" s="59">
        <f t="shared" si="90"/>
        <v>371.26234252426531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3.8461538461538511</v>
      </c>
      <c r="BD80" s="12">
        <f>IF('Données projet'!$A$88&gt;35,BD79+BC80-BL79,IF(A80&lt;'Données projet'!$A$88,$BA$205^A80,IF(A80='Données projet'!$A$88,'Données projet'!$B$88,BD79+BC80-BL79)))</f>
        <v>194.87179487179478</v>
      </c>
      <c r="BE80" s="13">
        <f>BD80*VLOOKUP('Données projet'!$B$11,Paramètres!$A$1:$I$89,3,0)*VLOOKUP('Données projet'!$B$11,Paramètres!$A$1:$I$89,5,0)</f>
        <v>185.43999999999991</v>
      </c>
      <c r="BF80" s="13">
        <f t="shared" si="91"/>
        <v>46.530380670487169</v>
      </c>
      <c r="BG80" s="20">
        <f t="shared" si="61"/>
        <v>404.01507966776506</v>
      </c>
      <c r="BH80" s="59">
        <f t="shared" si="62"/>
        <v>697.34841300109838</v>
      </c>
      <c r="BI80" s="59">
        <f ca="1">AVERAGE(OFFSET($BH$3,0,0,'Données projet'!$E$11+1,1))-AVERAGE(OFFSET($H$3,0,0,'Données projet'!$E$11+1,1))</f>
        <v>351.6178679548006</v>
      </c>
      <c r="BJ80" s="59">
        <f t="shared" si="92"/>
        <v>244.7141066773861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8.9724358974358953</v>
      </c>
      <c r="BY80" s="12">
        <f>IF('Données projet'!$A$114&gt;35,BY79+BX80-CG79,IF(A80&lt;'Données projet'!$A$114,$BV$205^A80,IF(A80='Données projet'!$A$114,'Données projet'!$B$114,BY79+BX80-CG79)))</f>
        <v>293.35256410256426</v>
      </c>
      <c r="BZ80" s="13">
        <f>BY80*VLOOKUP('Données projet'!$B$12,Paramètres!$A$1:$I$89,3,0)*VLOOKUP('Données projet'!$B$12,Paramètres!$A$1:$I$89,5,0)</f>
        <v>137.28900000000007</v>
      </c>
      <c r="CA80" s="13">
        <f t="shared" si="93"/>
        <v>35.675248441548796</v>
      </c>
      <c r="CB80" s="20">
        <f t="shared" si="64"/>
        <v>301.24606603569759</v>
      </c>
      <c r="CC80" s="59">
        <f t="shared" si="65"/>
        <v>594.57939936903085</v>
      </c>
      <c r="CD80" s="59">
        <f ca="1">AVERAGE(OFFSET($CC$3,0,0,'Données projet'!$E$12+1,1))-AVERAGE(OFFSET($H$3,0,0,'Données projet'!$E$12+1,1))</f>
        <v>246.66630850723385</v>
      </c>
      <c r="CE80" s="59">
        <f t="shared" si="94"/>
        <v>145.34368562171613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1.1368683772161603E-13</v>
      </c>
      <c r="CU80" s="17">
        <f>CT80*VLOOKUP('Données projet'!$B$13,Paramètres!$A$1:$I$89,3,0)*VLOOKUP('Données projet'!$B$13,Paramètres!$A$1:$I$89,5,0)</f>
        <v>8.8675733422860506E-14</v>
      </c>
      <c r="CV80" s="13">
        <f t="shared" si="95"/>
        <v>1.3509285393066301E-12</v>
      </c>
      <c r="CW80" s="20">
        <f t="shared" si="67"/>
        <v>2.5073107750038623E-12</v>
      </c>
      <c r="CX80" s="59">
        <f t="shared" si="68"/>
        <v>293.33333333333582</v>
      </c>
      <c r="CY80" s="59">
        <f ca="1">AVERAGE(OFFSET($CX$3,0,0,'Données projet'!$E$13+1,1))-AVERAGE(OFFSET($H$3,0,0,'Données projet'!$E$13+1,1))</f>
        <v>292.57482726862594</v>
      </c>
      <c r="CZ80" s="59">
        <f t="shared" si="96"/>
        <v>283.48738729114024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6</v>
      </c>
      <c r="DO80" s="12">
        <f>IF('Données projet'!$A$166&gt;35,DO79+DN80-DW79,IF(A80&lt;'Données projet'!$A$166,$DL$205^A80,IF(A80='Données projet'!$A$166,'Données projet'!$B$166,DO79+DN80-DW79)))</f>
        <v>263.99999999999989</v>
      </c>
      <c r="DP80" s="17">
        <f>DO80*VLOOKUP('Données projet'!$B$14,Paramètres!$A$1:$I$89,3,0)*VLOOKUP('Données projet'!$B$14,Paramètres!$A$1:$I$89,5,0)</f>
        <v>267.69599999999991</v>
      </c>
      <c r="DQ80" s="13">
        <f t="shared" si="97"/>
        <v>64.360058723585439</v>
      </c>
      <c r="DR80" s="20">
        <f t="shared" si="70"/>
        <v>578.33096894357777</v>
      </c>
      <c r="DS80" s="59">
        <f t="shared" si="71"/>
        <v>871.66430227691103</v>
      </c>
      <c r="DT80" s="59">
        <f ca="1">AVERAGE(OFFSET($DS$3,0,0,'Données projet'!$E$14+1,1))-AVERAGE(OFFSET($H$3,0,0,'Données projet'!$E$14+1,1))</f>
        <v>475.47920969424894</v>
      </c>
      <c r="DU80" s="59">
        <f t="shared" si="98"/>
        <v>271.73544012419364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6</v>
      </c>
      <c r="EJ80" s="12">
        <f>IF('Données projet'!$A$192&gt;35,EJ79+EI80-ER79,IF(A80&lt;'Données projet'!$A$192,$EG$205^A80,IF(A80='Données projet'!$A$192,'Données projet'!$B$192,EJ79+EI80-ER79)))</f>
        <v>263.99999999999989</v>
      </c>
      <c r="EK80" s="17">
        <f>EJ80*VLOOKUP('Données projet'!$B$15,Paramètres!$A$1:$I$89,3,0)*VLOOKUP('Données projet'!$B$15,Paramètres!$A$1:$I$89,5,0)</f>
        <v>238.86719999999988</v>
      </c>
      <c r="EL80" s="13">
        <f t="shared" si="99"/>
        <v>58.195735973104156</v>
      </c>
      <c r="EM80" s="20">
        <f t="shared" si="73"/>
        <v>517.38461348648957</v>
      </c>
      <c r="EN80" s="59">
        <f t="shared" si="74"/>
        <v>810.71794681982283</v>
      </c>
      <c r="EO80" s="59">
        <f ca="1">AVERAGE(OFFSET($EN$3,0,0,'Données projet'!$E$15+1,1))-AVERAGE(OFFSET($H$3,0,0,'Données projet'!$E$15+1,1))</f>
        <v>428.8489304403459</v>
      </c>
      <c r="EP80" s="59">
        <f t="shared" si="100"/>
        <v>247.01165577562966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>
        <f>FE80*VLOOKUP('Données projet'!$B$16,Paramètres!$A$1:$I$89,3,0)*VLOOKUP('Données projet'!$B$16,Paramètres!$A$1:$I$89,5,0)</f>
        <v>0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245.25496369542458</v>
      </c>
      <c r="FK80" s="59">
        <f t="shared" si="102"/>
        <v>342.30266518164211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0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 t="e">
        <f>N81*VLOOKUP('Données projet'!$B$9,Paramètres!$A$1:$I$89,3,0)*VLOOKUP('Données projet'!$B$9,Paramètres!$A$1:$I$89,5,0)</f>
        <v>#N/A</v>
      </c>
      <c r="P81" s="13" t="e">
        <f t="shared" si="87"/>
        <v>#N/A</v>
      </c>
      <c r="Q81" s="20" t="e">
        <f t="shared" si="54"/>
        <v>#N/A</v>
      </c>
      <c r="R81" s="59" t="e">
        <f t="shared" si="55"/>
        <v>#N/A</v>
      </c>
      <c r="S81" s="59" t="e">
        <f ca="1">AVERAGE(OFFSET($R$3,0,0,'Données projet'!$E$9+1,1))-AVERAGE(OFFSET($H$3,0,0,'Données projet'!$E$9+1,1))</f>
        <v>#N/A</v>
      </c>
      <c r="T81" s="59" t="e">
        <f t="shared" si="88"/>
        <v>#N/A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 t="e">
        <f>EXP(-LN(2)/35)*Z80+(1-EXP(-LN(2)/35))/(LN(2)/35)*V81*W81*VLOOKUP('Données projet'!$B$9,Paramètres!$A$1:$I$89,3,0)*0.475*44/12</f>
        <v>#N/A</v>
      </c>
      <c r="AA81" s="21" t="e">
        <f>EXP(-LN(2)/25)*AA80+(1-EXP(-LN(2)/25))/(LN(2)/25)*Calculateur!V81*Calculateur!X81*VLOOKUP('Données projet'!$B$9,Paramètres!$A$1:$I$89,3,0)*0.475*44/12</f>
        <v>#N/A</v>
      </c>
      <c r="AB81" s="21" t="e">
        <f>EXP(-LN(2)/2)*AB80+(1-EXP(-LN(2)/2))/(LN(2)/2)*V81*Y81*VLOOKUP('Données projet'!$B$9,Paramètres!$A$1:$I$89,3,0)*0.475*44/12</f>
        <v>#N/A</v>
      </c>
      <c r="AC81" s="22" t="e">
        <f t="shared" si="57"/>
        <v>#N/A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</v>
      </c>
      <c r="AI81" s="13">
        <f>IF('Données projet'!$A$62&gt;35,AI80+AH81-AQ80,IF(A81&lt;'Données projet'!$A$62,$AF$205^A81,IF(A81='Données projet'!$A$62,'Données projet'!$B$62,AI80+AH81-AQ80)))</f>
        <v>269.99999999999983</v>
      </c>
      <c r="AJ81" s="13">
        <f>AI81*VLOOKUP('Données projet'!$B$10,Paramètres!$A$1:$I$89,3,0)*VLOOKUP('Données projet'!$B$10,Paramètres!$A$1:$I$89,5,0)</f>
        <v>235.8719999999999</v>
      </c>
      <c r="AK81" s="13">
        <f t="shared" si="89"/>
        <v>57.550476347015277</v>
      </c>
      <c r="AL81" s="20">
        <f t="shared" si="58"/>
        <v>511.04414630438481</v>
      </c>
      <c r="AM81" s="59">
        <f t="shared" si="59"/>
        <v>804.37747963771812</v>
      </c>
      <c r="AN81" s="59">
        <f ca="1">AVERAGE(OFFSET($AM$3,0,0,'Données projet'!$E$10+1,1))-AVERAGE(OFFSET($H$3,0,0,'Données projet'!$E$10+1,1))</f>
        <v>338.55719679154777</v>
      </c>
      <c r="AO81" s="59">
        <f t="shared" si="90"/>
        <v>371.26234252426531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3.8461538461538511</v>
      </c>
      <c r="BD81" s="12">
        <f>IF('Données projet'!$A$88&gt;35,BD80+BC81-BL80,IF(A81&lt;'Données projet'!$A$88,$BA$205^A81,IF(A81='Données projet'!$A$88,'Données projet'!$B$88,BD80+BC81-BL80)))</f>
        <v>198.71794871794862</v>
      </c>
      <c r="BE81" s="13">
        <f>BD81*VLOOKUP('Données projet'!$B$11,Paramètres!$A$1:$I$89,3,0)*VLOOKUP('Données projet'!$B$11,Paramètres!$A$1:$I$89,5,0)</f>
        <v>189.09999999999991</v>
      </c>
      <c r="BF81" s="13">
        <f t="shared" si="91"/>
        <v>47.340920677804583</v>
      </c>
      <c r="BG81" s="20">
        <f t="shared" si="61"/>
        <v>411.80127018050945</v>
      </c>
      <c r="BH81" s="59">
        <f t="shared" si="62"/>
        <v>705.13460351384276</v>
      </c>
      <c r="BI81" s="59">
        <f ca="1">AVERAGE(OFFSET($BH$3,0,0,'Données projet'!$E$11+1,1))-AVERAGE(OFFSET($H$3,0,0,'Données projet'!$E$11+1,1))</f>
        <v>351.6178679548006</v>
      </c>
      <c r="BJ81" s="59">
        <f t="shared" si="92"/>
        <v>244.7141066773861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8.9724358974358953</v>
      </c>
      <c r="BY81" s="12">
        <f>IF('Données projet'!$A$114&gt;35,BY80+BX81-CG80,IF(A81&lt;'Données projet'!$A$114,$BV$205^A81,IF(A81='Données projet'!$A$114,'Données projet'!$B$114,BY80+BX81-CG80)))</f>
        <v>302.32500000000016</v>
      </c>
      <c r="BZ81" s="13">
        <f>BY81*VLOOKUP('Données projet'!$B$12,Paramètres!$A$1:$I$89,3,0)*VLOOKUP('Données projet'!$B$12,Paramètres!$A$1:$I$89,5,0)</f>
        <v>141.48810000000009</v>
      </c>
      <c r="CA81" s="13">
        <f t="shared" si="93"/>
        <v>36.637698247133386</v>
      </c>
      <c r="CB81" s="20">
        <f t="shared" si="64"/>
        <v>310.23576528042412</v>
      </c>
      <c r="CC81" s="59">
        <f t="shared" si="65"/>
        <v>603.56909861375743</v>
      </c>
      <c r="CD81" s="59">
        <f ca="1">AVERAGE(OFFSET($CC$3,0,0,'Données projet'!$E$12+1,1))-AVERAGE(OFFSET($H$3,0,0,'Données projet'!$E$12+1,1))</f>
        <v>246.66630850723385</v>
      </c>
      <c r="CE81" s="59">
        <f t="shared" si="94"/>
        <v>145.34368562171613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1.1368683772161603E-13</v>
      </c>
      <c r="CU81" s="17">
        <f>CT81*VLOOKUP('Données projet'!$B$13,Paramètres!$A$1:$I$89,3,0)*VLOOKUP('Données projet'!$B$13,Paramètres!$A$1:$I$89,5,0)</f>
        <v>8.8675733422860506E-14</v>
      </c>
      <c r="CV81" s="13">
        <f t="shared" si="95"/>
        <v>1.3509285393066301E-12</v>
      </c>
      <c r="CW81" s="20">
        <f t="shared" si="67"/>
        <v>2.5073107750038623E-12</v>
      </c>
      <c r="CX81" s="59">
        <f t="shared" si="68"/>
        <v>293.33333333333582</v>
      </c>
      <c r="CY81" s="59">
        <f ca="1">AVERAGE(OFFSET($CX$3,0,0,'Données projet'!$E$13+1,1))-AVERAGE(OFFSET($H$3,0,0,'Données projet'!$E$13+1,1))</f>
        <v>292.57482726862594</v>
      </c>
      <c r="CZ81" s="59">
        <f t="shared" si="96"/>
        <v>283.48738729114024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</v>
      </c>
      <c r="DO81" s="12">
        <f>IF('Données projet'!$A$166&gt;35,DO80+DN81-DW80,IF(A81&lt;'Données projet'!$A$166,$DL$205^A81,IF(A81='Données projet'!$A$166,'Données projet'!$B$166,DO80+DN81-DW80)))</f>
        <v>269.99999999999989</v>
      </c>
      <c r="DP81" s="17">
        <f>DO81*VLOOKUP('Données projet'!$B$14,Paramètres!$A$1:$I$89,3,0)*VLOOKUP('Données projet'!$B$14,Paramètres!$A$1:$I$89,5,0)</f>
        <v>273.77999999999992</v>
      </c>
      <c r="DQ81" s="13">
        <f t="shared" si="97"/>
        <v>65.650830427167435</v>
      </c>
      <c r="DR81" s="20">
        <f t="shared" si="70"/>
        <v>591.17536299398307</v>
      </c>
      <c r="DS81" s="59">
        <f t="shared" si="71"/>
        <v>884.50869632731633</v>
      </c>
      <c r="DT81" s="59">
        <f ca="1">AVERAGE(OFFSET($DS$3,0,0,'Données projet'!$E$14+1,1))-AVERAGE(OFFSET($H$3,0,0,'Données projet'!$E$14+1,1))</f>
        <v>475.47920969424894</v>
      </c>
      <c r="DU81" s="59">
        <f t="shared" si="98"/>
        <v>271.73544012419364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6</v>
      </c>
      <c r="EJ81" s="12">
        <f>IF('Données projet'!$A$192&gt;35,EJ80+EI81-ER80,IF(A81&lt;'Données projet'!$A$192,$EG$205^A81,IF(A81='Données projet'!$A$192,'Données projet'!$B$192,EJ80+EI81-ER80)))</f>
        <v>269.99999999999989</v>
      </c>
      <c r="EK81" s="17">
        <f>EJ81*VLOOKUP('Données projet'!$B$15,Paramètres!$A$1:$I$89,3,0)*VLOOKUP('Données projet'!$B$15,Paramètres!$A$1:$I$89,5,0)</f>
        <v>244.29599999999991</v>
      </c>
      <c r="EL81" s="13">
        <f t="shared" si="99"/>
        <v>59.362879241040318</v>
      </c>
      <c r="EM81" s="20">
        <f t="shared" si="73"/>
        <v>528.87254801147833</v>
      </c>
      <c r="EN81" s="59">
        <f t="shared" si="74"/>
        <v>822.20588134481159</v>
      </c>
      <c r="EO81" s="59">
        <f ca="1">AVERAGE(OFFSET($EN$3,0,0,'Données projet'!$E$15+1,1))-AVERAGE(OFFSET($H$3,0,0,'Données projet'!$E$15+1,1))</f>
        <v>428.8489304403459</v>
      </c>
      <c r="EP81" s="59">
        <f t="shared" si="100"/>
        <v>247.01165577562966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>
        <f>FE81*VLOOKUP('Données projet'!$B$16,Paramètres!$A$1:$I$89,3,0)*VLOOKUP('Données projet'!$B$16,Paramètres!$A$1:$I$89,5,0)</f>
        <v>0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245.25496369542458</v>
      </c>
      <c r="FK81" s="59">
        <f t="shared" si="102"/>
        <v>342.30266518164211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0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 t="e">
        <f>N82*VLOOKUP('Données projet'!$B$9,Paramètres!$A$1:$I$89,3,0)*VLOOKUP('Données projet'!$B$9,Paramètres!$A$1:$I$89,5,0)</f>
        <v>#N/A</v>
      </c>
      <c r="P82" s="13" t="e">
        <f t="shared" si="87"/>
        <v>#N/A</v>
      </c>
      <c r="Q82" s="20" t="e">
        <f t="shared" si="54"/>
        <v>#N/A</v>
      </c>
      <c r="R82" s="59" t="e">
        <f t="shared" si="55"/>
        <v>#N/A</v>
      </c>
      <c r="S82" s="59" t="e">
        <f ca="1">AVERAGE(OFFSET($R$3,0,0,'Données projet'!$E$9+1,1))-AVERAGE(OFFSET($H$3,0,0,'Données projet'!$E$9+1,1))</f>
        <v>#N/A</v>
      </c>
      <c r="T82" s="59" t="e">
        <f t="shared" si="88"/>
        <v>#N/A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 t="e">
        <f>EXP(-LN(2)/35)*Z81+(1-EXP(-LN(2)/35))/(LN(2)/35)*V82*W82*VLOOKUP('Données projet'!$B$9,Paramètres!$A$1:$I$89,3,0)*0.475*44/12</f>
        <v>#N/A</v>
      </c>
      <c r="AA82" s="21" t="e">
        <f>EXP(-LN(2)/25)*AA81+(1-EXP(-LN(2)/25))/(LN(2)/25)*Calculateur!V82*Calculateur!X82*VLOOKUP('Données projet'!$B$9,Paramètres!$A$1:$I$89,3,0)*0.475*44/12</f>
        <v>#N/A</v>
      </c>
      <c r="AB82" s="21" t="e">
        <f>EXP(-LN(2)/2)*AB81+(1-EXP(-LN(2)/2))/(LN(2)/2)*V82*Y82*VLOOKUP('Données projet'!$B$9,Paramètres!$A$1:$I$89,3,0)*0.475*44/12</f>
        <v>#N/A</v>
      </c>
      <c r="AC82" s="22" t="e">
        <f t="shared" si="57"/>
        <v>#N/A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</v>
      </c>
      <c r="AI82" s="13">
        <f>IF('Données projet'!$A$62&gt;35,AI81+AH82-AQ81,IF(A82&lt;'Données projet'!$A$62,$AF$205^A82,IF(A82='Données projet'!$A$62,'Données projet'!$B$62,AI81+AH82-AQ81)))</f>
        <v>272.99999999999983</v>
      </c>
      <c r="AJ82" s="13">
        <f>AI82*VLOOKUP('Données projet'!$B$10,Paramètres!$A$1:$I$89,3,0)*VLOOKUP('Données projet'!$B$10,Paramètres!$A$1:$I$89,5,0)</f>
        <v>238.49279999999987</v>
      </c>
      <c r="AK82" s="13">
        <f t="shared" si="89"/>
        <v>58.115130258576542</v>
      </c>
      <c r="AL82" s="20">
        <f t="shared" si="58"/>
        <v>516.59214520035391</v>
      </c>
      <c r="AM82" s="59">
        <f t="shared" si="59"/>
        <v>809.92547853368728</v>
      </c>
      <c r="AN82" s="59">
        <f ca="1">AVERAGE(OFFSET($AM$3,0,0,'Données projet'!$E$10+1,1))-AVERAGE(OFFSET($H$3,0,0,'Données projet'!$E$10+1,1))</f>
        <v>338.55719679154777</v>
      </c>
      <c r="AO82" s="59">
        <f t="shared" si="90"/>
        <v>371.26234252426531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3.8461538461538511</v>
      </c>
      <c r="BD82" s="12">
        <f>IF('Données projet'!$A$88&gt;35,BD81+BC82-BL81,IF(A82&lt;'Données projet'!$A$88,$BA$205^A82,IF(A82='Données projet'!$A$88,'Données projet'!$B$88,BD81+BC82-BL81)))</f>
        <v>202.56410256410246</v>
      </c>
      <c r="BE82" s="13">
        <f>BD82*VLOOKUP('Données projet'!$B$11,Paramètres!$A$1:$I$89,3,0)*VLOOKUP('Données projet'!$B$11,Paramètres!$A$1:$I$89,5,0)</f>
        <v>192.75999999999991</v>
      </c>
      <c r="BF82" s="13">
        <f t="shared" si="91"/>
        <v>48.149636551965187</v>
      </c>
      <c r="BG82" s="20">
        <f t="shared" si="61"/>
        <v>419.58428366133921</v>
      </c>
      <c r="BH82" s="59">
        <f t="shared" si="62"/>
        <v>712.91761699467247</v>
      </c>
      <c r="BI82" s="59">
        <f ca="1">AVERAGE(OFFSET($BH$3,0,0,'Données projet'!$E$11+1,1))-AVERAGE(OFFSET($H$3,0,0,'Données projet'!$E$11+1,1))</f>
        <v>351.6178679548006</v>
      </c>
      <c r="BJ82" s="59">
        <f t="shared" si="92"/>
        <v>244.7141066773861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8.9724358974358953</v>
      </c>
      <c r="BY82" s="12">
        <f>IF('Données projet'!$A$114&gt;35,BY81+BX82-CG81,IF(A82&lt;'Données projet'!$A$114,$BV$205^A82,IF(A82='Données projet'!$A$114,'Données projet'!$B$114,BY81+BX82-CG81)))</f>
        <v>311.29743589743606</v>
      </c>
      <c r="BZ82" s="13">
        <f>BY82*VLOOKUP('Données projet'!$B$12,Paramètres!$A$1:$I$89,3,0)*VLOOKUP('Données projet'!$B$12,Paramètres!$A$1:$I$89,5,0)</f>
        <v>145.68720000000008</v>
      </c>
      <c r="CA82" s="13">
        <f t="shared" si="93"/>
        <v>37.596828459923472</v>
      </c>
      <c r="CB82" s="20">
        <f t="shared" si="64"/>
        <v>319.21968290103354</v>
      </c>
      <c r="CC82" s="59">
        <f t="shared" si="65"/>
        <v>612.55301623436685</v>
      </c>
      <c r="CD82" s="59">
        <f ca="1">AVERAGE(OFFSET($CC$3,0,0,'Données projet'!$E$12+1,1))-AVERAGE(OFFSET($H$3,0,0,'Données projet'!$E$12+1,1))</f>
        <v>246.66630850723385</v>
      </c>
      <c r="CE82" s="59">
        <f t="shared" si="94"/>
        <v>145.34368562171613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1.1368683772161603E-13</v>
      </c>
      <c r="CU82" s="17">
        <f>CT82*VLOOKUP('Données projet'!$B$13,Paramètres!$A$1:$I$89,3,0)*VLOOKUP('Données projet'!$B$13,Paramètres!$A$1:$I$89,5,0)</f>
        <v>8.8675733422860506E-14</v>
      </c>
      <c r="CV82" s="13">
        <f t="shared" si="95"/>
        <v>1.3509285393066301E-12</v>
      </c>
      <c r="CW82" s="20">
        <f t="shared" si="67"/>
        <v>2.5073107750038623E-12</v>
      </c>
      <c r="CX82" s="59">
        <f t="shared" si="68"/>
        <v>293.33333333333582</v>
      </c>
      <c r="CY82" s="59">
        <f ca="1">AVERAGE(OFFSET($CX$3,0,0,'Données projet'!$E$13+1,1))-AVERAGE(OFFSET($H$3,0,0,'Données projet'!$E$13+1,1))</f>
        <v>292.57482726862594</v>
      </c>
      <c r="CZ82" s="59">
        <f t="shared" si="96"/>
        <v>283.48738729114024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</v>
      </c>
      <c r="DO82" s="12">
        <f>IF('Données projet'!$A$166&gt;35,DO81+DN82-DW81,IF(A82&lt;'Données projet'!$A$166,$DL$205^A82,IF(A82='Données projet'!$A$166,'Données projet'!$B$166,DO81+DN82-DW81)))</f>
        <v>275.99999999999989</v>
      </c>
      <c r="DP82" s="17">
        <f>DO82*VLOOKUP('Données projet'!$B$14,Paramètres!$A$1:$I$89,3,0)*VLOOKUP('Données projet'!$B$14,Paramètres!$A$1:$I$89,5,0)</f>
        <v>279.86399999999986</v>
      </c>
      <c r="DQ82" s="13">
        <f t="shared" si="97"/>
        <v>66.938267358965007</v>
      </c>
      <c r="DR82" s="20">
        <f t="shared" si="70"/>
        <v>604.01394898353044</v>
      </c>
      <c r="DS82" s="59">
        <f t="shared" si="71"/>
        <v>897.34728231686381</v>
      </c>
      <c r="DT82" s="59">
        <f ca="1">AVERAGE(OFFSET($DS$3,0,0,'Données projet'!$E$14+1,1))-AVERAGE(OFFSET($H$3,0,0,'Données projet'!$E$14+1,1))</f>
        <v>475.47920969424894</v>
      </c>
      <c r="DU82" s="59">
        <f t="shared" si="98"/>
        <v>271.73544012419364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6</v>
      </c>
      <c r="EJ82" s="12">
        <f>IF('Données projet'!$A$192&gt;35,EJ81+EI82-ER81,IF(A82&lt;'Données projet'!$A$192,$EG$205^A82,IF(A82='Données projet'!$A$192,'Données projet'!$B$192,EJ81+EI82-ER81)))</f>
        <v>275.99999999999989</v>
      </c>
      <c r="EK82" s="17">
        <f>EJ82*VLOOKUP('Données projet'!$B$15,Paramètres!$A$1:$I$89,3,0)*VLOOKUP('Données projet'!$B$15,Paramètres!$A$1:$I$89,5,0)</f>
        <v>249.7247999999999</v>
      </c>
      <c r="EL82" s="13">
        <f t="shared" si="99"/>
        <v>60.527007137298092</v>
      </c>
      <c r="EM82" s="20">
        <f t="shared" si="73"/>
        <v>540.35523076412733</v>
      </c>
      <c r="EN82" s="59">
        <f t="shared" si="74"/>
        <v>833.68856409746058</v>
      </c>
      <c r="EO82" s="59">
        <f ca="1">AVERAGE(OFFSET($EN$3,0,0,'Données projet'!$E$15+1,1))-AVERAGE(OFFSET($H$3,0,0,'Données projet'!$E$15+1,1))</f>
        <v>428.8489304403459</v>
      </c>
      <c r="EP82" s="59">
        <f t="shared" si="100"/>
        <v>247.01165577562966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>
        <f>FE82*VLOOKUP('Données projet'!$B$16,Paramètres!$A$1:$I$89,3,0)*VLOOKUP('Données projet'!$B$16,Paramètres!$A$1:$I$89,5,0)</f>
        <v>0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245.25496369542458</v>
      </c>
      <c r="FK82" s="59">
        <f t="shared" si="102"/>
        <v>342.30266518164211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0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 t="e">
        <f>N83*VLOOKUP('Données projet'!$B$9,Paramètres!$A$1:$I$89,3,0)*VLOOKUP('Données projet'!$B$9,Paramètres!$A$1:$I$89,5,0)</f>
        <v>#N/A</v>
      </c>
      <c r="P83" s="13" t="e">
        <f t="shared" si="87"/>
        <v>#N/A</v>
      </c>
      <c r="Q83" s="20" t="e">
        <f t="shared" si="54"/>
        <v>#N/A</v>
      </c>
      <c r="R83" s="59" t="e">
        <f t="shared" si="55"/>
        <v>#N/A</v>
      </c>
      <c r="S83" s="59" t="e">
        <f ca="1">AVERAGE(OFFSET($R$3,0,0,'Données projet'!$E$9+1,1))-AVERAGE(OFFSET($H$3,0,0,'Données projet'!$E$9+1,1))</f>
        <v>#N/A</v>
      </c>
      <c r="T83" s="59" t="e">
        <f t="shared" si="88"/>
        <v>#N/A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 t="e">
        <f>EXP(-LN(2)/35)*Z82+(1-EXP(-LN(2)/35))/(LN(2)/35)*V83*W83*VLOOKUP('Données projet'!$B$9,Paramètres!$A$1:$I$89,3,0)*0.475*44/12</f>
        <v>#N/A</v>
      </c>
      <c r="AA83" s="21" t="e">
        <f>EXP(-LN(2)/25)*AA82+(1-EXP(-LN(2)/25))/(LN(2)/25)*Calculateur!V83*Calculateur!X83*VLOOKUP('Données projet'!$B$9,Paramètres!$A$1:$I$89,3,0)*0.475*44/12</f>
        <v>#N/A</v>
      </c>
      <c r="AB83" s="21" t="e">
        <f>EXP(-LN(2)/2)*AB82+(1-EXP(-LN(2)/2))/(LN(2)/2)*V83*Y83*VLOOKUP('Données projet'!$B$9,Paramètres!$A$1:$I$89,3,0)*0.475*44/12</f>
        <v>#N/A</v>
      </c>
      <c r="AC83" s="22" t="e">
        <f t="shared" si="57"/>
        <v>#N/A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276</v>
      </c>
      <c r="AG83" s="12">
        <f>VLOOKUP(A83,'Données projet'!$A$61:$I$81,9,0)</f>
        <v>3</v>
      </c>
      <c r="AH83" s="12">
        <f t="array" ref="AH83">INDEX(AG:AG,MIN(IF(ISNUMBER(AG83:AG279),ROW(AG83:AG279),"")))</f>
        <v>3</v>
      </c>
      <c r="AI83" s="13">
        <f>IF('Données projet'!$A$62&gt;35,AI82+AH83-AQ82,IF(A83&lt;'Données projet'!$A$62,$AF$205^A83,IF(A83='Données projet'!$A$62,'Données projet'!$B$62,AI82+AH83-AQ82)))</f>
        <v>275.99999999999983</v>
      </c>
      <c r="AJ83" s="13">
        <f>AI83*VLOOKUP('Données projet'!$B$10,Paramètres!$A$1:$I$89,3,0)*VLOOKUP('Données projet'!$B$10,Paramètres!$A$1:$I$89,5,0)</f>
        <v>241.11359999999988</v>
      </c>
      <c r="AK83" s="13">
        <f t="shared" si="89"/>
        <v>58.6790623558988</v>
      </c>
      <c r="AL83" s="20">
        <f t="shared" si="58"/>
        <v>522.13888693652359</v>
      </c>
      <c r="AM83" s="59">
        <f t="shared" si="59"/>
        <v>815.47222026985696</v>
      </c>
      <c r="AN83" s="59">
        <f ca="1">AVERAGE(OFFSET($AM$3,0,0,'Données projet'!$E$10+1,1))-AVERAGE(OFFSET($H$3,0,0,'Données projet'!$E$10+1,1))</f>
        <v>338.55719679154777</v>
      </c>
      <c r="AO83" s="59">
        <f t="shared" si="90"/>
        <v>371.26234252426531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276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206.41025641025641</v>
      </c>
      <c r="BB83" s="12">
        <f>VLOOKUP(A83,'Données projet'!$A$87:$I$107,9,0)</f>
        <v>3.8461538461538511</v>
      </c>
      <c r="BC83" s="12">
        <f t="array" ref="BC83">INDEX(BB:BB,MIN(IF(ISNUMBER(BB83:BB279),ROW(BB83:BB279),"")))</f>
        <v>3.8461538461538511</v>
      </c>
      <c r="BD83" s="12">
        <f>IF('Données projet'!$A$88&gt;35,BD82+BC83-BL82,IF(A83&lt;'Données projet'!$A$88,$BA$205^A83,IF(A83='Données projet'!$A$88,'Données projet'!$B$88,BD82+BC83-BL82)))</f>
        <v>206.4102564102563</v>
      </c>
      <c r="BE83" s="13">
        <f>BD83*VLOOKUP('Données projet'!$B$11,Paramètres!$A$1:$I$89,3,0)*VLOOKUP('Données projet'!$B$11,Paramètres!$A$1:$I$89,5,0)</f>
        <v>196.4199999999999</v>
      </c>
      <c r="BF83" s="13">
        <f t="shared" si="91"/>
        <v>48.956566921958114</v>
      </c>
      <c r="BG83" s="20">
        <f t="shared" si="61"/>
        <v>427.3641873890769</v>
      </c>
      <c r="BH83" s="59">
        <f t="shared" si="62"/>
        <v>720.69752072241022</v>
      </c>
      <c r="BI83" s="59">
        <f ca="1">AVERAGE(OFFSET($BH$3,0,0,'Données projet'!$E$11+1,1))-AVERAGE(OFFSET($H$3,0,0,'Données projet'!$E$11+1,1))</f>
        <v>351.6178679548006</v>
      </c>
      <c r="BJ83" s="59">
        <f t="shared" si="92"/>
        <v>244.7141066773861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8.9724358974358953</v>
      </c>
      <c r="BY83" s="12">
        <f>IF('Données projet'!$A$114&gt;35,BY82+BX83-CG82,IF(A83&lt;'Données projet'!$A$114,$BV$205^A83,IF(A83='Données projet'!$A$114,'Données projet'!$B$114,BY82+BX83-CG82)))</f>
        <v>320.26987179487196</v>
      </c>
      <c r="BZ83" s="13">
        <f>BY83*VLOOKUP('Données projet'!$B$12,Paramètres!$A$1:$I$89,3,0)*VLOOKUP('Données projet'!$B$12,Paramètres!$A$1:$I$89,5,0)</f>
        <v>149.88630000000009</v>
      </c>
      <c r="CA83" s="13">
        <f t="shared" si="93"/>
        <v>38.552745747643847</v>
      </c>
      <c r="CB83" s="20">
        <f t="shared" si="64"/>
        <v>328.19800467714657</v>
      </c>
      <c r="CC83" s="59">
        <f t="shared" si="65"/>
        <v>621.53133801047989</v>
      </c>
      <c r="CD83" s="59">
        <f ca="1">AVERAGE(OFFSET($CC$3,0,0,'Données projet'!$E$12+1,1))-AVERAGE(OFFSET($H$3,0,0,'Données projet'!$E$12+1,1))</f>
        <v>246.66630850723385</v>
      </c>
      <c r="CE83" s="59">
        <f t="shared" si="94"/>
        <v>145.34368562171613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1.1368683772161603E-13</v>
      </c>
      <c r="CU83" s="17">
        <f>CT83*VLOOKUP('Données projet'!$B$13,Paramètres!$A$1:$I$89,3,0)*VLOOKUP('Données projet'!$B$13,Paramètres!$A$1:$I$89,5,0)</f>
        <v>8.8675733422860506E-14</v>
      </c>
      <c r="CV83" s="13">
        <f t="shared" si="95"/>
        <v>1.3509285393066301E-12</v>
      </c>
      <c r="CW83" s="20">
        <f t="shared" si="67"/>
        <v>2.5073107750038623E-12</v>
      </c>
      <c r="CX83" s="59">
        <f t="shared" si="68"/>
        <v>293.33333333333582</v>
      </c>
      <c r="CY83" s="59">
        <f ca="1">AVERAGE(OFFSET($CX$3,0,0,'Données projet'!$E$13+1,1))-AVERAGE(OFFSET($H$3,0,0,'Données projet'!$E$13+1,1))</f>
        <v>292.57482726862594</v>
      </c>
      <c r="CZ83" s="59">
        <f t="shared" si="96"/>
        <v>283.48738729114024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282</v>
      </c>
      <c r="DM83" s="12">
        <f>VLOOKUP(A83,'Données projet'!$A$165:$I$185,9,0)</f>
        <v>6</v>
      </c>
      <c r="DN83" s="12">
        <f t="array" ref="DN83">INDEX(DM:DM,MIN(IF(ISNUMBER(DM83:DM279),ROW(DM83:DM279),"")))</f>
        <v>6</v>
      </c>
      <c r="DO83" s="12">
        <f>IF('Données projet'!$A$166&gt;35,DO82+DN83-DW82,IF(A83&lt;'Données projet'!$A$166,$DL$205^A83,IF(A83='Données projet'!$A$166,'Données projet'!$B$166,DO82+DN83-DW82)))</f>
        <v>281.99999999999989</v>
      </c>
      <c r="DP83" s="17">
        <f>DO83*VLOOKUP('Données projet'!$B$14,Paramètres!$A$1:$I$89,3,0)*VLOOKUP('Données projet'!$B$14,Paramètres!$A$1:$I$89,5,0)</f>
        <v>285.94799999999992</v>
      </c>
      <c r="DQ83" s="13">
        <f t="shared" si="97"/>
        <v>68.222450362989363</v>
      </c>
      <c r="DR83" s="20">
        <f t="shared" si="70"/>
        <v>616.84686771553959</v>
      </c>
      <c r="DS83" s="59">
        <f t="shared" si="71"/>
        <v>910.18020104887296</v>
      </c>
      <c r="DT83" s="59">
        <f ca="1">AVERAGE(OFFSET($DS$3,0,0,'Données projet'!$E$14+1,1))-AVERAGE(OFFSET($H$3,0,0,'Données projet'!$E$14+1,1))</f>
        <v>475.47920969424894</v>
      </c>
      <c r="DU83" s="59">
        <f t="shared" si="98"/>
        <v>271.73544012419364</v>
      </c>
      <c r="DV83" s="15">
        <f>IF(ISNA(VLOOKUP(A83,'Données projet'!$A$165:$I$185,3,0)),0,VLOOKUP(A83,'Données projet'!$A$165:$I$185,3,0))</f>
        <v>6</v>
      </c>
      <c r="DW83" s="15">
        <f>IF(ISNA(VLOOKUP(A83,'Données projet'!$A$165:$I$185,4,0)),0,VLOOKUP(A83,'Données projet'!$A$165:$I$185,4,0))</f>
        <v>42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282</v>
      </c>
      <c r="EH83" s="12">
        <f>VLOOKUP(A83,'Données projet'!$A$191:$I$211,9,0)</f>
        <v>6</v>
      </c>
      <c r="EI83" s="12">
        <f t="array" ref="EI83">INDEX(EH:EH,MIN(IF(ISNUMBER(EH83:EH279),ROW(EH83:EH279),"")))</f>
        <v>6</v>
      </c>
      <c r="EJ83" s="12">
        <f>IF('Données projet'!$A$192&gt;35,EJ82+EI83-ER82,IF(A83&lt;'Données projet'!$A$192,$EG$205^A83,IF(A83='Données projet'!$A$192,'Données projet'!$B$192,EJ82+EI83-ER82)))</f>
        <v>281.99999999999989</v>
      </c>
      <c r="EK83" s="17">
        <f>EJ83*VLOOKUP('Données projet'!$B$15,Paramètres!$A$1:$I$89,3,0)*VLOOKUP('Données projet'!$B$15,Paramètres!$A$1:$I$89,5,0)</f>
        <v>255.15359999999987</v>
      </c>
      <c r="EL83" s="13">
        <f t="shared" si="99"/>
        <v>61.688192762754376</v>
      </c>
      <c r="EM83" s="20">
        <f t="shared" si="73"/>
        <v>551.83278906179692</v>
      </c>
      <c r="EN83" s="59">
        <f t="shared" si="74"/>
        <v>845.16612239513029</v>
      </c>
      <c r="EO83" s="59">
        <f ca="1">AVERAGE(OFFSET($EN$3,0,0,'Données projet'!$E$15+1,1))-AVERAGE(OFFSET($H$3,0,0,'Données projet'!$E$15+1,1))</f>
        <v>428.8489304403459</v>
      </c>
      <c r="EP83" s="59">
        <f t="shared" si="100"/>
        <v>247.01165577562966</v>
      </c>
      <c r="EQ83" s="15">
        <f>IF(ISNA(VLOOKUP(A83,'Données projet'!$A$191:$I$211,3,0)),0,VLOOKUP(A83,'Données projet'!$A$191:$I$211,3,0))</f>
        <v>6</v>
      </c>
      <c r="ER83" s="15">
        <f>IF(ISNA(VLOOKUP(A83,'Données projet'!$A$191:$I$211,4,0)),0,VLOOKUP(A83,'Données projet'!$A$191:$I$211,4,0))</f>
        <v>42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>
        <f>FE83*VLOOKUP('Données projet'!$B$16,Paramètres!$A$1:$I$89,3,0)*VLOOKUP('Données projet'!$B$16,Paramètres!$A$1:$I$89,5,0)</f>
        <v>0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245.25496369542458</v>
      </c>
      <c r="FK83" s="59">
        <f t="shared" si="102"/>
        <v>342.30266518164211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0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 t="e">
        <f>N84*VLOOKUP('Données projet'!$B$9,Paramètres!$A$1:$I$89,3,0)*VLOOKUP('Données projet'!$B$9,Paramètres!$A$1:$I$89,5,0)</f>
        <v>#N/A</v>
      </c>
      <c r="P84" s="13" t="e">
        <f t="shared" si="87"/>
        <v>#N/A</v>
      </c>
      <c r="Q84" s="20" t="e">
        <f t="shared" si="54"/>
        <v>#N/A</v>
      </c>
      <c r="R84" s="59" t="e">
        <f t="shared" si="55"/>
        <v>#N/A</v>
      </c>
      <c r="S84" s="59" t="e">
        <f ca="1">AVERAGE(OFFSET($R$3,0,0,'Données projet'!$E$9+1,1))-AVERAGE(OFFSET($H$3,0,0,'Données projet'!$E$9+1,1))</f>
        <v>#N/A</v>
      </c>
      <c r="T84" s="59" t="e">
        <f t="shared" si="88"/>
        <v>#N/A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 t="e">
        <f>EXP(-LN(2)/35)*Z83+(1-EXP(-LN(2)/35))/(LN(2)/35)*V84*W84*VLOOKUP('Données projet'!$B$9,Paramètres!$A$1:$I$89,3,0)*0.475*44/12</f>
        <v>#N/A</v>
      </c>
      <c r="AA84" s="21" t="e">
        <f>EXP(-LN(2)/25)*AA83+(1-EXP(-LN(2)/25))/(LN(2)/25)*Calculateur!V84*Calculateur!X84*VLOOKUP('Données projet'!$B$9,Paramètres!$A$1:$I$89,3,0)*0.475*44/12</f>
        <v>#N/A</v>
      </c>
      <c r="AB84" s="21" t="e">
        <f>EXP(-LN(2)/2)*AB83+(1-EXP(-LN(2)/2))/(LN(2)/2)*V84*Y84*VLOOKUP('Données projet'!$B$9,Paramètres!$A$1:$I$89,3,0)*0.475*44/12</f>
        <v>#N/A</v>
      </c>
      <c r="AC84" s="22" t="e">
        <f t="shared" si="57"/>
        <v>#N/A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-1.7053025658242404E-13</v>
      </c>
      <c r="AJ84" s="13">
        <f>AI84*VLOOKUP('Données projet'!$B$10,Paramètres!$A$1:$I$89,3,0)*VLOOKUP('Données projet'!$B$10,Paramètres!$A$1:$I$89,5,0)</f>
        <v>-1.4897523215040567E-13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338.55719679154777</v>
      </c>
      <c r="AO84" s="59">
        <f t="shared" si="90"/>
        <v>371.26234252426531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3.7179487179487181</v>
      </c>
      <c r="BD84" s="12">
        <f>IF('Données projet'!$A$88&gt;35,BD83+BC84-BL83,IF(A84&lt;'Données projet'!$A$88,$BA$205^A84,IF(A84='Données projet'!$A$88,'Données projet'!$B$88,BD83+BC84-BL83)))</f>
        <v>210.12820512820502</v>
      </c>
      <c r="BE84" s="13">
        <f>BD84*VLOOKUP('Données projet'!$B$11,Paramètres!$A$1:$I$89,3,0)*VLOOKUP('Données projet'!$B$11,Paramètres!$A$1:$I$89,5,0)</f>
        <v>199.95799999999991</v>
      </c>
      <c r="BF84" s="13">
        <f t="shared" si="91"/>
        <v>49.734937283774826</v>
      </c>
      <c r="BG84" s="20">
        <f t="shared" si="61"/>
        <v>434.88186576924096</v>
      </c>
      <c r="BH84" s="59">
        <f t="shared" si="62"/>
        <v>728.21519910257427</v>
      </c>
      <c r="BI84" s="59">
        <f ca="1">AVERAGE(OFFSET($BH$3,0,0,'Données projet'!$E$11+1,1))-AVERAGE(OFFSET($H$3,0,0,'Données projet'!$E$11+1,1))</f>
        <v>351.6178679548006</v>
      </c>
      <c r="BJ84" s="59">
        <f t="shared" si="92"/>
        <v>244.7141066773861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8.9724358974358953</v>
      </c>
      <c r="BY84" s="12">
        <f>IF('Données projet'!$A$114&gt;35,BY83+BX84-CG83,IF(A84&lt;'Données projet'!$A$114,$BV$205^A84,IF(A84='Données projet'!$A$114,'Données projet'!$B$114,BY83+BX84-CG83)))</f>
        <v>329.24230769230786</v>
      </c>
      <c r="BZ84" s="13">
        <f>BY84*VLOOKUP('Données projet'!$B$12,Paramètres!$A$1:$I$89,3,0)*VLOOKUP('Données projet'!$B$12,Paramètres!$A$1:$I$89,5,0)</f>
        <v>154.08540000000008</v>
      </c>
      <c r="CA84" s="13">
        <f t="shared" si="93"/>
        <v>39.50555046133784</v>
      </c>
      <c r="CB84" s="20">
        <f t="shared" si="64"/>
        <v>337.17090538683016</v>
      </c>
      <c r="CC84" s="59">
        <f t="shared" si="65"/>
        <v>630.50423872016347</v>
      </c>
      <c r="CD84" s="59">
        <f ca="1">AVERAGE(OFFSET($CC$3,0,0,'Données projet'!$E$12+1,1))-AVERAGE(OFFSET($H$3,0,0,'Données projet'!$E$12+1,1))</f>
        <v>246.66630850723385</v>
      </c>
      <c r="CE84" s="59">
        <f t="shared" si="94"/>
        <v>145.34368562171613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1.1368683772161603E-13</v>
      </c>
      <c r="CU84" s="17">
        <f>CT84*VLOOKUP('Données projet'!$B$13,Paramètres!$A$1:$I$89,3,0)*VLOOKUP('Données projet'!$B$13,Paramètres!$A$1:$I$89,5,0)</f>
        <v>8.8675733422860506E-14</v>
      </c>
      <c r="CV84" s="13">
        <f t="shared" si="95"/>
        <v>1.3509285393066301E-12</v>
      </c>
      <c r="CW84" s="20">
        <f t="shared" si="67"/>
        <v>2.5073107750038623E-12</v>
      </c>
      <c r="CX84" s="59">
        <f t="shared" si="68"/>
        <v>293.33333333333582</v>
      </c>
      <c r="CY84" s="59">
        <f ca="1">AVERAGE(OFFSET($CX$3,0,0,'Données projet'!$E$13+1,1))-AVERAGE(OFFSET($H$3,0,0,'Données projet'!$E$13+1,1))</f>
        <v>292.57482726862594</v>
      </c>
      <c r="CZ84" s="59">
        <f t="shared" si="96"/>
        <v>283.48738729114024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5.6</v>
      </c>
      <c r="DO84" s="12">
        <f>IF('Données projet'!$A$166&gt;35,DO83+DN84-DW83,IF(A84&lt;'Données projet'!$A$166,$DL$205^A84,IF(A84='Données projet'!$A$166,'Données projet'!$B$166,DO83+DN84-DW83)))</f>
        <v>245.59999999999991</v>
      </c>
      <c r="DP84" s="17">
        <f>DO84*VLOOKUP('Données projet'!$B$14,Paramètres!$A$1:$I$89,3,0)*VLOOKUP('Données projet'!$B$14,Paramètres!$A$1:$I$89,5,0)</f>
        <v>249.03839999999994</v>
      </c>
      <c r="DQ84" s="13">
        <f t="shared" si="97"/>
        <v>60.379982523339947</v>
      </c>
      <c r="DR84" s="20">
        <f t="shared" si="70"/>
        <v>538.90368289481694</v>
      </c>
      <c r="DS84" s="59">
        <f t="shared" si="71"/>
        <v>832.2370162281502</v>
      </c>
      <c r="DT84" s="59">
        <f ca="1">AVERAGE(OFFSET($DS$3,0,0,'Données projet'!$E$14+1,1))-AVERAGE(OFFSET($H$3,0,0,'Données projet'!$E$14+1,1))</f>
        <v>475.47920969424894</v>
      </c>
      <c r="DU84" s="59">
        <f t="shared" si="98"/>
        <v>271.73544012419364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5.6</v>
      </c>
      <c r="EJ84" s="12">
        <f>IF('Données projet'!$A$192&gt;35,EJ83+EI84-ER83,IF(A84&lt;'Données projet'!$A$192,$EG$205^A84,IF(A84='Données projet'!$A$192,'Données projet'!$B$192,EJ83+EI84-ER83)))</f>
        <v>245.59999999999991</v>
      </c>
      <c r="EK84" s="17">
        <f>EJ84*VLOOKUP('Données projet'!$B$15,Paramètres!$A$1:$I$89,3,0)*VLOOKUP('Données projet'!$B$15,Paramètres!$A$1:$I$89,5,0)</f>
        <v>222.21887999999993</v>
      </c>
      <c r="EL84" s="13">
        <f t="shared" si="99"/>
        <v>54.596866296848852</v>
      </c>
      <c r="EM84" s="20">
        <f t="shared" si="73"/>
        <v>482.12075813367829</v>
      </c>
      <c r="EN84" s="59">
        <f t="shared" si="74"/>
        <v>775.45409146701161</v>
      </c>
      <c r="EO84" s="59">
        <f ca="1">AVERAGE(OFFSET($EN$3,0,0,'Données projet'!$E$15+1,1))-AVERAGE(OFFSET($H$3,0,0,'Données projet'!$E$15+1,1))</f>
        <v>428.8489304403459</v>
      </c>
      <c r="EP84" s="59">
        <f t="shared" si="100"/>
        <v>247.01165577562966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245.25496369542458</v>
      </c>
      <c r="FK84" s="59">
        <f t="shared" si="102"/>
        <v>342.30266518164211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0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 t="e">
        <f>N85*VLOOKUP('Données projet'!$B$9,Paramètres!$A$1:$I$89,3,0)*VLOOKUP('Données projet'!$B$9,Paramètres!$A$1:$I$89,5,0)</f>
        <v>#N/A</v>
      </c>
      <c r="P85" s="13" t="e">
        <f t="shared" si="87"/>
        <v>#N/A</v>
      </c>
      <c r="Q85" s="20" t="e">
        <f t="shared" si="54"/>
        <v>#N/A</v>
      </c>
      <c r="R85" s="59" t="e">
        <f t="shared" si="55"/>
        <v>#N/A</v>
      </c>
      <c r="S85" s="59" t="e">
        <f ca="1">AVERAGE(OFFSET($R$3,0,0,'Données projet'!$E$9+1,1))-AVERAGE(OFFSET($H$3,0,0,'Données projet'!$E$9+1,1))</f>
        <v>#N/A</v>
      </c>
      <c r="T85" s="59" t="e">
        <f t="shared" si="88"/>
        <v>#N/A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 t="e">
        <f>EXP(-LN(2)/35)*Z84+(1-EXP(-LN(2)/35))/(LN(2)/35)*V85*W85*VLOOKUP('Données projet'!$B$9,Paramètres!$A$1:$I$89,3,0)*0.475*44/12</f>
        <v>#N/A</v>
      </c>
      <c r="AA85" s="21" t="e">
        <f>EXP(-LN(2)/25)*AA84+(1-EXP(-LN(2)/25))/(LN(2)/25)*Calculateur!V85*Calculateur!X85*VLOOKUP('Données projet'!$B$9,Paramètres!$A$1:$I$89,3,0)*0.475*44/12</f>
        <v>#N/A</v>
      </c>
      <c r="AB85" s="21" t="e">
        <f>EXP(-LN(2)/2)*AB84+(1-EXP(-LN(2)/2))/(LN(2)/2)*V85*Y85*VLOOKUP('Données projet'!$B$9,Paramètres!$A$1:$I$89,3,0)*0.475*44/12</f>
        <v>#N/A</v>
      </c>
      <c r="AC85" s="22" t="e">
        <f t="shared" si="57"/>
        <v>#N/A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-1.7053025658242404E-13</v>
      </c>
      <c r="AJ85" s="13">
        <f>AI85*VLOOKUP('Données projet'!$B$10,Paramètres!$A$1:$I$89,3,0)*VLOOKUP('Données projet'!$B$10,Paramètres!$A$1:$I$89,5,0)</f>
        <v>-1.4897523215040567E-13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338.55719679154777</v>
      </c>
      <c r="AO85" s="59">
        <f t="shared" si="90"/>
        <v>371.26234252426531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3.7179487179487181</v>
      </c>
      <c r="BD85" s="12">
        <f>IF('Données projet'!$A$88&gt;35,BD84+BC85-BL84,IF(A85&lt;'Données projet'!$A$88,$BA$205^A85,IF(A85='Données projet'!$A$88,'Données projet'!$B$88,BD84+BC85-BL84)))</f>
        <v>213.84615384615375</v>
      </c>
      <c r="BE85" s="13">
        <f>BD85*VLOOKUP('Données projet'!$B$11,Paramètres!$A$1:$I$89,3,0)*VLOOKUP('Données projet'!$B$11,Paramètres!$A$1:$I$89,5,0)</f>
        <v>203.4959999999999</v>
      </c>
      <c r="BF85" s="13">
        <f t="shared" si="91"/>
        <v>50.511706115422356</v>
      </c>
      <c r="BG85" s="20">
        <f t="shared" si="61"/>
        <v>442.39675481769376</v>
      </c>
      <c r="BH85" s="59">
        <f t="shared" si="62"/>
        <v>735.73008815102708</v>
      </c>
      <c r="BI85" s="59">
        <f ca="1">AVERAGE(OFFSET($BH$3,0,0,'Données projet'!$E$11+1,1))-AVERAGE(OFFSET($H$3,0,0,'Données projet'!$E$11+1,1))</f>
        <v>351.6178679548006</v>
      </c>
      <c r="BJ85" s="59">
        <f t="shared" si="92"/>
        <v>244.7141066773861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8.9724358974358953</v>
      </c>
      <c r="BY85" s="12">
        <f>IF('Données projet'!$A$114&gt;35,BY84+BX85-CG84,IF(A85&lt;'Données projet'!$A$114,$BV$205^A85,IF(A85='Données projet'!$A$114,'Données projet'!$B$114,BY84+BX85-CG84)))</f>
        <v>338.21474358974376</v>
      </c>
      <c r="BZ85" s="13">
        <f>BY85*VLOOKUP('Données projet'!$B$12,Paramètres!$A$1:$I$89,3,0)*VLOOKUP('Données projet'!$B$12,Paramètres!$A$1:$I$89,5,0)</f>
        <v>158.28450000000007</v>
      </c>
      <c r="CA85" s="13">
        <f t="shared" si="93"/>
        <v>40.455337171245411</v>
      </c>
      <c r="CB85" s="20">
        <f t="shared" si="64"/>
        <v>346.1385497399192</v>
      </c>
      <c r="CC85" s="59">
        <f t="shared" si="65"/>
        <v>639.47188307325246</v>
      </c>
      <c r="CD85" s="59">
        <f ca="1">AVERAGE(OFFSET($CC$3,0,0,'Données projet'!$E$12+1,1))-AVERAGE(OFFSET($H$3,0,0,'Données projet'!$E$12+1,1))</f>
        <v>246.66630850723385</v>
      </c>
      <c r="CE85" s="59">
        <f t="shared" si="94"/>
        <v>145.34368562171613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1.1368683772161603E-13</v>
      </c>
      <c r="CU85" s="17">
        <f>CT85*VLOOKUP('Données projet'!$B$13,Paramètres!$A$1:$I$89,3,0)*VLOOKUP('Données projet'!$B$13,Paramètres!$A$1:$I$89,5,0)</f>
        <v>8.8675733422860506E-14</v>
      </c>
      <c r="CV85" s="13">
        <f t="shared" si="95"/>
        <v>1.3509285393066301E-12</v>
      </c>
      <c r="CW85" s="20">
        <f t="shared" si="67"/>
        <v>2.5073107750038623E-12</v>
      </c>
      <c r="CX85" s="59">
        <f t="shared" si="68"/>
        <v>293.33333333333582</v>
      </c>
      <c r="CY85" s="59">
        <f ca="1">AVERAGE(OFFSET($CX$3,0,0,'Données projet'!$E$13+1,1))-AVERAGE(OFFSET($H$3,0,0,'Données projet'!$E$13+1,1))</f>
        <v>292.57482726862594</v>
      </c>
      <c r="CZ85" s="59">
        <f t="shared" si="96"/>
        <v>283.48738729114024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5.6</v>
      </c>
      <c r="DO85" s="12">
        <f>IF('Données projet'!$A$166&gt;35,DO84+DN85-DW84,IF(A85&lt;'Données projet'!$A$166,$DL$205^A85,IF(A85='Données projet'!$A$166,'Données projet'!$B$166,DO84+DN85-DW84)))</f>
        <v>251.1999999999999</v>
      </c>
      <c r="DP85" s="17">
        <f>DO85*VLOOKUP('Données projet'!$B$14,Paramètres!$A$1:$I$89,3,0)*VLOOKUP('Données projet'!$B$14,Paramètres!$A$1:$I$89,5,0)</f>
        <v>254.71679999999992</v>
      </c>
      <c r="DQ85" s="13">
        <f t="shared" si="97"/>
        <v>61.594871205031538</v>
      </c>
      <c r="DR85" s="20">
        <f t="shared" si="70"/>
        <v>550.9094940154298</v>
      </c>
      <c r="DS85" s="59">
        <f t="shared" si="71"/>
        <v>844.24282734876306</v>
      </c>
      <c r="DT85" s="59">
        <f ca="1">AVERAGE(OFFSET($DS$3,0,0,'Données projet'!$E$14+1,1))-AVERAGE(OFFSET($H$3,0,0,'Données projet'!$E$14+1,1))</f>
        <v>475.47920969424894</v>
      </c>
      <c r="DU85" s="59">
        <f t="shared" si="98"/>
        <v>271.73544012419364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5.6</v>
      </c>
      <c r="EJ85" s="12">
        <f>IF('Données projet'!$A$192&gt;35,EJ84+EI85-ER84,IF(A85&lt;'Données projet'!$A$192,$EG$205^A85,IF(A85='Données projet'!$A$192,'Données projet'!$B$192,EJ84+EI85-ER84)))</f>
        <v>251.1999999999999</v>
      </c>
      <c r="EK85" s="17">
        <f>EJ85*VLOOKUP('Données projet'!$B$15,Paramètres!$A$1:$I$89,3,0)*VLOOKUP('Données projet'!$B$15,Paramètres!$A$1:$I$89,5,0)</f>
        <v>227.28575999999993</v>
      </c>
      <c r="EL85" s="13">
        <f t="shared" si="99"/>
        <v>55.695394520076327</v>
      </c>
      <c r="EM85" s="20">
        <f t="shared" si="73"/>
        <v>492.85884412246605</v>
      </c>
      <c r="EN85" s="59">
        <f t="shared" si="74"/>
        <v>786.19217745579931</v>
      </c>
      <c r="EO85" s="59">
        <f ca="1">AVERAGE(OFFSET($EN$3,0,0,'Données projet'!$E$15+1,1))-AVERAGE(OFFSET($H$3,0,0,'Données projet'!$E$15+1,1))</f>
        <v>428.8489304403459</v>
      </c>
      <c r="EP85" s="59">
        <f t="shared" si="100"/>
        <v>247.01165577562966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245.25496369542458</v>
      </c>
      <c r="FK85" s="59">
        <f t="shared" si="102"/>
        <v>342.30266518164211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0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 t="e">
        <f>N86*VLOOKUP('Données projet'!$B$9,Paramètres!$A$1:$I$89,3,0)*VLOOKUP('Données projet'!$B$9,Paramètres!$A$1:$I$89,5,0)</f>
        <v>#N/A</v>
      </c>
      <c r="P86" s="13" t="e">
        <f t="shared" si="87"/>
        <v>#N/A</v>
      </c>
      <c r="Q86" s="20" t="e">
        <f t="shared" si="54"/>
        <v>#N/A</v>
      </c>
      <c r="R86" s="59" t="e">
        <f t="shared" si="55"/>
        <v>#N/A</v>
      </c>
      <c r="S86" s="59" t="e">
        <f ca="1">AVERAGE(OFFSET($R$3,0,0,'Données projet'!$E$9+1,1))-AVERAGE(OFFSET($H$3,0,0,'Données projet'!$E$9+1,1))</f>
        <v>#N/A</v>
      </c>
      <c r="T86" s="59" t="e">
        <f t="shared" si="88"/>
        <v>#N/A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 t="e">
        <f>EXP(-LN(2)/35)*Z85+(1-EXP(-LN(2)/35))/(LN(2)/35)*V86*W86*VLOOKUP('Données projet'!$B$9,Paramètres!$A$1:$I$89,3,0)*0.475*44/12</f>
        <v>#N/A</v>
      </c>
      <c r="AA86" s="21" t="e">
        <f>EXP(-LN(2)/25)*AA85+(1-EXP(-LN(2)/25))/(LN(2)/25)*Calculateur!V86*Calculateur!X86*VLOOKUP('Données projet'!$B$9,Paramètres!$A$1:$I$89,3,0)*0.475*44/12</f>
        <v>#N/A</v>
      </c>
      <c r="AB86" s="21" t="e">
        <f>EXP(-LN(2)/2)*AB85+(1-EXP(-LN(2)/2))/(LN(2)/2)*V86*Y86*VLOOKUP('Données projet'!$B$9,Paramètres!$A$1:$I$89,3,0)*0.475*44/12</f>
        <v>#N/A</v>
      </c>
      <c r="AC86" s="22" t="e">
        <f t="shared" si="57"/>
        <v>#N/A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-1.7053025658242404E-13</v>
      </c>
      <c r="AJ86" s="13">
        <f>AI86*VLOOKUP('Données projet'!$B$10,Paramètres!$A$1:$I$89,3,0)*VLOOKUP('Données projet'!$B$10,Paramètres!$A$1:$I$89,5,0)</f>
        <v>-1.4897523215040567E-13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338.55719679154777</v>
      </c>
      <c r="AO86" s="59">
        <f t="shared" si="90"/>
        <v>371.26234252426531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3.7179487179487181</v>
      </c>
      <c r="BD86" s="12">
        <f>IF('Données projet'!$A$88&gt;35,BD85+BC86-BL85,IF(A86&lt;'Données projet'!$A$88,$BA$205^A86,IF(A86='Données projet'!$A$88,'Données projet'!$B$88,BD85+BC86-BL85)))</f>
        <v>217.56410256410248</v>
      </c>
      <c r="BE86" s="13">
        <f>BD86*VLOOKUP('Données projet'!$B$11,Paramètres!$A$1:$I$89,3,0)*VLOOKUP('Données projet'!$B$11,Paramètres!$A$1:$I$89,5,0)</f>
        <v>207.03399999999993</v>
      </c>
      <c r="BF86" s="13">
        <f t="shared" si="91"/>
        <v>51.286904474053166</v>
      </c>
      <c r="BG86" s="20">
        <f t="shared" si="61"/>
        <v>449.90890862564248</v>
      </c>
      <c r="BH86" s="59">
        <f t="shared" si="62"/>
        <v>743.2422419589758</v>
      </c>
      <c r="BI86" s="59">
        <f ca="1">AVERAGE(OFFSET($BH$3,0,0,'Données projet'!$E$11+1,1))-AVERAGE(OFFSET($H$3,0,0,'Données projet'!$E$11+1,1))</f>
        <v>351.6178679548006</v>
      </c>
      <c r="BJ86" s="59">
        <f t="shared" si="92"/>
        <v>244.7141066773861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8.9724358974358953</v>
      </c>
      <c r="BY86" s="12">
        <f>IF('Données projet'!$A$114&gt;35,BY85+BX86-CG85,IF(A86&lt;'Données projet'!$A$114,$BV$205^A86,IF(A86='Données projet'!$A$114,'Données projet'!$B$114,BY85+BX86-CG85)))</f>
        <v>347.18717948717966</v>
      </c>
      <c r="BZ86" s="13">
        <f>BY86*VLOOKUP('Données projet'!$B$12,Paramètres!$A$1:$I$89,3,0)*VLOOKUP('Données projet'!$B$12,Paramètres!$A$1:$I$89,5,0)</f>
        <v>162.48360000000008</v>
      </c>
      <c r="CA86" s="13">
        <f t="shared" si="93"/>
        <v>41.402195144216769</v>
      </c>
      <c r="CB86" s="20">
        <f t="shared" si="64"/>
        <v>355.10109320951102</v>
      </c>
      <c r="CC86" s="59">
        <f t="shared" si="65"/>
        <v>648.43442654284434</v>
      </c>
      <c r="CD86" s="59">
        <f ca="1">AVERAGE(OFFSET($CC$3,0,0,'Données projet'!$E$12+1,1))-AVERAGE(OFFSET($H$3,0,0,'Données projet'!$E$12+1,1))</f>
        <v>246.66630850723385</v>
      </c>
      <c r="CE86" s="59">
        <f t="shared" si="94"/>
        <v>145.34368562171613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1.1368683772161603E-13</v>
      </c>
      <c r="CU86" s="17">
        <f>CT86*VLOOKUP('Données projet'!$B$13,Paramètres!$A$1:$I$89,3,0)*VLOOKUP('Données projet'!$B$13,Paramètres!$A$1:$I$89,5,0)</f>
        <v>8.8675733422860506E-14</v>
      </c>
      <c r="CV86" s="13">
        <f t="shared" si="95"/>
        <v>1.3509285393066301E-12</v>
      </c>
      <c r="CW86" s="20">
        <f t="shared" si="67"/>
        <v>2.5073107750038623E-12</v>
      </c>
      <c r="CX86" s="59">
        <f t="shared" si="68"/>
        <v>293.33333333333582</v>
      </c>
      <c r="CY86" s="59">
        <f ca="1">AVERAGE(OFFSET($CX$3,0,0,'Données projet'!$E$13+1,1))-AVERAGE(OFFSET($H$3,0,0,'Données projet'!$E$13+1,1))</f>
        <v>292.57482726862594</v>
      </c>
      <c r="CZ86" s="59">
        <f t="shared" si="96"/>
        <v>283.48738729114024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5.6</v>
      </c>
      <c r="DO86" s="12">
        <f>IF('Données projet'!$A$166&gt;35,DO85+DN86-DW85,IF(A86&lt;'Données projet'!$A$166,$DL$205^A86,IF(A86='Données projet'!$A$166,'Données projet'!$B$166,DO85+DN86-DW85)))</f>
        <v>256.7999999999999</v>
      </c>
      <c r="DP86" s="17">
        <f>DO86*VLOOKUP('Données projet'!$B$14,Paramètres!$A$1:$I$89,3,0)*VLOOKUP('Données projet'!$B$14,Paramètres!$A$1:$I$89,5,0)</f>
        <v>260.39519999999987</v>
      </c>
      <c r="DQ86" s="13">
        <f t="shared" si="97"/>
        <v>62.806611177714331</v>
      </c>
      <c r="DR86" s="20">
        <f t="shared" si="70"/>
        <v>562.90982113451889</v>
      </c>
      <c r="DS86" s="59">
        <f t="shared" si="71"/>
        <v>856.24315446785226</v>
      </c>
      <c r="DT86" s="59">
        <f ca="1">AVERAGE(OFFSET($DS$3,0,0,'Données projet'!$E$14+1,1))-AVERAGE(OFFSET($H$3,0,0,'Données projet'!$E$14+1,1))</f>
        <v>475.47920969424894</v>
      </c>
      <c r="DU86" s="59">
        <f t="shared" si="98"/>
        <v>271.73544012419364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5.6</v>
      </c>
      <c r="EJ86" s="12">
        <f>IF('Données projet'!$A$192&gt;35,EJ85+EI86-ER85,IF(A86&lt;'Données projet'!$A$192,$EG$205^A86,IF(A86='Données projet'!$A$192,'Données projet'!$B$192,EJ85+EI86-ER85)))</f>
        <v>256.7999999999999</v>
      </c>
      <c r="EK86" s="17">
        <f>EJ86*VLOOKUP('Données projet'!$B$15,Paramètres!$A$1:$I$89,3,0)*VLOOKUP('Données projet'!$B$15,Paramètres!$A$1:$I$89,5,0)</f>
        <v>232.35263999999989</v>
      </c>
      <c r="EL86" s="13">
        <f t="shared" si="99"/>
        <v>56.791075613550255</v>
      </c>
      <c r="EM86" s="20">
        <f t="shared" si="73"/>
        <v>503.59197136026643</v>
      </c>
      <c r="EN86" s="59">
        <f t="shared" si="74"/>
        <v>796.92530469359974</v>
      </c>
      <c r="EO86" s="59">
        <f ca="1">AVERAGE(OFFSET($EN$3,0,0,'Données projet'!$E$15+1,1))-AVERAGE(OFFSET($H$3,0,0,'Données projet'!$E$15+1,1))</f>
        <v>428.8489304403459</v>
      </c>
      <c r="EP86" s="59">
        <f t="shared" si="100"/>
        <v>247.01165577562966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245.25496369542458</v>
      </c>
      <c r="FK86" s="59">
        <f t="shared" si="102"/>
        <v>342.30266518164211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0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 t="e">
        <f>N87*VLOOKUP('Données projet'!$B$9,Paramètres!$A$1:$I$89,3,0)*VLOOKUP('Données projet'!$B$9,Paramètres!$A$1:$I$89,5,0)</f>
        <v>#N/A</v>
      </c>
      <c r="P87" s="13" t="e">
        <f t="shared" si="87"/>
        <v>#N/A</v>
      </c>
      <c r="Q87" s="20" t="e">
        <f t="shared" si="54"/>
        <v>#N/A</v>
      </c>
      <c r="R87" s="59" t="e">
        <f t="shared" si="55"/>
        <v>#N/A</v>
      </c>
      <c r="S87" s="59" t="e">
        <f ca="1">AVERAGE(OFFSET($R$3,0,0,'Données projet'!$E$9+1,1))-AVERAGE(OFFSET($H$3,0,0,'Données projet'!$E$9+1,1))</f>
        <v>#N/A</v>
      </c>
      <c r="T87" s="59" t="e">
        <f t="shared" si="88"/>
        <v>#N/A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 t="e">
        <f>EXP(-LN(2)/35)*Z86+(1-EXP(-LN(2)/35))/(LN(2)/35)*V87*W87*VLOOKUP('Données projet'!$B$9,Paramètres!$A$1:$I$89,3,0)*0.475*44/12</f>
        <v>#N/A</v>
      </c>
      <c r="AA87" s="21" t="e">
        <f>EXP(-LN(2)/25)*AA86+(1-EXP(-LN(2)/25))/(LN(2)/25)*Calculateur!V87*Calculateur!X87*VLOOKUP('Données projet'!$B$9,Paramètres!$A$1:$I$89,3,0)*0.475*44/12</f>
        <v>#N/A</v>
      </c>
      <c r="AB87" s="21" t="e">
        <f>EXP(-LN(2)/2)*AB86+(1-EXP(-LN(2)/2))/(LN(2)/2)*V87*Y87*VLOOKUP('Données projet'!$B$9,Paramètres!$A$1:$I$89,3,0)*0.475*44/12</f>
        <v>#N/A</v>
      </c>
      <c r="AC87" s="22" t="e">
        <f t="shared" si="57"/>
        <v>#N/A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-1.7053025658242404E-13</v>
      </c>
      <c r="AJ87" s="13">
        <f>AI87*VLOOKUP('Données projet'!$B$10,Paramètres!$A$1:$I$89,3,0)*VLOOKUP('Données projet'!$B$10,Paramètres!$A$1:$I$89,5,0)</f>
        <v>-1.4897523215040567E-13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338.55719679154777</v>
      </c>
      <c r="AO87" s="59">
        <f t="shared" si="90"/>
        <v>371.26234252426531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3.7179487179487181</v>
      </c>
      <c r="BD87" s="12">
        <f>IF('Données projet'!$A$88&gt;35,BD86+BC87-BL86,IF(A87&lt;'Données projet'!$A$88,$BA$205^A87,IF(A87='Données projet'!$A$88,'Données projet'!$B$88,BD86+BC87-BL86)))</f>
        <v>221.28205128205121</v>
      </c>
      <c r="BE87" s="13">
        <f>BD87*VLOOKUP('Données projet'!$B$11,Paramètres!$A$1:$I$89,3,0)*VLOOKUP('Données projet'!$B$11,Paramètres!$A$1:$I$89,5,0)</f>
        <v>210.57199999999992</v>
      </c>
      <c r="BF87" s="13">
        <f t="shared" si="91"/>
        <v>52.060562294525134</v>
      </c>
      <c r="BG87" s="20">
        <f t="shared" si="61"/>
        <v>457.41837932963108</v>
      </c>
      <c r="BH87" s="59">
        <f t="shared" si="62"/>
        <v>750.75171266296434</v>
      </c>
      <c r="BI87" s="59">
        <f ca="1">AVERAGE(OFFSET($BH$3,0,0,'Données projet'!$E$11+1,1))-AVERAGE(OFFSET($H$3,0,0,'Données projet'!$E$11+1,1))</f>
        <v>351.6178679548006</v>
      </c>
      <c r="BJ87" s="59">
        <f t="shared" si="92"/>
        <v>244.7141066773861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8.9724358974358953</v>
      </c>
      <c r="BY87" s="12">
        <f>IF('Données projet'!$A$114&gt;35,BY86+BX87-CG86,IF(A87&lt;'Données projet'!$A$114,$BV$205^A87,IF(A87='Données projet'!$A$114,'Données projet'!$B$114,BY86+BX87-CG86)))</f>
        <v>356.15961538461556</v>
      </c>
      <c r="BZ87" s="13">
        <f>BY87*VLOOKUP('Données projet'!$B$12,Paramètres!$A$1:$I$89,3,0)*VLOOKUP('Données projet'!$B$12,Paramètres!$A$1:$I$89,5,0)</f>
        <v>166.6827000000001</v>
      </c>
      <c r="CA87" s="13">
        <f t="shared" si="93"/>
        <v>42.346208770385807</v>
      </c>
      <c r="CB87" s="20">
        <f t="shared" si="64"/>
        <v>364.05868277508876</v>
      </c>
      <c r="CC87" s="59">
        <f t="shared" si="65"/>
        <v>657.39201610842201</v>
      </c>
      <c r="CD87" s="59">
        <f ca="1">AVERAGE(OFFSET($CC$3,0,0,'Données projet'!$E$12+1,1))-AVERAGE(OFFSET($H$3,0,0,'Données projet'!$E$12+1,1))</f>
        <v>246.66630850723385</v>
      </c>
      <c r="CE87" s="59">
        <f t="shared" si="94"/>
        <v>145.34368562171613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1.1368683772161603E-13</v>
      </c>
      <c r="CU87" s="17">
        <f>CT87*VLOOKUP('Données projet'!$B$13,Paramètres!$A$1:$I$89,3,0)*VLOOKUP('Données projet'!$B$13,Paramètres!$A$1:$I$89,5,0)</f>
        <v>8.8675733422860506E-14</v>
      </c>
      <c r="CV87" s="13">
        <f t="shared" si="95"/>
        <v>1.3509285393066301E-12</v>
      </c>
      <c r="CW87" s="20">
        <f t="shared" si="67"/>
        <v>2.5073107750038623E-12</v>
      </c>
      <c r="CX87" s="59">
        <f t="shared" si="68"/>
        <v>293.33333333333582</v>
      </c>
      <c r="CY87" s="59">
        <f ca="1">AVERAGE(OFFSET($CX$3,0,0,'Données projet'!$E$13+1,1))-AVERAGE(OFFSET($H$3,0,0,'Données projet'!$E$13+1,1))</f>
        <v>292.57482726862594</v>
      </c>
      <c r="CZ87" s="59">
        <f t="shared" si="96"/>
        <v>283.48738729114024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5.6</v>
      </c>
      <c r="DO87" s="12">
        <f>IF('Données projet'!$A$166&gt;35,DO86+DN87-DW86,IF(A87&lt;'Données projet'!$A$166,$DL$205^A87,IF(A87='Données projet'!$A$166,'Données projet'!$B$166,DO86+DN87-DW86)))</f>
        <v>262.39999999999992</v>
      </c>
      <c r="DP87" s="17">
        <f>DO87*VLOOKUP('Données projet'!$B$14,Paramètres!$A$1:$I$89,3,0)*VLOOKUP('Données projet'!$B$14,Paramètres!$A$1:$I$89,5,0)</f>
        <v>266.07359999999994</v>
      </c>
      <c r="DQ87" s="13">
        <f t="shared" si="97"/>
        <v>64.015279012301136</v>
      </c>
      <c r="DR87" s="20">
        <f t="shared" si="70"/>
        <v>574.90479761309098</v>
      </c>
      <c r="DS87" s="59">
        <f t="shared" si="71"/>
        <v>868.23813094642423</v>
      </c>
      <c r="DT87" s="59">
        <f ca="1">AVERAGE(OFFSET($DS$3,0,0,'Données projet'!$E$14+1,1))-AVERAGE(OFFSET($H$3,0,0,'Données projet'!$E$14+1,1))</f>
        <v>475.47920969424894</v>
      </c>
      <c r="DU87" s="59">
        <f t="shared" si="98"/>
        <v>271.73544012419364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5.6</v>
      </c>
      <c r="EJ87" s="12">
        <f>IF('Données projet'!$A$192&gt;35,EJ86+EI87-ER86,IF(A87&lt;'Données projet'!$A$192,$EG$205^A87,IF(A87='Données projet'!$A$192,'Données projet'!$B$192,EJ86+EI87-ER86)))</f>
        <v>262.39999999999992</v>
      </c>
      <c r="EK87" s="17">
        <f>EJ87*VLOOKUP('Données projet'!$B$15,Paramètres!$A$1:$I$89,3,0)*VLOOKUP('Données projet'!$B$15,Paramètres!$A$1:$I$89,5,0)</f>
        <v>237.41951999999992</v>
      </c>
      <c r="EL87" s="13">
        <f t="shared" si="99"/>
        <v>57.883978814320919</v>
      </c>
      <c r="EM87" s="20">
        <f t="shared" si="73"/>
        <v>514.32026043494204</v>
      </c>
      <c r="EN87" s="59">
        <f t="shared" si="74"/>
        <v>807.65359376827541</v>
      </c>
      <c r="EO87" s="59">
        <f ca="1">AVERAGE(OFFSET($EN$3,0,0,'Données projet'!$E$15+1,1))-AVERAGE(OFFSET($H$3,0,0,'Données projet'!$E$15+1,1))</f>
        <v>428.8489304403459</v>
      </c>
      <c r="EP87" s="59">
        <f t="shared" si="100"/>
        <v>247.01165577562966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245.25496369542458</v>
      </c>
      <c r="FK87" s="59">
        <f t="shared" si="102"/>
        <v>342.30266518164211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0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 t="e">
        <f>N88*VLOOKUP('Données projet'!$B$9,Paramètres!$A$1:$I$89,3,0)*VLOOKUP('Données projet'!$B$9,Paramètres!$A$1:$I$89,5,0)</f>
        <v>#N/A</v>
      </c>
      <c r="P88" s="13" t="e">
        <f t="shared" si="87"/>
        <v>#N/A</v>
      </c>
      <c r="Q88" s="20" t="e">
        <f t="shared" si="54"/>
        <v>#N/A</v>
      </c>
      <c r="R88" s="59" t="e">
        <f t="shared" si="55"/>
        <v>#N/A</v>
      </c>
      <c r="S88" s="59" t="e">
        <f ca="1">AVERAGE(OFFSET($R$3,0,0,'Données projet'!$E$9+1,1))-AVERAGE(OFFSET($H$3,0,0,'Données projet'!$E$9+1,1))</f>
        <v>#N/A</v>
      </c>
      <c r="T88" s="59" t="e">
        <f t="shared" si="88"/>
        <v>#N/A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 t="e">
        <f>EXP(-LN(2)/35)*Z87+(1-EXP(-LN(2)/35))/(LN(2)/35)*V88*W88*VLOOKUP('Données projet'!$B$9,Paramètres!$A$1:$I$89,3,0)*0.475*44/12</f>
        <v>#N/A</v>
      </c>
      <c r="AA88" s="21" t="e">
        <f>EXP(-LN(2)/25)*AA87+(1-EXP(-LN(2)/25))/(LN(2)/25)*Calculateur!V88*Calculateur!X88*VLOOKUP('Données projet'!$B$9,Paramètres!$A$1:$I$89,3,0)*0.475*44/12</f>
        <v>#N/A</v>
      </c>
      <c r="AB88" s="21" t="e">
        <f>EXP(-LN(2)/2)*AB87+(1-EXP(-LN(2)/2))/(LN(2)/2)*V88*Y88*VLOOKUP('Données projet'!$B$9,Paramètres!$A$1:$I$89,3,0)*0.475*44/12</f>
        <v>#N/A</v>
      </c>
      <c r="AC88" s="22" t="e">
        <f t="shared" si="57"/>
        <v>#N/A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-1.7053025658242404E-13</v>
      </c>
      <c r="AJ88" s="13">
        <f>AI88*VLOOKUP('Données projet'!$B$10,Paramètres!$A$1:$I$89,3,0)*VLOOKUP('Données projet'!$B$10,Paramètres!$A$1:$I$89,5,0)</f>
        <v>-1.4897523215040567E-13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338.55719679154777</v>
      </c>
      <c r="AO88" s="59">
        <f t="shared" si="90"/>
        <v>371.26234252426531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225</v>
      </c>
      <c r="BB88" s="12">
        <f>VLOOKUP(A88,'Données projet'!$A$87:$I$107,9,0)</f>
        <v>3.7179487179487181</v>
      </c>
      <c r="BC88" s="12">
        <f t="array" ref="BC88">INDEX(BB:BB,MIN(IF(ISNUMBER(BB88:BB284),ROW(BB88:BB284),"")))</f>
        <v>3.7179487179487181</v>
      </c>
      <c r="BD88" s="12">
        <f>IF('Données projet'!$A$88&gt;35,BD87+BC88-BL87,IF(A88&lt;'Données projet'!$A$88,$BA$205^A88,IF(A88='Données projet'!$A$88,'Données projet'!$B$88,BD87+BC88-BL87)))</f>
        <v>224.99999999999994</v>
      </c>
      <c r="BE88" s="13">
        <f>BD88*VLOOKUP('Données projet'!$B$11,Paramètres!$A$1:$I$89,3,0)*VLOOKUP('Données projet'!$B$11,Paramètres!$A$1:$I$89,5,0)</f>
        <v>214.10999999999996</v>
      </c>
      <c r="BF88" s="13">
        <f t="shared" si="91"/>
        <v>52.832708448119902</v>
      </c>
      <c r="BG88" s="20">
        <f t="shared" si="61"/>
        <v>464.92521721380871</v>
      </c>
      <c r="BH88" s="59">
        <f t="shared" si="62"/>
        <v>758.25855054714202</v>
      </c>
      <c r="BI88" s="59">
        <f ca="1">AVERAGE(OFFSET($BH$3,0,0,'Données projet'!$E$11+1,1))-AVERAGE(OFFSET($H$3,0,0,'Données projet'!$E$11+1,1))</f>
        <v>351.6178679548006</v>
      </c>
      <c r="BJ88" s="59">
        <f t="shared" si="92"/>
        <v>244.7141066773861</v>
      </c>
      <c r="BK88" s="15">
        <f>IF(ISNA(VLOOKUP(A88,'Données projet'!$A$87:$I$107,3,0)),0,VLOOKUP(A88,'Données projet'!$A$87:$I$107,3,0))</f>
        <v>7</v>
      </c>
      <c r="BL88" s="15">
        <f>IF(ISNA(VLOOKUP(A88,'Données projet'!$A$87:$I$107,4,0)),0,VLOOKUP(A88,'Données projet'!$A$87:$I$107,4,0))</f>
        <v>25.641025641025639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8.9724358974358953</v>
      </c>
      <c r="BY88" s="12">
        <f>IF('Données projet'!$A$114&gt;35,BY87+BX88-CG87,IF(A88&lt;'Données projet'!$A$114,$BV$205^A88,IF(A88='Données projet'!$A$114,'Données projet'!$B$114,BY87+BX88-CG87)))</f>
        <v>365.13205128205146</v>
      </c>
      <c r="BZ88" s="13">
        <f>BY88*VLOOKUP('Données projet'!$B$12,Paramètres!$A$1:$I$89,3,0)*VLOOKUP('Données projet'!$B$12,Paramètres!$A$1:$I$89,5,0)</f>
        <v>170.88180000000008</v>
      </c>
      <c r="CA88" s="13">
        <f t="shared" si="93"/>
        <v>43.287457945638316</v>
      </c>
      <c r="CB88" s="20">
        <f t="shared" si="64"/>
        <v>373.01145758865351</v>
      </c>
      <c r="CC88" s="59">
        <f t="shared" si="65"/>
        <v>666.34479092198683</v>
      </c>
      <c r="CD88" s="59">
        <f ca="1">AVERAGE(OFFSET($CC$3,0,0,'Données projet'!$E$12+1,1))-AVERAGE(OFFSET($H$3,0,0,'Données projet'!$E$12+1,1))</f>
        <v>246.66630850723385</v>
      </c>
      <c r="CE88" s="59">
        <f t="shared" si="94"/>
        <v>145.34368562171613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1.1368683772161603E-13</v>
      </c>
      <c r="CU88" s="17">
        <f>CT88*VLOOKUP('Données projet'!$B$13,Paramètres!$A$1:$I$89,3,0)*VLOOKUP('Données projet'!$B$13,Paramètres!$A$1:$I$89,5,0)</f>
        <v>8.8675733422860506E-14</v>
      </c>
      <c r="CV88" s="13">
        <f t="shared" si="95"/>
        <v>1.3509285393066301E-12</v>
      </c>
      <c r="CW88" s="20">
        <f t="shared" si="67"/>
        <v>2.5073107750038623E-12</v>
      </c>
      <c r="CX88" s="59">
        <f t="shared" si="68"/>
        <v>293.33333333333582</v>
      </c>
      <c r="CY88" s="59">
        <f ca="1">AVERAGE(OFFSET($CX$3,0,0,'Données projet'!$E$13+1,1))-AVERAGE(OFFSET($H$3,0,0,'Données projet'!$E$13+1,1))</f>
        <v>292.57482726862594</v>
      </c>
      <c r="CZ88" s="59">
        <f t="shared" si="96"/>
        <v>283.48738729114024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5.6</v>
      </c>
      <c r="DO88" s="12">
        <f>IF('Données projet'!$A$166&gt;35,DO87+DN88-DW87,IF(A88&lt;'Données projet'!$A$166,$DL$205^A88,IF(A88='Données projet'!$A$166,'Données projet'!$B$166,DO87+DN88-DW87)))</f>
        <v>267.99999999999994</v>
      </c>
      <c r="DP88" s="17">
        <f>DO88*VLOOKUP('Données projet'!$B$14,Paramètres!$A$1:$I$89,3,0)*VLOOKUP('Données projet'!$B$14,Paramètres!$A$1:$I$89,5,0)</f>
        <v>271.75199999999995</v>
      </c>
      <c r="DQ88" s="13">
        <f t="shared" si="97"/>
        <v>65.220947824724931</v>
      </c>
      <c r="DR88" s="20">
        <f t="shared" si="70"/>
        <v>586.89455079472907</v>
      </c>
      <c r="DS88" s="59">
        <f t="shared" si="71"/>
        <v>880.22788412806244</v>
      </c>
      <c r="DT88" s="59">
        <f ca="1">AVERAGE(OFFSET($DS$3,0,0,'Données projet'!$E$14+1,1))-AVERAGE(OFFSET($H$3,0,0,'Données projet'!$E$14+1,1))</f>
        <v>475.47920969424894</v>
      </c>
      <c r="DU88" s="59">
        <f t="shared" si="98"/>
        <v>271.73544012419364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5.6</v>
      </c>
      <c r="EJ88" s="12">
        <f>IF('Données projet'!$A$192&gt;35,EJ87+EI88-ER87,IF(A88&lt;'Données projet'!$A$192,$EG$205^A88,IF(A88='Données projet'!$A$192,'Données projet'!$B$192,EJ87+EI88-ER87)))</f>
        <v>267.99999999999994</v>
      </c>
      <c r="EK88" s="17">
        <f>EJ88*VLOOKUP('Données projet'!$B$15,Paramètres!$A$1:$I$89,3,0)*VLOOKUP('Données projet'!$B$15,Paramètres!$A$1:$I$89,5,0)</f>
        <v>242.48639999999995</v>
      </c>
      <c r="EL88" s="13">
        <f t="shared" si="99"/>
        <v>58.974170235372419</v>
      </c>
      <c r="EM88" s="20">
        <f t="shared" si="73"/>
        <v>525.04382649327351</v>
      </c>
      <c r="EN88" s="59">
        <f t="shared" si="74"/>
        <v>818.37715982660688</v>
      </c>
      <c r="EO88" s="59">
        <f ca="1">AVERAGE(OFFSET($EN$3,0,0,'Données projet'!$E$15+1,1))-AVERAGE(OFFSET($H$3,0,0,'Données projet'!$E$15+1,1))</f>
        <v>428.8489304403459</v>
      </c>
      <c r="EP88" s="59">
        <f t="shared" si="100"/>
        <v>247.01165577562966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245.25496369542458</v>
      </c>
      <c r="FK88" s="59">
        <f t="shared" si="102"/>
        <v>342.30266518164211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0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 t="e">
        <f>N89*VLOOKUP('Données projet'!$B$9,Paramètres!$A$1:$I$89,3,0)*VLOOKUP('Données projet'!$B$9,Paramètres!$A$1:$I$89,5,0)</f>
        <v>#N/A</v>
      </c>
      <c r="P89" s="13" t="e">
        <f t="shared" si="87"/>
        <v>#N/A</v>
      </c>
      <c r="Q89" s="20" t="e">
        <f t="shared" si="54"/>
        <v>#N/A</v>
      </c>
      <c r="R89" s="59" t="e">
        <f t="shared" si="55"/>
        <v>#N/A</v>
      </c>
      <c r="S89" s="59" t="e">
        <f ca="1">AVERAGE(OFFSET($R$3,0,0,'Données projet'!$E$9+1,1))-AVERAGE(OFFSET($H$3,0,0,'Données projet'!$E$9+1,1))</f>
        <v>#N/A</v>
      </c>
      <c r="T89" s="59" t="e">
        <f t="shared" si="88"/>
        <v>#N/A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 t="e">
        <f>EXP(-LN(2)/35)*Z88+(1-EXP(-LN(2)/35))/(LN(2)/35)*V89*W89*VLOOKUP('Données projet'!$B$9,Paramètres!$A$1:$I$89,3,0)*0.475*44/12</f>
        <v>#N/A</v>
      </c>
      <c r="AA89" s="21" t="e">
        <f>EXP(-LN(2)/25)*AA88+(1-EXP(-LN(2)/25))/(LN(2)/25)*Calculateur!V89*Calculateur!X89*VLOOKUP('Données projet'!$B$9,Paramètres!$A$1:$I$89,3,0)*0.475*44/12</f>
        <v>#N/A</v>
      </c>
      <c r="AB89" s="21" t="e">
        <f>EXP(-LN(2)/2)*AB88+(1-EXP(-LN(2)/2))/(LN(2)/2)*V89*Y89*VLOOKUP('Données projet'!$B$9,Paramètres!$A$1:$I$89,3,0)*0.475*44/12</f>
        <v>#N/A</v>
      </c>
      <c r="AC89" s="22" t="e">
        <f t="shared" si="57"/>
        <v>#N/A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-1.7053025658242404E-13</v>
      </c>
      <c r="AJ89" s="13">
        <f>AI89*VLOOKUP('Données projet'!$B$10,Paramètres!$A$1:$I$89,3,0)*VLOOKUP('Données projet'!$B$10,Paramètres!$A$1:$I$89,5,0)</f>
        <v>-1.4897523215040567E-13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338.55719679154777</v>
      </c>
      <c r="AO89" s="59">
        <f t="shared" si="90"/>
        <v>371.26234252426531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3.5897435882051298</v>
      </c>
      <c r="BD89" s="12">
        <f>IF('Données projet'!$A$88&gt;35,BD88+BC89-BL88,IF(A89&lt;'Données projet'!$A$88,$BA$205^A89,IF(A89='Données projet'!$A$88,'Données projet'!$B$88,BD88+BC89-BL88)))</f>
        <v>202.94871794717943</v>
      </c>
      <c r="BE89" s="13">
        <f>BD89*VLOOKUP('Données projet'!$B$11,Paramètres!$A$1:$I$89,3,0)*VLOOKUP('Données projet'!$B$11,Paramètres!$A$1:$I$89,5,0)</f>
        <v>193.12599999853595</v>
      </c>
      <c r="BF89" s="13">
        <f t="shared" si="91"/>
        <v>48.230409312430965</v>
      </c>
      <c r="BG89" s="20">
        <f t="shared" si="61"/>
        <v>420.36241288326733</v>
      </c>
      <c r="BH89" s="59">
        <f t="shared" si="62"/>
        <v>713.69574621660058</v>
      </c>
      <c r="BI89" s="59">
        <f ca="1">AVERAGE(OFFSET($BH$3,0,0,'Données projet'!$E$11+1,1))-AVERAGE(OFFSET($H$3,0,0,'Données projet'!$E$11+1,1))</f>
        <v>351.6178679548006</v>
      </c>
      <c r="BJ89" s="59">
        <f t="shared" si="92"/>
        <v>244.7141066773861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8.9724358974358953</v>
      </c>
      <c r="BY89" s="12">
        <f>IF('Données projet'!$A$114&gt;35,BY88+BX89-CG88,IF(A89&lt;'Données projet'!$A$114,$BV$205^A89,IF(A89='Données projet'!$A$114,'Données projet'!$B$114,BY88+BX89-CG88)))</f>
        <v>374.10448717948736</v>
      </c>
      <c r="BZ89" s="13">
        <f>BY89*VLOOKUP('Données projet'!$B$12,Paramètres!$A$1:$I$89,3,0)*VLOOKUP('Données projet'!$B$12,Paramètres!$A$1:$I$89,5,0)</f>
        <v>175.0809000000001</v>
      </c>
      <c r="CA89" s="13">
        <f t="shared" si="93"/>
        <v>44.226018415427674</v>
      </c>
      <c r="CB89" s="20">
        <f t="shared" si="64"/>
        <v>381.95954957353666</v>
      </c>
      <c r="CC89" s="59">
        <f t="shared" si="65"/>
        <v>675.29288290686998</v>
      </c>
      <c r="CD89" s="59">
        <f ca="1">AVERAGE(OFFSET($CC$3,0,0,'Données projet'!$E$12+1,1))-AVERAGE(OFFSET($H$3,0,0,'Données projet'!$E$12+1,1))</f>
        <v>246.66630850723385</v>
      </c>
      <c r="CE89" s="59">
        <f t="shared" si="94"/>
        <v>145.34368562171613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1.1368683772161603E-13</v>
      </c>
      <c r="CU89" s="17">
        <f>CT89*VLOOKUP('Données projet'!$B$13,Paramètres!$A$1:$I$89,3,0)*VLOOKUP('Données projet'!$B$13,Paramètres!$A$1:$I$89,5,0)</f>
        <v>8.8675733422860506E-14</v>
      </c>
      <c r="CV89" s="13">
        <f t="shared" si="95"/>
        <v>1.3509285393066301E-12</v>
      </c>
      <c r="CW89" s="20">
        <f t="shared" si="67"/>
        <v>2.5073107750038623E-12</v>
      </c>
      <c r="CX89" s="59">
        <f t="shared" si="68"/>
        <v>293.33333333333582</v>
      </c>
      <c r="CY89" s="59">
        <f ca="1">AVERAGE(OFFSET($CX$3,0,0,'Données projet'!$E$13+1,1))-AVERAGE(OFFSET($H$3,0,0,'Données projet'!$E$13+1,1))</f>
        <v>292.57482726862594</v>
      </c>
      <c r="CZ89" s="59">
        <f t="shared" si="96"/>
        <v>283.48738729114024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5.6</v>
      </c>
      <c r="DO89" s="12">
        <f>IF('Données projet'!$A$166&gt;35,DO88+DN89-DW88,IF(A89&lt;'Données projet'!$A$166,$DL$205^A89,IF(A89='Données projet'!$A$166,'Données projet'!$B$166,DO88+DN89-DW88)))</f>
        <v>273.59999999999997</v>
      </c>
      <c r="DP89" s="17">
        <f>DO89*VLOOKUP('Données projet'!$B$14,Paramètres!$A$1:$I$89,3,0)*VLOOKUP('Données projet'!$B$14,Paramètres!$A$1:$I$89,5,0)</f>
        <v>277.43039999999996</v>
      </c>
      <c r="DQ89" s="13">
        <f t="shared" si="97"/>
        <v>66.423687500715673</v>
      </c>
      <c r="DR89" s="20">
        <f t="shared" si="70"/>
        <v>598.87920239707967</v>
      </c>
      <c r="DS89" s="59">
        <f t="shared" si="71"/>
        <v>892.21253573041304</v>
      </c>
      <c r="DT89" s="59">
        <f ca="1">AVERAGE(OFFSET($DS$3,0,0,'Données projet'!$E$14+1,1))-AVERAGE(OFFSET($H$3,0,0,'Données projet'!$E$14+1,1))</f>
        <v>475.47920969424894</v>
      </c>
      <c r="DU89" s="59">
        <f t="shared" si="98"/>
        <v>271.73544012419364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5.6</v>
      </c>
      <c r="EJ89" s="12">
        <f>IF('Données projet'!$A$192&gt;35,EJ88+EI89-ER88,IF(A89&lt;'Données projet'!$A$192,$EG$205^A89,IF(A89='Données projet'!$A$192,'Données projet'!$B$192,EJ88+EI89-ER88)))</f>
        <v>273.59999999999997</v>
      </c>
      <c r="EK89" s="17">
        <f>EJ89*VLOOKUP('Données projet'!$B$15,Paramètres!$A$1:$I$89,3,0)*VLOOKUP('Données projet'!$B$15,Paramètres!$A$1:$I$89,5,0)</f>
        <v>247.55327999999994</v>
      </c>
      <c r="EL89" s="13">
        <f t="shared" si="99"/>
        <v>60.061713068870255</v>
      </c>
      <c r="EM89" s="20">
        <f t="shared" si="73"/>
        <v>535.76277959494894</v>
      </c>
      <c r="EN89" s="59">
        <f t="shared" si="74"/>
        <v>829.09611292828231</v>
      </c>
      <c r="EO89" s="59">
        <f ca="1">AVERAGE(OFFSET($EN$3,0,0,'Données projet'!$E$15+1,1))-AVERAGE(OFFSET($H$3,0,0,'Données projet'!$E$15+1,1))</f>
        <v>428.8489304403459</v>
      </c>
      <c r="EP89" s="59">
        <f t="shared" si="100"/>
        <v>247.01165577562966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245.25496369542458</v>
      </c>
      <c r="FK89" s="59">
        <f t="shared" si="102"/>
        <v>342.30266518164211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0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 t="e">
        <f>N90*VLOOKUP('Données projet'!$B$9,Paramètres!$A$1:$I$89,3,0)*VLOOKUP('Données projet'!$B$9,Paramètres!$A$1:$I$89,5,0)</f>
        <v>#N/A</v>
      </c>
      <c r="P90" s="13" t="e">
        <f t="shared" si="87"/>
        <v>#N/A</v>
      </c>
      <c r="Q90" s="20" t="e">
        <f t="shared" si="54"/>
        <v>#N/A</v>
      </c>
      <c r="R90" s="59" t="e">
        <f t="shared" si="55"/>
        <v>#N/A</v>
      </c>
      <c r="S90" s="59" t="e">
        <f ca="1">AVERAGE(OFFSET($R$3,0,0,'Données projet'!$E$9+1,1))-AVERAGE(OFFSET($H$3,0,0,'Données projet'!$E$9+1,1))</f>
        <v>#N/A</v>
      </c>
      <c r="T90" s="59" t="e">
        <f t="shared" si="88"/>
        <v>#N/A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 t="e">
        <f>EXP(-LN(2)/35)*Z89+(1-EXP(-LN(2)/35))/(LN(2)/35)*V90*W90*VLOOKUP('Données projet'!$B$9,Paramètres!$A$1:$I$89,3,0)*0.475*44/12</f>
        <v>#N/A</v>
      </c>
      <c r="AA90" s="21" t="e">
        <f>EXP(-LN(2)/25)*AA89+(1-EXP(-LN(2)/25))/(LN(2)/25)*Calculateur!V90*Calculateur!X90*VLOOKUP('Données projet'!$B$9,Paramètres!$A$1:$I$89,3,0)*0.475*44/12</f>
        <v>#N/A</v>
      </c>
      <c r="AB90" s="21" t="e">
        <f>EXP(-LN(2)/2)*AB89+(1-EXP(-LN(2)/2))/(LN(2)/2)*V90*Y90*VLOOKUP('Données projet'!$B$9,Paramètres!$A$1:$I$89,3,0)*0.475*44/12</f>
        <v>#N/A</v>
      </c>
      <c r="AC90" s="22" t="e">
        <f t="shared" si="57"/>
        <v>#N/A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-1.7053025658242404E-13</v>
      </c>
      <c r="AJ90" s="13">
        <f>AI90*VLOOKUP('Données projet'!$B$10,Paramètres!$A$1:$I$89,3,0)*VLOOKUP('Données projet'!$B$10,Paramètres!$A$1:$I$89,5,0)</f>
        <v>-1.4897523215040567E-13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338.55719679154777</v>
      </c>
      <c r="AO90" s="59">
        <f t="shared" si="90"/>
        <v>371.26234252426531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3.5897435882051298</v>
      </c>
      <c r="BD90" s="12">
        <f>IF('Données projet'!$A$88&gt;35,BD89+BC90-BL89,IF(A90&lt;'Données projet'!$A$88,$BA$205^A90,IF(A90='Données projet'!$A$88,'Données projet'!$B$88,BD89+BC90-BL89)))</f>
        <v>206.53846153538456</v>
      </c>
      <c r="BE90" s="13">
        <f>BD90*VLOOKUP('Données projet'!$B$11,Paramètres!$A$1:$I$89,3,0)*VLOOKUP('Données projet'!$B$11,Paramètres!$A$1:$I$89,5,0)</f>
        <v>196.54199999707194</v>
      </c>
      <c r="BF90" s="13">
        <f t="shared" si="91"/>
        <v>48.983434287248933</v>
      </c>
      <c r="BG90" s="20">
        <f t="shared" si="61"/>
        <v>427.62346471185884</v>
      </c>
      <c r="BH90" s="59">
        <f t="shared" si="62"/>
        <v>720.95679804519216</v>
      </c>
      <c r="BI90" s="59">
        <f ca="1">AVERAGE(OFFSET($BH$3,0,0,'Données projet'!$E$11+1,1))-AVERAGE(OFFSET($H$3,0,0,'Données projet'!$E$11+1,1))</f>
        <v>351.6178679548006</v>
      </c>
      <c r="BJ90" s="59">
        <f t="shared" si="92"/>
        <v>244.7141066773861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>
        <f>VLOOKUP(A90,'Données projet'!$A$113:$I$133,2,0)</f>
        <v>383.07692307692304</v>
      </c>
      <c r="BW90" s="12">
        <f>VLOOKUP(A90,'Données projet'!$A$113:$I$133,9,0)</f>
        <v>8.9724358974358953</v>
      </c>
      <c r="BX90" s="12">
        <f t="array" ref="BX90">INDEX(BW:BW,MIN(IF(ISNUMBER(BW90:BW286),ROW(BW90:BW286),"")))</f>
        <v>8.9724358974358953</v>
      </c>
      <c r="BY90" s="12">
        <f>IF('Données projet'!$A$114&gt;35,BY89+BX90-CG89,IF(A90&lt;'Données projet'!$A$114,$BV$205^A90,IF(A90='Données projet'!$A$114,'Données projet'!$B$114,BY89+BX90-CG89)))</f>
        <v>383.07692307692326</v>
      </c>
      <c r="BZ90" s="13">
        <f>BY90*VLOOKUP('Données projet'!$B$12,Paramètres!$A$1:$I$89,3,0)*VLOOKUP('Données projet'!$B$12,Paramètres!$A$1:$I$89,5,0)</f>
        <v>179.28000000000009</v>
      </c>
      <c r="CA90" s="13">
        <f t="shared" si="93"/>
        <v>45.161962084677683</v>
      </c>
      <c r="CB90" s="20">
        <f t="shared" si="64"/>
        <v>390.90308396414707</v>
      </c>
      <c r="CC90" s="59">
        <f t="shared" si="65"/>
        <v>684.23641729748033</v>
      </c>
      <c r="CD90" s="59">
        <f ca="1">AVERAGE(OFFSET($CC$3,0,0,'Données projet'!$E$12+1,1))-AVERAGE(OFFSET($H$3,0,0,'Données projet'!$E$12+1,1))</f>
        <v>246.66630850723385</v>
      </c>
      <c r="CE90" s="59">
        <f t="shared" si="94"/>
        <v>145.34368562171613</v>
      </c>
      <c r="CF90" s="15">
        <f>IF(ISNA(VLOOKUP(A90,'Données projet'!$A$113:$I$133,3,0)),0,VLOOKUP(A90,'Données projet'!$A$113:$I$133,3,0))</f>
        <v>4</v>
      </c>
      <c r="CG90" s="15">
        <f>IF(ISNA(VLOOKUP(A90,'Données projet'!$A$113:$I$133,4,0)),0,VLOOKUP(A90,'Données projet'!$A$113:$I$133,4,0))</f>
        <v>82.938461538461524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1.1368683772161603E-13</v>
      </c>
      <c r="CU90" s="17">
        <f>CT90*VLOOKUP('Données projet'!$B$13,Paramètres!$A$1:$I$89,3,0)*VLOOKUP('Données projet'!$B$13,Paramètres!$A$1:$I$89,5,0)</f>
        <v>8.8675733422860506E-14</v>
      </c>
      <c r="CV90" s="13">
        <f t="shared" si="95"/>
        <v>1.3509285393066301E-12</v>
      </c>
      <c r="CW90" s="20">
        <f t="shared" si="67"/>
        <v>2.5073107750038623E-12</v>
      </c>
      <c r="CX90" s="59">
        <f t="shared" si="68"/>
        <v>293.33333333333582</v>
      </c>
      <c r="CY90" s="59">
        <f ca="1">AVERAGE(OFFSET($CX$3,0,0,'Données projet'!$E$13+1,1))-AVERAGE(OFFSET($H$3,0,0,'Données projet'!$E$13+1,1))</f>
        <v>292.57482726862594</v>
      </c>
      <c r="CZ90" s="59">
        <f t="shared" si="96"/>
        <v>283.48738729114024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5.6</v>
      </c>
      <c r="DO90" s="12">
        <f>IF('Données projet'!$A$166&gt;35,DO89+DN90-DW89,IF(A90&lt;'Données projet'!$A$166,$DL$205^A90,IF(A90='Données projet'!$A$166,'Données projet'!$B$166,DO89+DN90-DW89)))</f>
        <v>279.2</v>
      </c>
      <c r="DP90" s="17">
        <f>DO90*VLOOKUP('Données projet'!$B$14,Paramètres!$A$1:$I$89,3,0)*VLOOKUP('Données projet'!$B$14,Paramètres!$A$1:$I$89,5,0)</f>
        <v>283.10879999999997</v>
      </c>
      <c r="DQ90" s="13">
        <f t="shared" si="97"/>
        <v>67.623564901653808</v>
      </c>
      <c r="DR90" s="20">
        <f t="shared" si="70"/>
        <v>610.85886887038032</v>
      </c>
      <c r="DS90" s="59">
        <f t="shared" si="71"/>
        <v>904.19220220371358</v>
      </c>
      <c r="DT90" s="59">
        <f ca="1">AVERAGE(OFFSET($DS$3,0,0,'Données projet'!$E$14+1,1))-AVERAGE(OFFSET($H$3,0,0,'Données projet'!$E$14+1,1))</f>
        <v>475.47920969424894</v>
      </c>
      <c r="DU90" s="59">
        <f t="shared" si="98"/>
        <v>271.73544012419364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5.6</v>
      </c>
      <c r="EJ90" s="12">
        <f>IF('Données projet'!$A$192&gt;35,EJ89+EI90-ER89,IF(A90&lt;'Données projet'!$A$192,$EG$205^A90,IF(A90='Données projet'!$A$192,'Données projet'!$B$192,EJ89+EI90-ER89)))</f>
        <v>279.2</v>
      </c>
      <c r="EK90" s="17">
        <f>EJ90*VLOOKUP('Données projet'!$B$15,Paramètres!$A$1:$I$89,3,0)*VLOOKUP('Données projet'!$B$15,Paramètres!$A$1:$I$89,5,0)</f>
        <v>252.62015999999997</v>
      </c>
      <c r="EL90" s="13">
        <f t="shared" si="99"/>
        <v>61.14666777229877</v>
      </c>
      <c r="EM90" s="20">
        <f t="shared" si="73"/>
        <v>546.47722503675357</v>
      </c>
      <c r="EN90" s="59">
        <f t="shared" si="74"/>
        <v>839.81055837008694</v>
      </c>
      <c r="EO90" s="59">
        <f ca="1">AVERAGE(OFFSET($EN$3,0,0,'Données projet'!$E$15+1,1))-AVERAGE(OFFSET($H$3,0,0,'Données projet'!$E$15+1,1))</f>
        <v>428.8489304403459</v>
      </c>
      <c r="EP90" s="59">
        <f t="shared" si="100"/>
        <v>247.01165577562966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245.25496369542458</v>
      </c>
      <c r="FK90" s="59">
        <f t="shared" si="102"/>
        <v>342.30266518164211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0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 t="e">
        <f>N91*VLOOKUP('Données projet'!$B$9,Paramètres!$A$1:$I$89,3,0)*VLOOKUP('Données projet'!$B$9,Paramètres!$A$1:$I$89,5,0)</f>
        <v>#N/A</v>
      </c>
      <c r="P91" s="13" t="e">
        <f t="shared" si="87"/>
        <v>#N/A</v>
      </c>
      <c r="Q91" s="20" t="e">
        <f t="shared" si="54"/>
        <v>#N/A</v>
      </c>
      <c r="R91" s="59" t="e">
        <f t="shared" si="55"/>
        <v>#N/A</v>
      </c>
      <c r="S91" s="59" t="e">
        <f ca="1">AVERAGE(OFFSET($R$3,0,0,'Données projet'!$E$9+1,1))-AVERAGE(OFFSET($H$3,0,0,'Données projet'!$E$9+1,1))</f>
        <v>#N/A</v>
      </c>
      <c r="T91" s="59" t="e">
        <f t="shared" si="88"/>
        <v>#N/A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 t="e">
        <f>EXP(-LN(2)/35)*Z90+(1-EXP(-LN(2)/35))/(LN(2)/35)*V91*W91*VLOOKUP('Données projet'!$B$9,Paramètres!$A$1:$I$89,3,0)*0.475*44/12</f>
        <v>#N/A</v>
      </c>
      <c r="AA91" s="21" t="e">
        <f>EXP(-LN(2)/25)*AA90+(1-EXP(-LN(2)/25))/(LN(2)/25)*Calculateur!V91*Calculateur!X91*VLOOKUP('Données projet'!$B$9,Paramètres!$A$1:$I$89,3,0)*0.475*44/12</f>
        <v>#N/A</v>
      </c>
      <c r="AB91" s="21" t="e">
        <f>EXP(-LN(2)/2)*AB90+(1-EXP(-LN(2)/2))/(LN(2)/2)*V91*Y91*VLOOKUP('Données projet'!$B$9,Paramètres!$A$1:$I$89,3,0)*0.475*44/12</f>
        <v>#N/A</v>
      </c>
      <c r="AC91" s="22" t="e">
        <f t="shared" si="57"/>
        <v>#N/A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-1.7053025658242404E-13</v>
      </c>
      <c r="AJ91" s="13">
        <f>AI91*VLOOKUP('Données projet'!$B$10,Paramètres!$A$1:$I$89,3,0)*VLOOKUP('Données projet'!$B$10,Paramètres!$A$1:$I$89,5,0)</f>
        <v>-1.4897523215040567E-13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338.55719679154777</v>
      </c>
      <c r="AO91" s="59">
        <f t="shared" si="90"/>
        <v>371.26234252426531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3.5897435882051298</v>
      </c>
      <c r="BD91" s="12">
        <f>IF('Données projet'!$A$88&gt;35,BD90+BC91-BL90,IF(A91&lt;'Données projet'!$A$88,$BA$205^A91,IF(A91='Données projet'!$A$88,'Données projet'!$B$88,BD90+BC91-BL90)))</f>
        <v>210.12820512358968</v>
      </c>
      <c r="BE91" s="13">
        <f>BD91*VLOOKUP('Données projet'!$B$11,Paramètres!$A$1:$I$89,3,0)*VLOOKUP('Données projet'!$B$11,Paramètres!$A$1:$I$89,5,0)</f>
        <v>199.95799999560793</v>
      </c>
      <c r="BF91" s="13">
        <f t="shared" si="91"/>
        <v>49.734937282809547</v>
      </c>
      <c r="BG91" s="20">
        <f t="shared" si="61"/>
        <v>434.8818657599104</v>
      </c>
      <c r="BH91" s="59">
        <f t="shared" si="62"/>
        <v>728.21519909324365</v>
      </c>
      <c r="BI91" s="59">
        <f ca="1">AVERAGE(OFFSET($BH$3,0,0,'Données projet'!$E$11+1,1))-AVERAGE(OFFSET($H$3,0,0,'Données projet'!$E$11+1,1))</f>
        <v>351.6178679548006</v>
      </c>
      <c r="BJ91" s="59">
        <f t="shared" si="92"/>
        <v>244.7141066773861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8.1294871794871799</v>
      </c>
      <c r="BY91" s="12">
        <f>IF('Données projet'!$A$114&gt;35,BY90+BX91-CG90,IF(A91&lt;'Données projet'!$A$114,$BV$205^A91,IF(A91='Données projet'!$A$114,'Données projet'!$B$114,BY90+BX91-CG90)))</f>
        <v>308.26794871794891</v>
      </c>
      <c r="BZ91" s="13">
        <f>BY91*VLOOKUP('Données projet'!$B$12,Paramètres!$A$1:$I$89,3,0)*VLOOKUP('Données projet'!$B$12,Paramètres!$A$1:$I$89,5,0)</f>
        <v>144.2694000000001</v>
      </c>
      <c r="CA91" s="13">
        <f t="shared" si="93"/>
        <v>37.273348560481445</v>
      </c>
      <c r="CB91" s="20">
        <f t="shared" si="64"/>
        <v>316.18695374283868</v>
      </c>
      <c r="CC91" s="59">
        <f t="shared" si="65"/>
        <v>609.52028707617205</v>
      </c>
      <c r="CD91" s="59">
        <f ca="1">AVERAGE(OFFSET($CC$3,0,0,'Données projet'!$E$12+1,1))-AVERAGE(OFFSET($H$3,0,0,'Données projet'!$E$12+1,1))</f>
        <v>246.66630850723385</v>
      </c>
      <c r="CE91" s="59">
        <f t="shared" si="94"/>
        <v>145.34368562171613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1.1368683772161603E-13</v>
      </c>
      <c r="CU91" s="17">
        <f>CT91*VLOOKUP('Données projet'!$B$13,Paramètres!$A$1:$I$89,3,0)*VLOOKUP('Données projet'!$B$13,Paramètres!$A$1:$I$89,5,0)</f>
        <v>8.8675733422860506E-14</v>
      </c>
      <c r="CV91" s="13">
        <f t="shared" si="95"/>
        <v>1.3509285393066301E-12</v>
      </c>
      <c r="CW91" s="20">
        <f t="shared" si="67"/>
        <v>2.5073107750038623E-12</v>
      </c>
      <c r="CX91" s="59">
        <f t="shared" si="68"/>
        <v>293.33333333333582</v>
      </c>
      <c r="CY91" s="59">
        <f ca="1">AVERAGE(OFFSET($CX$3,0,0,'Données projet'!$E$13+1,1))-AVERAGE(OFFSET($H$3,0,0,'Données projet'!$E$13+1,1))</f>
        <v>292.57482726862594</v>
      </c>
      <c r="CZ91" s="59">
        <f t="shared" si="96"/>
        <v>283.48738729114024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5.6</v>
      </c>
      <c r="DO91" s="12">
        <f>IF('Données projet'!$A$166&gt;35,DO90+DN91-DW90,IF(A91&lt;'Données projet'!$A$166,$DL$205^A91,IF(A91='Données projet'!$A$166,'Données projet'!$B$166,DO90+DN91-DW90)))</f>
        <v>284.8</v>
      </c>
      <c r="DP91" s="17">
        <f>DO91*VLOOKUP('Données projet'!$B$14,Paramètres!$A$1:$I$89,3,0)*VLOOKUP('Données projet'!$B$14,Paramètres!$A$1:$I$89,5,0)</f>
        <v>288.78720000000004</v>
      </c>
      <c r="DQ91" s="13">
        <f t="shared" si="97"/>
        <v>68.820644053442436</v>
      </c>
      <c r="DR91" s="20">
        <f t="shared" si="70"/>
        <v>622.83366172641229</v>
      </c>
      <c r="DS91" s="59">
        <f t="shared" si="71"/>
        <v>916.16699505974566</v>
      </c>
      <c r="DT91" s="59">
        <f ca="1">AVERAGE(OFFSET($DS$3,0,0,'Données projet'!$E$14+1,1))-AVERAGE(OFFSET($H$3,0,0,'Données projet'!$E$14+1,1))</f>
        <v>475.47920969424894</v>
      </c>
      <c r="DU91" s="59">
        <f t="shared" si="98"/>
        <v>271.73544012419364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5.6</v>
      </c>
      <c r="EJ91" s="12">
        <f>IF('Données projet'!$A$192&gt;35,EJ90+EI91-ER90,IF(A91&lt;'Données projet'!$A$192,$EG$205^A91,IF(A91='Données projet'!$A$192,'Données projet'!$B$192,EJ90+EI91-ER90)))</f>
        <v>284.8</v>
      </c>
      <c r="EK91" s="17">
        <f>EJ91*VLOOKUP('Données projet'!$B$15,Paramètres!$A$1:$I$89,3,0)*VLOOKUP('Données projet'!$B$15,Paramètres!$A$1:$I$89,5,0)</f>
        <v>257.68704000000002</v>
      </c>
      <c r="EL91" s="13">
        <f t="shared" si="99"/>
        <v>62.229092239243343</v>
      </c>
      <c r="EM91" s="20">
        <f t="shared" si="73"/>
        <v>557.18726365001555</v>
      </c>
      <c r="EN91" s="59">
        <f t="shared" si="74"/>
        <v>850.52059698334892</v>
      </c>
      <c r="EO91" s="59">
        <f ca="1">AVERAGE(OFFSET($EN$3,0,0,'Données projet'!$E$15+1,1))-AVERAGE(OFFSET($H$3,0,0,'Données projet'!$E$15+1,1))</f>
        <v>428.8489304403459</v>
      </c>
      <c r="EP91" s="59">
        <f t="shared" si="100"/>
        <v>247.01165577562966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245.25496369542458</v>
      </c>
      <c r="FK91" s="59">
        <f t="shared" si="102"/>
        <v>342.30266518164211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0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 t="e">
        <f>N92*VLOOKUP('Données projet'!$B$9,Paramètres!$A$1:$I$89,3,0)*VLOOKUP('Données projet'!$B$9,Paramètres!$A$1:$I$89,5,0)</f>
        <v>#N/A</v>
      </c>
      <c r="P92" s="13" t="e">
        <f t="shared" si="87"/>
        <v>#N/A</v>
      </c>
      <c r="Q92" s="20" t="e">
        <f t="shared" si="54"/>
        <v>#N/A</v>
      </c>
      <c r="R92" s="59" t="e">
        <f t="shared" si="55"/>
        <v>#N/A</v>
      </c>
      <c r="S92" s="59" t="e">
        <f ca="1">AVERAGE(OFFSET($R$3,0,0,'Données projet'!$E$9+1,1))-AVERAGE(OFFSET($H$3,0,0,'Données projet'!$E$9+1,1))</f>
        <v>#N/A</v>
      </c>
      <c r="T92" s="59" t="e">
        <f t="shared" si="88"/>
        <v>#N/A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 t="e">
        <f>EXP(-LN(2)/35)*Z91+(1-EXP(-LN(2)/35))/(LN(2)/35)*V92*W92*VLOOKUP('Données projet'!$B$9,Paramètres!$A$1:$I$89,3,0)*0.475*44/12</f>
        <v>#N/A</v>
      </c>
      <c r="AA92" s="21" t="e">
        <f>EXP(-LN(2)/25)*AA91+(1-EXP(-LN(2)/25))/(LN(2)/25)*Calculateur!V92*Calculateur!X92*VLOOKUP('Données projet'!$B$9,Paramètres!$A$1:$I$89,3,0)*0.475*44/12</f>
        <v>#N/A</v>
      </c>
      <c r="AB92" s="21" t="e">
        <f>EXP(-LN(2)/2)*AB91+(1-EXP(-LN(2)/2))/(LN(2)/2)*V92*Y92*VLOOKUP('Données projet'!$B$9,Paramètres!$A$1:$I$89,3,0)*0.475*44/12</f>
        <v>#N/A</v>
      </c>
      <c r="AC92" s="22" t="e">
        <f t="shared" si="57"/>
        <v>#N/A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-1.7053025658242404E-13</v>
      </c>
      <c r="AJ92" s="13">
        <f>AI92*VLOOKUP('Données projet'!$B$10,Paramètres!$A$1:$I$89,3,0)*VLOOKUP('Données projet'!$B$10,Paramètres!$A$1:$I$89,5,0)</f>
        <v>-1.4897523215040567E-13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338.55719679154777</v>
      </c>
      <c r="AO92" s="59">
        <f t="shared" si="90"/>
        <v>371.26234252426531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3.5897435882051298</v>
      </c>
      <c r="BD92" s="12">
        <f>IF('Données projet'!$A$88&gt;35,BD91+BC92-BL91,IF(A92&lt;'Données projet'!$A$88,$BA$205^A92,IF(A92='Données projet'!$A$88,'Données projet'!$B$88,BD91+BC92-BL91)))</f>
        <v>213.7179487117948</v>
      </c>
      <c r="BE92" s="13">
        <f>BD92*VLOOKUP('Données projet'!$B$11,Paramètres!$A$1:$I$89,3,0)*VLOOKUP('Données projet'!$B$11,Paramètres!$A$1:$I$89,5,0)</f>
        <v>203.37399999414393</v>
      </c>
      <c r="BF92" s="13">
        <f t="shared" si="91"/>
        <v>50.484947300480954</v>
      </c>
      <c r="BG92" s="20">
        <f t="shared" si="61"/>
        <v>442.13766653813832</v>
      </c>
      <c r="BH92" s="59">
        <f t="shared" si="62"/>
        <v>735.47099987147158</v>
      </c>
      <c r="BI92" s="59">
        <f ca="1">AVERAGE(OFFSET($BH$3,0,0,'Données projet'!$E$11+1,1))-AVERAGE(OFFSET($H$3,0,0,'Données projet'!$E$11+1,1))</f>
        <v>351.6178679548006</v>
      </c>
      <c r="BJ92" s="59">
        <f t="shared" si="92"/>
        <v>244.7141066773861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8.1294871794871799</v>
      </c>
      <c r="BY92" s="12">
        <f>IF('Données projet'!$A$114&gt;35,BY91+BX92-CG91,IF(A92&lt;'Données projet'!$A$114,$BV$205^A92,IF(A92='Données projet'!$A$114,'Données projet'!$B$114,BY91+BX92-CG91)))</f>
        <v>316.39743589743608</v>
      </c>
      <c r="BZ92" s="13">
        <f>BY92*VLOOKUP('Données projet'!$B$12,Paramètres!$A$1:$I$89,3,0)*VLOOKUP('Données projet'!$B$12,Paramètres!$A$1:$I$89,5,0)</f>
        <v>148.07400000000007</v>
      </c>
      <c r="CA92" s="13">
        <f t="shared" si="93"/>
        <v>38.140566555314798</v>
      </c>
      <c r="CB92" s="20">
        <f t="shared" si="64"/>
        <v>324.32370341717336</v>
      </c>
      <c r="CC92" s="59">
        <f t="shared" si="65"/>
        <v>617.65703675050668</v>
      </c>
      <c r="CD92" s="59">
        <f ca="1">AVERAGE(OFFSET($CC$3,0,0,'Données projet'!$E$12+1,1))-AVERAGE(OFFSET($H$3,0,0,'Données projet'!$E$12+1,1))</f>
        <v>246.66630850723385</v>
      </c>
      <c r="CE92" s="59">
        <f t="shared" si="94"/>
        <v>145.34368562171613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1.1368683772161603E-13</v>
      </c>
      <c r="CU92" s="17">
        <f>CT92*VLOOKUP('Données projet'!$B$13,Paramètres!$A$1:$I$89,3,0)*VLOOKUP('Données projet'!$B$13,Paramètres!$A$1:$I$89,5,0)</f>
        <v>8.8675733422860506E-14</v>
      </c>
      <c r="CV92" s="13">
        <f t="shared" si="95"/>
        <v>1.3509285393066301E-12</v>
      </c>
      <c r="CW92" s="20">
        <f t="shared" si="67"/>
        <v>2.5073107750038623E-12</v>
      </c>
      <c r="CX92" s="59">
        <f t="shared" si="68"/>
        <v>293.33333333333582</v>
      </c>
      <c r="CY92" s="59">
        <f ca="1">AVERAGE(OFFSET($CX$3,0,0,'Données projet'!$E$13+1,1))-AVERAGE(OFFSET($H$3,0,0,'Données projet'!$E$13+1,1))</f>
        <v>292.57482726862594</v>
      </c>
      <c r="CZ92" s="59">
        <f t="shared" si="96"/>
        <v>283.48738729114024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5.6</v>
      </c>
      <c r="DO92" s="12">
        <f>IF('Données projet'!$A$166&gt;35,DO91+DN92-DW91,IF(A92&lt;'Données projet'!$A$166,$DL$205^A92,IF(A92='Données projet'!$A$166,'Données projet'!$B$166,DO91+DN92-DW91)))</f>
        <v>290.40000000000003</v>
      </c>
      <c r="DP92" s="17">
        <f>DO92*VLOOKUP('Données projet'!$B$14,Paramètres!$A$1:$I$89,3,0)*VLOOKUP('Données projet'!$B$14,Paramètres!$A$1:$I$89,5,0)</f>
        <v>294.46560000000005</v>
      </c>
      <c r="DQ92" s="13">
        <f t="shared" si="97"/>
        <v>70.014986320104285</v>
      </c>
      <c r="DR92" s="20">
        <f t="shared" si="70"/>
        <v>634.8036878408484</v>
      </c>
      <c r="DS92" s="59">
        <f t="shared" si="71"/>
        <v>928.13702117418165</v>
      </c>
      <c r="DT92" s="59">
        <f ca="1">AVERAGE(OFFSET($DS$3,0,0,'Données projet'!$E$14+1,1))-AVERAGE(OFFSET($H$3,0,0,'Données projet'!$E$14+1,1))</f>
        <v>475.47920969424894</v>
      </c>
      <c r="DU92" s="59">
        <f t="shared" si="98"/>
        <v>271.73544012419364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5.6</v>
      </c>
      <c r="EJ92" s="12">
        <f>IF('Données projet'!$A$192&gt;35,EJ91+EI92-ER91,IF(A92&lt;'Données projet'!$A$192,$EG$205^A92,IF(A92='Données projet'!$A$192,'Données projet'!$B$192,EJ91+EI92-ER91)))</f>
        <v>290.40000000000003</v>
      </c>
      <c r="EK92" s="17">
        <f>EJ92*VLOOKUP('Données projet'!$B$15,Paramètres!$A$1:$I$89,3,0)*VLOOKUP('Données projet'!$B$15,Paramètres!$A$1:$I$89,5,0)</f>
        <v>262.75392000000005</v>
      </c>
      <c r="EL92" s="13">
        <f t="shared" si="99"/>
        <v>63.309041956360382</v>
      </c>
      <c r="EM92" s="20">
        <f t="shared" si="73"/>
        <v>567.89299207399438</v>
      </c>
      <c r="EN92" s="59">
        <f t="shared" si="74"/>
        <v>861.22632540732775</v>
      </c>
      <c r="EO92" s="59">
        <f ca="1">AVERAGE(OFFSET($EN$3,0,0,'Données projet'!$E$15+1,1))-AVERAGE(OFFSET($H$3,0,0,'Données projet'!$E$15+1,1))</f>
        <v>428.8489304403459</v>
      </c>
      <c r="EP92" s="59">
        <f t="shared" si="100"/>
        <v>247.01165577562966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245.25496369542458</v>
      </c>
      <c r="FK92" s="59">
        <f t="shared" si="102"/>
        <v>342.30266518164211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0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 t="e">
        <f>N93*VLOOKUP('Données projet'!$B$9,Paramètres!$A$1:$I$89,3,0)*VLOOKUP('Données projet'!$B$9,Paramètres!$A$1:$I$89,5,0)</f>
        <v>#N/A</v>
      </c>
      <c r="P93" s="13" t="e">
        <f t="shared" si="87"/>
        <v>#N/A</v>
      </c>
      <c r="Q93" s="20" t="e">
        <f t="shared" si="54"/>
        <v>#N/A</v>
      </c>
      <c r="R93" s="59" t="e">
        <f t="shared" si="55"/>
        <v>#N/A</v>
      </c>
      <c r="S93" s="59" t="e">
        <f ca="1">AVERAGE(OFFSET($R$3,0,0,'Données projet'!$E$9+1,1))-AVERAGE(OFFSET($H$3,0,0,'Données projet'!$E$9+1,1))</f>
        <v>#N/A</v>
      </c>
      <c r="T93" s="59" t="e">
        <f t="shared" si="88"/>
        <v>#N/A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 t="e">
        <f>EXP(-LN(2)/35)*Z92+(1-EXP(-LN(2)/35))/(LN(2)/35)*V93*W93*VLOOKUP('Données projet'!$B$9,Paramètres!$A$1:$I$89,3,0)*0.475*44/12</f>
        <v>#N/A</v>
      </c>
      <c r="AA93" s="21" t="e">
        <f>EXP(-LN(2)/25)*AA92+(1-EXP(-LN(2)/25))/(LN(2)/25)*Calculateur!V93*Calculateur!X93*VLOOKUP('Données projet'!$B$9,Paramètres!$A$1:$I$89,3,0)*0.475*44/12</f>
        <v>#N/A</v>
      </c>
      <c r="AB93" s="21" t="e">
        <f>EXP(-LN(2)/2)*AB92+(1-EXP(-LN(2)/2))/(LN(2)/2)*V93*Y93*VLOOKUP('Données projet'!$B$9,Paramètres!$A$1:$I$89,3,0)*0.475*44/12</f>
        <v>#N/A</v>
      </c>
      <c r="AC93" s="22" t="e">
        <f t="shared" si="57"/>
        <v>#N/A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-1.7053025658242404E-13</v>
      </c>
      <c r="AJ93" s="13">
        <f>AI93*VLOOKUP('Données projet'!$B$10,Paramètres!$A$1:$I$89,3,0)*VLOOKUP('Données projet'!$B$10,Paramètres!$A$1:$I$89,5,0)</f>
        <v>-1.4897523215040567E-13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338.55719679154777</v>
      </c>
      <c r="AO93" s="59">
        <f t="shared" si="90"/>
        <v>371.26234252426531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217.30769230000001</v>
      </c>
      <c r="BB93" s="12">
        <f>VLOOKUP(A93,'Données projet'!$A$87:$I$107,9,0)</f>
        <v>3.5897435882051298</v>
      </c>
      <c r="BC93" s="12">
        <f t="array" ref="BC93">INDEX(BB:BB,MIN(IF(ISNUMBER(BB93:BB289),ROW(BB93:BB289),"")))</f>
        <v>3.5897435882051298</v>
      </c>
      <c r="BD93" s="12">
        <f>IF('Données projet'!$A$88&gt;35,BD92+BC93-BL92,IF(A93&lt;'Données projet'!$A$88,$BA$205^A93,IF(A93='Données projet'!$A$88,'Données projet'!$B$88,BD92+BC93-BL92)))</f>
        <v>217.30769229999993</v>
      </c>
      <c r="BE93" s="13">
        <f>BD93*VLOOKUP('Données projet'!$B$11,Paramètres!$A$1:$I$89,3,0)*VLOOKUP('Données projet'!$B$11,Paramètres!$A$1:$I$89,5,0)</f>
        <v>206.78999999267992</v>
      </c>
      <c r="BF93" s="13">
        <f t="shared" si="91"/>
        <v>51.233492311541006</v>
      </c>
      <c r="BG93" s="20">
        <f t="shared" si="61"/>
        <v>449.39091576318475</v>
      </c>
      <c r="BH93" s="59">
        <f t="shared" si="62"/>
        <v>742.72424909651807</v>
      </c>
      <c r="BI93" s="59">
        <f ca="1">AVERAGE(OFFSET($BH$3,0,0,'Données projet'!$E$11+1,1))-AVERAGE(OFFSET($H$3,0,0,'Données projet'!$E$11+1,1))</f>
        <v>351.6178679548006</v>
      </c>
      <c r="BJ93" s="59">
        <f t="shared" si="92"/>
        <v>244.7141066773861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8.1294871794871799</v>
      </c>
      <c r="BY93" s="12">
        <f>IF('Données projet'!$A$114&gt;35,BY92+BX93-CG92,IF(A93&lt;'Données projet'!$A$114,$BV$205^A93,IF(A93='Données projet'!$A$114,'Données projet'!$B$114,BY92+BX93-CG92)))</f>
        <v>324.52692307692325</v>
      </c>
      <c r="BZ93" s="13">
        <f>BY93*VLOOKUP('Données projet'!$B$12,Paramètres!$A$1:$I$89,3,0)*VLOOKUP('Données projet'!$B$12,Paramètres!$A$1:$I$89,5,0)</f>
        <v>151.87860000000009</v>
      </c>
      <c r="CA93" s="13">
        <f t="shared" si="93"/>
        <v>39.005194473106364</v>
      </c>
      <c r="CB93" s="20">
        <f t="shared" si="64"/>
        <v>332.45594204066043</v>
      </c>
      <c r="CC93" s="59">
        <f t="shared" si="65"/>
        <v>625.78927537399375</v>
      </c>
      <c r="CD93" s="59">
        <f ca="1">AVERAGE(OFFSET($CC$3,0,0,'Données projet'!$E$12+1,1))-AVERAGE(OFFSET($H$3,0,0,'Données projet'!$E$12+1,1))</f>
        <v>246.66630850723385</v>
      </c>
      <c r="CE93" s="59">
        <f t="shared" si="94"/>
        <v>145.34368562171613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1.1368683772161603E-13</v>
      </c>
      <c r="CU93" s="17">
        <f>CT93*VLOOKUP('Données projet'!$B$13,Paramètres!$A$1:$I$89,3,0)*VLOOKUP('Données projet'!$B$13,Paramètres!$A$1:$I$89,5,0)</f>
        <v>8.8675733422860506E-14</v>
      </c>
      <c r="CV93" s="13">
        <f t="shared" si="95"/>
        <v>1.3509285393066301E-12</v>
      </c>
      <c r="CW93" s="20">
        <f t="shared" si="67"/>
        <v>2.5073107750038623E-12</v>
      </c>
      <c r="CX93" s="59">
        <f t="shared" si="68"/>
        <v>293.33333333333582</v>
      </c>
      <c r="CY93" s="59">
        <f ca="1">AVERAGE(OFFSET($CX$3,0,0,'Données projet'!$E$13+1,1))-AVERAGE(OFFSET($H$3,0,0,'Données projet'!$E$13+1,1))</f>
        <v>292.57482726862594</v>
      </c>
      <c r="CZ93" s="59">
        <f t="shared" si="96"/>
        <v>283.48738729114024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296</v>
      </c>
      <c r="DM93" s="12">
        <f>VLOOKUP(A93,'Données projet'!$A$165:$I$185,9,0)</f>
        <v>5.6</v>
      </c>
      <c r="DN93" s="12">
        <f t="array" ref="DN93">INDEX(DM:DM,MIN(IF(ISNUMBER(DM93:DM289),ROW(DM93:DM289),"")))</f>
        <v>5.6</v>
      </c>
      <c r="DO93" s="12">
        <f>IF('Données projet'!$A$166&gt;35,DO92+DN93-DW92,IF(A93&lt;'Données projet'!$A$166,$DL$205^A93,IF(A93='Données projet'!$A$166,'Données projet'!$B$166,DO92+DN93-DW92)))</f>
        <v>296.00000000000006</v>
      </c>
      <c r="DP93" s="17">
        <f>DO93*VLOOKUP('Données projet'!$B$14,Paramètres!$A$1:$I$89,3,0)*VLOOKUP('Données projet'!$B$14,Paramètres!$A$1:$I$89,5,0)</f>
        <v>300.14400000000006</v>
      </c>
      <c r="DQ93" s="13">
        <f t="shared" si="97"/>
        <v>71.206650563609855</v>
      </c>
      <c r="DR93" s="20">
        <f t="shared" si="70"/>
        <v>646.76904973162061</v>
      </c>
      <c r="DS93" s="59">
        <f t="shared" si="71"/>
        <v>940.10238306495398</v>
      </c>
      <c r="DT93" s="59">
        <f ca="1">AVERAGE(OFFSET($DS$3,0,0,'Données projet'!$E$14+1,1))-AVERAGE(OFFSET($H$3,0,0,'Données projet'!$E$14+1,1))</f>
        <v>475.47920969424894</v>
      </c>
      <c r="DU93" s="59">
        <f t="shared" si="98"/>
        <v>271.73544012419364</v>
      </c>
      <c r="DV93" s="15">
        <f>IF(ISNA(VLOOKUP(A93,'Données projet'!$A$165:$I$185,3,0)),0,VLOOKUP(A93,'Données projet'!$A$165:$I$185,3,0))</f>
        <v>7</v>
      </c>
      <c r="DW93" s="15">
        <f>IF(ISNA(VLOOKUP(A93,'Données projet'!$A$165:$I$185,4,0)),0,VLOOKUP(A93,'Données projet'!$A$165:$I$185,4,0))</f>
        <v>42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296</v>
      </c>
      <c r="EH93" s="12">
        <f>VLOOKUP(A93,'Données projet'!$A$191:$I$211,9,0)</f>
        <v>5.6</v>
      </c>
      <c r="EI93" s="12">
        <f t="array" ref="EI93">INDEX(EH:EH,MIN(IF(ISNUMBER(EH93:EH289),ROW(EH93:EH289),"")))</f>
        <v>5.6</v>
      </c>
      <c r="EJ93" s="12">
        <f>IF('Données projet'!$A$192&gt;35,EJ92+EI93-ER92,IF(A93&lt;'Données projet'!$A$192,$EG$205^A93,IF(A93='Données projet'!$A$192,'Données projet'!$B$192,EJ92+EI93-ER92)))</f>
        <v>296.00000000000006</v>
      </c>
      <c r="EK93" s="17">
        <f>EJ93*VLOOKUP('Données projet'!$B$15,Paramètres!$A$1:$I$89,3,0)*VLOOKUP('Données projet'!$B$15,Paramètres!$A$1:$I$89,5,0)</f>
        <v>267.82080000000008</v>
      </c>
      <c r="EL93" s="13">
        <f t="shared" si="99"/>
        <v>64.386570147897373</v>
      </c>
      <c r="EM93" s="20">
        <f t="shared" si="73"/>
        <v>578.59450300758806</v>
      </c>
      <c r="EN93" s="59">
        <f t="shared" si="74"/>
        <v>871.92783634092143</v>
      </c>
      <c r="EO93" s="59">
        <f ca="1">AVERAGE(OFFSET($EN$3,0,0,'Données projet'!$E$15+1,1))-AVERAGE(OFFSET($H$3,0,0,'Données projet'!$E$15+1,1))</f>
        <v>428.8489304403459</v>
      </c>
      <c r="EP93" s="59">
        <f t="shared" si="100"/>
        <v>247.01165577562966</v>
      </c>
      <c r="EQ93" s="15">
        <f>IF(ISNA(VLOOKUP(A93,'Données projet'!$A$191:$I$211,3,0)),0,VLOOKUP(A93,'Données projet'!$A$191:$I$211,3,0))</f>
        <v>7</v>
      </c>
      <c r="ER93" s="15">
        <f>IF(ISNA(VLOOKUP(A93,'Données projet'!$A$191:$I$211,4,0)),0,VLOOKUP(A93,'Données projet'!$A$191:$I$211,4,0))</f>
        <v>42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245.25496369542458</v>
      </c>
      <c r="FK93" s="59">
        <f t="shared" si="102"/>
        <v>342.30266518164211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0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 t="e">
        <f>N94*VLOOKUP('Données projet'!$B$9,Paramètres!$A$1:$I$89,3,0)*VLOOKUP('Données projet'!$B$9,Paramètres!$A$1:$I$89,5,0)</f>
        <v>#N/A</v>
      </c>
      <c r="P94" s="13" t="e">
        <f t="shared" si="87"/>
        <v>#N/A</v>
      </c>
      <c r="Q94" s="20" t="e">
        <f t="shared" si="54"/>
        <v>#N/A</v>
      </c>
      <c r="R94" s="59" t="e">
        <f t="shared" si="55"/>
        <v>#N/A</v>
      </c>
      <c r="S94" s="59" t="e">
        <f ca="1">AVERAGE(OFFSET($R$3,0,0,'Données projet'!$E$9+1,1))-AVERAGE(OFFSET($H$3,0,0,'Données projet'!$E$9+1,1))</f>
        <v>#N/A</v>
      </c>
      <c r="T94" s="59" t="e">
        <f t="shared" si="88"/>
        <v>#N/A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 t="e">
        <f>EXP(-LN(2)/35)*Z93+(1-EXP(-LN(2)/35))/(LN(2)/35)*V94*W94*VLOOKUP('Données projet'!$B$9,Paramètres!$A$1:$I$89,3,0)*0.475*44/12</f>
        <v>#N/A</v>
      </c>
      <c r="AA94" s="21" t="e">
        <f>EXP(-LN(2)/25)*AA93+(1-EXP(-LN(2)/25))/(LN(2)/25)*Calculateur!V94*Calculateur!X94*VLOOKUP('Données projet'!$B$9,Paramètres!$A$1:$I$89,3,0)*0.475*44/12</f>
        <v>#N/A</v>
      </c>
      <c r="AB94" s="21" t="e">
        <f>EXP(-LN(2)/2)*AB93+(1-EXP(-LN(2)/2))/(LN(2)/2)*V94*Y94*VLOOKUP('Données projet'!$B$9,Paramètres!$A$1:$I$89,3,0)*0.475*44/12</f>
        <v>#N/A</v>
      </c>
      <c r="AC94" s="22" t="e">
        <f t="shared" si="57"/>
        <v>#N/A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-1.7053025658242404E-13</v>
      </c>
      <c r="AJ94" s="13">
        <f>AI94*VLOOKUP('Données projet'!$B$10,Paramètres!$A$1:$I$89,3,0)*VLOOKUP('Données projet'!$B$10,Paramètres!$A$1:$I$89,5,0)</f>
        <v>-1.4897523215040567E-13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338.55719679154777</v>
      </c>
      <c r="AO94" s="59">
        <f t="shared" si="90"/>
        <v>371.26234252426531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3.3333333348717931</v>
      </c>
      <c r="BD94" s="12">
        <f>IF('Données projet'!$A$88&gt;35,BD93+BC94-BL93,IF(A94&lt;'Données projet'!$A$88,$BA$205^A94,IF(A94='Données projet'!$A$88,'Données projet'!$B$88,BD93+BC94-BL93)))</f>
        <v>220.64102563487171</v>
      </c>
      <c r="BE94" s="13">
        <f>BD94*VLOOKUP('Données projet'!$B$11,Paramètres!$A$1:$I$89,3,0)*VLOOKUP('Données projet'!$B$11,Paramètres!$A$1:$I$89,5,0)</f>
        <v>209.96199999414392</v>
      </c>
      <c r="BF94" s="13">
        <f t="shared" si="91"/>
        <v>51.927281653496763</v>
      </c>
      <c r="BG94" s="20">
        <f t="shared" si="61"/>
        <v>456.1238322029742</v>
      </c>
      <c r="BH94" s="59">
        <f t="shared" si="62"/>
        <v>749.45716553630746</v>
      </c>
      <c r="BI94" s="59">
        <f ca="1">AVERAGE(OFFSET($BH$3,0,0,'Données projet'!$E$11+1,1))-AVERAGE(OFFSET($H$3,0,0,'Données projet'!$E$11+1,1))</f>
        <v>351.6178679548006</v>
      </c>
      <c r="BJ94" s="59">
        <f t="shared" si="92"/>
        <v>244.7141066773861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8.1294871794871799</v>
      </c>
      <c r="BY94" s="12">
        <f>IF('Données projet'!$A$114&gt;35,BY93+BX94-CG93,IF(A94&lt;'Données projet'!$A$114,$BV$205^A94,IF(A94='Données projet'!$A$114,'Données projet'!$B$114,BY93+BX94-CG93)))</f>
        <v>332.65641025641042</v>
      </c>
      <c r="BZ94" s="13">
        <f>BY94*VLOOKUP('Données projet'!$B$12,Paramètres!$A$1:$I$89,3,0)*VLOOKUP('Données projet'!$B$12,Paramètres!$A$1:$I$89,5,0)</f>
        <v>155.68320000000008</v>
      </c>
      <c r="CA94" s="13">
        <f t="shared" si="93"/>
        <v>39.867304658071845</v>
      </c>
      <c r="CB94" s="20">
        <f t="shared" si="64"/>
        <v>340.58379561280861</v>
      </c>
      <c r="CC94" s="59">
        <f t="shared" si="65"/>
        <v>633.91712894614193</v>
      </c>
      <c r="CD94" s="59">
        <f ca="1">AVERAGE(OFFSET($CC$3,0,0,'Données projet'!$E$12+1,1))-AVERAGE(OFFSET($H$3,0,0,'Données projet'!$E$12+1,1))</f>
        <v>246.66630850723385</v>
      </c>
      <c r="CE94" s="59">
        <f t="shared" si="94"/>
        <v>145.34368562171613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1.1368683772161603E-13</v>
      </c>
      <c r="CU94" s="17">
        <f>CT94*VLOOKUP('Données projet'!$B$13,Paramètres!$A$1:$I$89,3,0)*VLOOKUP('Données projet'!$B$13,Paramètres!$A$1:$I$89,5,0)</f>
        <v>8.8675733422860506E-14</v>
      </c>
      <c r="CV94" s="13">
        <f t="shared" si="95"/>
        <v>1.3509285393066301E-12</v>
      </c>
      <c r="CW94" s="20">
        <f t="shared" si="67"/>
        <v>2.5073107750038623E-12</v>
      </c>
      <c r="CX94" s="59">
        <f t="shared" si="68"/>
        <v>293.33333333333582</v>
      </c>
      <c r="CY94" s="59">
        <f ca="1">AVERAGE(OFFSET($CX$3,0,0,'Données projet'!$E$13+1,1))-AVERAGE(OFFSET($H$3,0,0,'Données projet'!$E$13+1,1))</f>
        <v>292.57482726862594</v>
      </c>
      <c r="CZ94" s="59">
        <f t="shared" si="96"/>
        <v>283.48738729114024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4.9000000000000004</v>
      </c>
      <c r="DO94" s="12">
        <f>IF('Données projet'!$A$166&gt;35,DO93+DN94-DW93,IF(A94&lt;'Données projet'!$A$166,$DL$205^A94,IF(A94='Données projet'!$A$166,'Données projet'!$B$166,DO93+DN94-DW93)))</f>
        <v>258.90000000000003</v>
      </c>
      <c r="DP94" s="17">
        <f>DO94*VLOOKUP('Données projet'!$B$14,Paramètres!$A$1:$I$89,3,0)*VLOOKUP('Données projet'!$B$14,Paramètres!$A$1:$I$89,5,0)</f>
        <v>262.52460000000002</v>
      </c>
      <c r="DQ94" s="13">
        <f t="shared" si="97"/>
        <v>63.260217631774687</v>
      </c>
      <c r="DR94" s="20">
        <f t="shared" si="70"/>
        <v>567.40855737534105</v>
      </c>
      <c r="DS94" s="59">
        <f t="shared" si="71"/>
        <v>860.74189070867442</v>
      </c>
      <c r="DT94" s="59">
        <f ca="1">AVERAGE(OFFSET($DS$3,0,0,'Données projet'!$E$14+1,1))-AVERAGE(OFFSET($H$3,0,0,'Données projet'!$E$14+1,1))</f>
        <v>475.47920969424894</v>
      </c>
      <c r="DU94" s="59">
        <f t="shared" si="98"/>
        <v>271.73544012419364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4.9000000000000004</v>
      </c>
      <c r="EJ94" s="12">
        <f>IF('Données projet'!$A$192&gt;35,EJ93+EI94-ER93,IF(A94&lt;'Données projet'!$A$192,$EG$205^A94,IF(A94='Données projet'!$A$192,'Données projet'!$B$192,EJ93+EI94-ER93)))</f>
        <v>258.90000000000003</v>
      </c>
      <c r="EK94" s="17">
        <f>EJ94*VLOOKUP('Données projet'!$B$15,Paramètres!$A$1:$I$89,3,0)*VLOOKUP('Données projet'!$B$15,Paramètres!$A$1:$I$89,5,0)</f>
        <v>234.25272000000001</v>
      </c>
      <c r="EL94" s="13">
        <f t="shared" si="99"/>
        <v>57.201236231171301</v>
      </c>
      <c r="EM94" s="20">
        <f t="shared" si="73"/>
        <v>507.61564043595672</v>
      </c>
      <c r="EN94" s="59">
        <f t="shared" si="74"/>
        <v>800.94897376928998</v>
      </c>
      <c r="EO94" s="59">
        <f ca="1">AVERAGE(OFFSET($EN$3,0,0,'Données projet'!$E$15+1,1))-AVERAGE(OFFSET($H$3,0,0,'Données projet'!$E$15+1,1))</f>
        <v>428.8489304403459</v>
      </c>
      <c r="EP94" s="59">
        <f t="shared" si="100"/>
        <v>247.01165577562966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245.25496369542458</v>
      </c>
      <c r="FK94" s="59">
        <f t="shared" si="102"/>
        <v>342.30266518164211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0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 t="e">
        <f>N95*VLOOKUP('Données projet'!$B$9,Paramètres!$A$1:$I$89,3,0)*VLOOKUP('Données projet'!$B$9,Paramètres!$A$1:$I$89,5,0)</f>
        <v>#N/A</v>
      </c>
      <c r="P95" s="13" t="e">
        <f t="shared" si="87"/>
        <v>#N/A</v>
      </c>
      <c r="Q95" s="20" t="e">
        <f t="shared" si="54"/>
        <v>#N/A</v>
      </c>
      <c r="R95" s="59" t="e">
        <f t="shared" si="55"/>
        <v>#N/A</v>
      </c>
      <c r="S95" s="59" t="e">
        <f ca="1">AVERAGE(OFFSET($R$3,0,0,'Données projet'!$E$9+1,1))-AVERAGE(OFFSET($H$3,0,0,'Données projet'!$E$9+1,1))</f>
        <v>#N/A</v>
      </c>
      <c r="T95" s="59" t="e">
        <f t="shared" si="88"/>
        <v>#N/A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 t="e">
        <f>EXP(-LN(2)/35)*Z94+(1-EXP(-LN(2)/35))/(LN(2)/35)*V95*W95*VLOOKUP('Données projet'!$B$9,Paramètres!$A$1:$I$89,3,0)*0.475*44/12</f>
        <v>#N/A</v>
      </c>
      <c r="AA95" s="21" t="e">
        <f>EXP(-LN(2)/25)*AA94+(1-EXP(-LN(2)/25))/(LN(2)/25)*Calculateur!V95*Calculateur!X95*VLOOKUP('Données projet'!$B$9,Paramètres!$A$1:$I$89,3,0)*0.475*44/12</f>
        <v>#N/A</v>
      </c>
      <c r="AB95" s="21" t="e">
        <f>EXP(-LN(2)/2)*AB94+(1-EXP(-LN(2)/2))/(LN(2)/2)*V95*Y95*VLOOKUP('Données projet'!$B$9,Paramètres!$A$1:$I$89,3,0)*0.475*44/12</f>
        <v>#N/A</v>
      </c>
      <c r="AC95" s="22" t="e">
        <f t="shared" si="57"/>
        <v>#N/A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-1.7053025658242404E-13</v>
      </c>
      <c r="AJ95" s="13">
        <f>AI95*VLOOKUP('Données projet'!$B$10,Paramètres!$A$1:$I$89,3,0)*VLOOKUP('Données projet'!$B$10,Paramètres!$A$1:$I$89,5,0)</f>
        <v>-1.4897523215040567E-13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338.55719679154777</v>
      </c>
      <c r="AO95" s="59">
        <f t="shared" si="90"/>
        <v>371.26234252426531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3.3333333348717931</v>
      </c>
      <c r="BD95" s="12">
        <f>IF('Données projet'!$A$88&gt;35,BD94+BC95-BL94,IF(A95&lt;'Données projet'!$A$88,$BA$205^A95,IF(A95='Données projet'!$A$88,'Données projet'!$B$88,BD94+BC95-BL94)))</f>
        <v>223.97435896974349</v>
      </c>
      <c r="BE95" s="13">
        <f>BD95*VLOOKUP('Données projet'!$B$11,Paramètres!$A$1:$I$89,3,0)*VLOOKUP('Données projet'!$B$11,Paramètres!$A$1:$I$89,5,0)</f>
        <v>213.13399999560792</v>
      </c>
      <c r="BF95" s="13">
        <f t="shared" si="91"/>
        <v>52.619851981294566</v>
      </c>
      <c r="BG95" s="20">
        <f t="shared" si="61"/>
        <v>462.85462552643844</v>
      </c>
      <c r="BH95" s="59">
        <f t="shared" si="62"/>
        <v>756.1879588597717</v>
      </c>
      <c r="BI95" s="59">
        <f ca="1">AVERAGE(OFFSET($BH$3,0,0,'Données projet'!$E$11+1,1))-AVERAGE(OFFSET($H$3,0,0,'Données projet'!$E$11+1,1))</f>
        <v>351.6178679548006</v>
      </c>
      <c r="BJ95" s="59">
        <f t="shared" si="92"/>
        <v>244.7141066773861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8.1294871794871799</v>
      </c>
      <c r="BY95" s="12">
        <f>IF('Données projet'!$A$114&gt;35,BY94+BX95-CG94,IF(A95&lt;'Données projet'!$A$114,$BV$205^A95,IF(A95='Données projet'!$A$114,'Données projet'!$B$114,BY94+BX95-CG94)))</f>
        <v>340.7858974358976</v>
      </c>
      <c r="BZ95" s="13">
        <f>BY95*VLOOKUP('Données projet'!$B$12,Paramètres!$A$1:$I$89,3,0)*VLOOKUP('Données projet'!$B$12,Paramètres!$A$1:$I$89,5,0)</f>
        <v>159.48780000000008</v>
      </c>
      <c r="CA95" s="13">
        <f t="shared" si="93"/>
        <v>40.726965716924106</v>
      </c>
      <c r="CB95" s="20">
        <f t="shared" si="64"/>
        <v>348.7073836236429</v>
      </c>
      <c r="CC95" s="59">
        <f t="shared" si="65"/>
        <v>642.04071695697621</v>
      </c>
      <c r="CD95" s="59">
        <f ca="1">AVERAGE(OFFSET($CC$3,0,0,'Données projet'!$E$12+1,1))-AVERAGE(OFFSET($H$3,0,0,'Données projet'!$E$12+1,1))</f>
        <v>246.66630850723385</v>
      </c>
      <c r="CE95" s="59">
        <f t="shared" si="94"/>
        <v>145.34368562171613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1.1368683772161603E-13</v>
      </c>
      <c r="CU95" s="17">
        <f>CT95*VLOOKUP('Données projet'!$B$13,Paramètres!$A$1:$I$89,3,0)*VLOOKUP('Données projet'!$B$13,Paramètres!$A$1:$I$89,5,0)</f>
        <v>8.8675733422860506E-14</v>
      </c>
      <c r="CV95" s="13">
        <f t="shared" si="95"/>
        <v>1.3509285393066301E-12</v>
      </c>
      <c r="CW95" s="20">
        <f t="shared" si="67"/>
        <v>2.5073107750038623E-12</v>
      </c>
      <c r="CX95" s="59">
        <f t="shared" si="68"/>
        <v>293.33333333333582</v>
      </c>
      <c r="CY95" s="59">
        <f ca="1">AVERAGE(OFFSET($CX$3,0,0,'Données projet'!$E$13+1,1))-AVERAGE(OFFSET($H$3,0,0,'Données projet'!$E$13+1,1))</f>
        <v>292.57482726862594</v>
      </c>
      <c r="CZ95" s="59">
        <f t="shared" si="96"/>
        <v>283.48738729114024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4.9000000000000004</v>
      </c>
      <c r="DO95" s="12">
        <f>IF('Données projet'!$A$166&gt;35,DO94+DN95-DW94,IF(A95&lt;'Données projet'!$A$166,$DL$205^A95,IF(A95='Données projet'!$A$166,'Données projet'!$B$166,DO94+DN95-DW94)))</f>
        <v>263.8</v>
      </c>
      <c r="DP95" s="17">
        <f>DO95*VLOOKUP('Données projet'!$B$14,Paramètres!$A$1:$I$89,3,0)*VLOOKUP('Données projet'!$B$14,Paramètres!$A$1:$I$89,5,0)</f>
        <v>267.49320000000006</v>
      </c>
      <c r="DQ95" s="13">
        <f t="shared" si="97"/>
        <v>64.316974590266341</v>
      </c>
      <c r="DR95" s="20">
        <f t="shared" si="70"/>
        <v>577.90272074471397</v>
      </c>
      <c r="DS95" s="59">
        <f t="shared" si="71"/>
        <v>871.23605407804735</v>
      </c>
      <c r="DT95" s="59">
        <f ca="1">AVERAGE(OFFSET($DS$3,0,0,'Données projet'!$E$14+1,1))-AVERAGE(OFFSET($H$3,0,0,'Données projet'!$E$14+1,1))</f>
        <v>475.47920969424894</v>
      </c>
      <c r="DU95" s="59">
        <f t="shared" si="98"/>
        <v>271.73544012419364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4.9000000000000004</v>
      </c>
      <c r="EJ95" s="12">
        <f>IF('Données projet'!$A$192&gt;35,EJ94+EI95-ER94,IF(A95&lt;'Données projet'!$A$192,$EG$205^A95,IF(A95='Données projet'!$A$192,'Données projet'!$B$192,EJ94+EI95-ER94)))</f>
        <v>263.8</v>
      </c>
      <c r="EK95" s="17">
        <f>EJ95*VLOOKUP('Données projet'!$B$15,Paramètres!$A$1:$I$89,3,0)*VLOOKUP('Données projet'!$B$15,Paramètres!$A$1:$I$89,5,0)</f>
        <v>238.68624</v>
      </c>
      <c r="EL95" s="13">
        <f t="shared" si="99"/>
        <v>58.156778382060871</v>
      </c>
      <c r="EM95" s="20">
        <f t="shared" si="73"/>
        <v>517.00159034875594</v>
      </c>
      <c r="EN95" s="59">
        <f t="shared" si="74"/>
        <v>810.33492368208931</v>
      </c>
      <c r="EO95" s="59">
        <f ca="1">AVERAGE(OFFSET($EN$3,0,0,'Données projet'!$E$15+1,1))-AVERAGE(OFFSET($H$3,0,0,'Données projet'!$E$15+1,1))</f>
        <v>428.8489304403459</v>
      </c>
      <c r="EP95" s="59">
        <f t="shared" si="100"/>
        <v>247.01165577562966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245.25496369542458</v>
      </c>
      <c r="FK95" s="59">
        <f t="shared" si="102"/>
        <v>342.30266518164211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0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 t="e">
        <f>N96*VLOOKUP('Données projet'!$B$9,Paramètres!$A$1:$I$89,3,0)*VLOOKUP('Données projet'!$B$9,Paramètres!$A$1:$I$89,5,0)</f>
        <v>#N/A</v>
      </c>
      <c r="P96" s="13" t="e">
        <f t="shared" si="87"/>
        <v>#N/A</v>
      </c>
      <c r="Q96" s="20" t="e">
        <f t="shared" si="54"/>
        <v>#N/A</v>
      </c>
      <c r="R96" s="59" t="e">
        <f t="shared" si="55"/>
        <v>#N/A</v>
      </c>
      <c r="S96" s="59" t="e">
        <f ca="1">AVERAGE(OFFSET($R$3,0,0,'Données projet'!$E$9+1,1))-AVERAGE(OFFSET($H$3,0,0,'Données projet'!$E$9+1,1))</f>
        <v>#N/A</v>
      </c>
      <c r="T96" s="59" t="e">
        <f t="shared" si="88"/>
        <v>#N/A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 t="e">
        <f>EXP(-LN(2)/35)*Z95+(1-EXP(-LN(2)/35))/(LN(2)/35)*V96*W96*VLOOKUP('Données projet'!$B$9,Paramètres!$A$1:$I$89,3,0)*0.475*44/12</f>
        <v>#N/A</v>
      </c>
      <c r="AA96" s="21" t="e">
        <f>EXP(-LN(2)/25)*AA95+(1-EXP(-LN(2)/25))/(LN(2)/25)*Calculateur!V96*Calculateur!X96*VLOOKUP('Données projet'!$B$9,Paramètres!$A$1:$I$89,3,0)*0.475*44/12</f>
        <v>#N/A</v>
      </c>
      <c r="AB96" s="21" t="e">
        <f>EXP(-LN(2)/2)*AB95+(1-EXP(-LN(2)/2))/(LN(2)/2)*V96*Y96*VLOOKUP('Données projet'!$B$9,Paramètres!$A$1:$I$89,3,0)*0.475*44/12</f>
        <v>#N/A</v>
      </c>
      <c r="AC96" s="22" t="e">
        <f t="shared" si="57"/>
        <v>#N/A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-1.7053025658242404E-13</v>
      </c>
      <c r="AJ96" s="13">
        <f>AI96*VLOOKUP('Données projet'!$B$10,Paramètres!$A$1:$I$89,3,0)*VLOOKUP('Données projet'!$B$10,Paramètres!$A$1:$I$89,5,0)</f>
        <v>-1.4897523215040567E-13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338.55719679154777</v>
      </c>
      <c r="AO96" s="59">
        <f t="shared" si="90"/>
        <v>371.26234252426531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3.3333333348717931</v>
      </c>
      <c r="BD96" s="12">
        <f>IF('Données projet'!$A$88&gt;35,BD95+BC96-BL95,IF(A96&lt;'Données projet'!$A$88,$BA$205^A96,IF(A96='Données projet'!$A$88,'Données projet'!$B$88,BD95+BC96-BL95)))</f>
        <v>227.30769230461527</v>
      </c>
      <c r="BE96" s="13">
        <f>BD96*VLOOKUP('Données projet'!$B$11,Paramètres!$A$1:$I$89,3,0)*VLOOKUP('Données projet'!$B$11,Paramètres!$A$1:$I$89,5,0)</f>
        <v>216.30599999707189</v>
      </c>
      <c r="BF96" s="13">
        <f t="shared" si="91"/>
        <v>53.311223532822375</v>
      </c>
      <c r="BG96" s="20">
        <f t="shared" si="61"/>
        <v>469.58333098123245</v>
      </c>
      <c r="BH96" s="59">
        <f t="shared" si="62"/>
        <v>762.91666431456576</v>
      </c>
      <c r="BI96" s="59">
        <f ca="1">AVERAGE(OFFSET($BH$3,0,0,'Données projet'!$E$11+1,1))-AVERAGE(OFFSET($H$3,0,0,'Données projet'!$E$11+1,1))</f>
        <v>351.6178679548006</v>
      </c>
      <c r="BJ96" s="59">
        <f t="shared" si="92"/>
        <v>244.7141066773861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8.1294871794871799</v>
      </c>
      <c r="BY96" s="12">
        <f>IF('Données projet'!$A$114&gt;35,BY95+BX96-CG95,IF(A96&lt;'Données projet'!$A$114,$BV$205^A96,IF(A96='Données projet'!$A$114,'Données projet'!$B$114,BY95+BX96-CG95)))</f>
        <v>348.91538461538477</v>
      </c>
      <c r="BZ96" s="13">
        <f>BY96*VLOOKUP('Données projet'!$B$12,Paramètres!$A$1:$I$89,3,0)*VLOOKUP('Données projet'!$B$12,Paramètres!$A$1:$I$89,5,0)</f>
        <v>163.29240000000007</v>
      </c>
      <c r="CA96" s="13">
        <f t="shared" si="93"/>
        <v>41.584242796447505</v>
      </c>
      <c r="CB96" s="20">
        <f t="shared" si="64"/>
        <v>356.82681953714615</v>
      </c>
      <c r="CC96" s="59">
        <f t="shared" si="65"/>
        <v>650.16015287047946</v>
      </c>
      <c r="CD96" s="59">
        <f ca="1">AVERAGE(OFFSET($CC$3,0,0,'Données projet'!$E$12+1,1))-AVERAGE(OFFSET($H$3,0,0,'Données projet'!$E$12+1,1))</f>
        <v>246.66630850723385</v>
      </c>
      <c r="CE96" s="59">
        <f t="shared" si="94"/>
        <v>145.34368562171613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1.1368683772161603E-13</v>
      </c>
      <c r="CU96" s="17">
        <f>CT96*VLOOKUP('Données projet'!$B$13,Paramètres!$A$1:$I$89,3,0)*VLOOKUP('Données projet'!$B$13,Paramètres!$A$1:$I$89,5,0)</f>
        <v>8.8675733422860506E-14</v>
      </c>
      <c r="CV96" s="13">
        <f t="shared" si="95"/>
        <v>1.3509285393066301E-12</v>
      </c>
      <c r="CW96" s="20">
        <f t="shared" si="67"/>
        <v>2.5073107750038623E-12</v>
      </c>
      <c r="CX96" s="59">
        <f t="shared" si="68"/>
        <v>293.33333333333582</v>
      </c>
      <c r="CY96" s="59">
        <f ca="1">AVERAGE(OFFSET($CX$3,0,0,'Données projet'!$E$13+1,1))-AVERAGE(OFFSET($H$3,0,0,'Données projet'!$E$13+1,1))</f>
        <v>292.57482726862594</v>
      </c>
      <c r="CZ96" s="59">
        <f t="shared" si="96"/>
        <v>283.48738729114024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4.9000000000000004</v>
      </c>
      <c r="DO96" s="12">
        <f>IF('Données projet'!$A$166&gt;35,DO95+DN96-DW95,IF(A96&lt;'Données projet'!$A$166,$DL$205^A96,IF(A96='Données projet'!$A$166,'Données projet'!$B$166,DO95+DN96-DW95)))</f>
        <v>268.7</v>
      </c>
      <c r="DP96" s="17">
        <f>DO96*VLOOKUP('Données projet'!$B$14,Paramètres!$A$1:$I$89,3,0)*VLOOKUP('Données projet'!$B$14,Paramètres!$A$1:$I$89,5,0)</f>
        <v>272.46180000000004</v>
      </c>
      <c r="DQ96" s="13">
        <f t="shared" si="97"/>
        <v>65.371449071921944</v>
      </c>
      <c r="DR96" s="20">
        <f t="shared" si="70"/>
        <v>588.39290880026408</v>
      </c>
      <c r="DS96" s="59">
        <f t="shared" si="71"/>
        <v>881.72624213359745</v>
      </c>
      <c r="DT96" s="59">
        <f ca="1">AVERAGE(OFFSET($DS$3,0,0,'Données projet'!$E$14+1,1))-AVERAGE(OFFSET($H$3,0,0,'Données projet'!$E$14+1,1))</f>
        <v>475.47920969424894</v>
      </c>
      <c r="DU96" s="59">
        <f t="shared" si="98"/>
        <v>271.73544012419364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4.9000000000000004</v>
      </c>
      <c r="EJ96" s="12">
        <f>IF('Données projet'!$A$192&gt;35,EJ95+EI96-ER95,IF(A96&lt;'Données projet'!$A$192,$EG$205^A96,IF(A96='Données projet'!$A$192,'Données projet'!$B$192,EJ95+EI96-ER95)))</f>
        <v>268.7</v>
      </c>
      <c r="EK96" s="17">
        <f>EJ96*VLOOKUP('Données projet'!$B$15,Paramètres!$A$1:$I$89,3,0)*VLOOKUP('Données projet'!$B$15,Paramètres!$A$1:$I$89,5,0)</f>
        <v>243.11975999999996</v>
      </c>
      <c r="EL96" s="13">
        <f t="shared" si="99"/>
        <v>59.110256668778533</v>
      </c>
      <c r="EM96" s="20">
        <f t="shared" si="73"/>
        <v>526.3839456981226</v>
      </c>
      <c r="EN96" s="59">
        <f t="shared" si="74"/>
        <v>819.71727903145597</v>
      </c>
      <c r="EO96" s="59">
        <f ca="1">AVERAGE(OFFSET($EN$3,0,0,'Données projet'!$E$15+1,1))-AVERAGE(OFFSET($H$3,0,0,'Données projet'!$E$15+1,1))</f>
        <v>428.8489304403459</v>
      </c>
      <c r="EP96" s="59">
        <f t="shared" si="100"/>
        <v>247.01165577562966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245.25496369542458</v>
      </c>
      <c r="FK96" s="59">
        <f t="shared" si="102"/>
        <v>342.30266518164211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0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 t="e">
        <f>N97*VLOOKUP('Données projet'!$B$9,Paramètres!$A$1:$I$89,3,0)*VLOOKUP('Données projet'!$B$9,Paramètres!$A$1:$I$89,5,0)</f>
        <v>#N/A</v>
      </c>
      <c r="P97" s="13" t="e">
        <f t="shared" si="87"/>
        <v>#N/A</v>
      </c>
      <c r="Q97" s="20" t="e">
        <f t="shared" si="54"/>
        <v>#N/A</v>
      </c>
      <c r="R97" s="59" t="e">
        <f t="shared" si="55"/>
        <v>#N/A</v>
      </c>
      <c r="S97" s="59" t="e">
        <f ca="1">AVERAGE(OFFSET($R$3,0,0,'Données projet'!$E$9+1,1))-AVERAGE(OFFSET($H$3,0,0,'Données projet'!$E$9+1,1))</f>
        <v>#N/A</v>
      </c>
      <c r="T97" s="59" t="e">
        <f t="shared" si="88"/>
        <v>#N/A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 t="e">
        <f>EXP(-LN(2)/35)*Z96+(1-EXP(-LN(2)/35))/(LN(2)/35)*V97*W97*VLOOKUP('Données projet'!$B$9,Paramètres!$A$1:$I$89,3,0)*0.475*44/12</f>
        <v>#N/A</v>
      </c>
      <c r="AA97" s="21" t="e">
        <f>EXP(-LN(2)/25)*AA96+(1-EXP(-LN(2)/25))/(LN(2)/25)*Calculateur!V97*Calculateur!X97*VLOOKUP('Données projet'!$B$9,Paramètres!$A$1:$I$89,3,0)*0.475*44/12</f>
        <v>#N/A</v>
      </c>
      <c r="AB97" s="21" t="e">
        <f>EXP(-LN(2)/2)*AB96+(1-EXP(-LN(2)/2))/(LN(2)/2)*V97*Y97*VLOOKUP('Données projet'!$B$9,Paramètres!$A$1:$I$89,3,0)*0.475*44/12</f>
        <v>#N/A</v>
      </c>
      <c r="AC97" s="22" t="e">
        <f t="shared" si="57"/>
        <v>#N/A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-1.7053025658242404E-13</v>
      </c>
      <c r="AJ97" s="13">
        <f>AI97*VLOOKUP('Données projet'!$B$10,Paramètres!$A$1:$I$89,3,0)*VLOOKUP('Données projet'!$B$10,Paramètres!$A$1:$I$89,5,0)</f>
        <v>-1.4897523215040567E-13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338.55719679154777</v>
      </c>
      <c r="AO97" s="59">
        <f t="shared" si="90"/>
        <v>371.26234252426531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3.3333333348717931</v>
      </c>
      <c r="BD97" s="12">
        <f>IF('Données projet'!$A$88&gt;35,BD96+BC97-BL96,IF(A97&lt;'Données projet'!$A$88,$BA$205^A97,IF(A97='Données projet'!$A$88,'Données projet'!$B$88,BD96+BC97-BL96)))</f>
        <v>230.64102563948705</v>
      </c>
      <c r="BE97" s="13">
        <f>BD97*VLOOKUP('Données projet'!$B$11,Paramètres!$A$1:$I$89,3,0)*VLOOKUP('Données projet'!$B$11,Paramètres!$A$1:$I$89,5,0)</f>
        <v>219.47799999853589</v>
      </c>
      <c r="BF97" s="13">
        <f t="shared" si="91"/>
        <v>54.001415918338303</v>
      </c>
      <c r="BG97" s="20">
        <f t="shared" si="61"/>
        <v>476.30998272188918</v>
      </c>
      <c r="BH97" s="59">
        <f t="shared" si="62"/>
        <v>769.6433160552225</v>
      </c>
      <c r="BI97" s="59">
        <f ca="1">AVERAGE(OFFSET($BH$3,0,0,'Données projet'!$E$11+1,1))-AVERAGE(OFFSET($H$3,0,0,'Données projet'!$E$11+1,1))</f>
        <v>351.6178679548006</v>
      </c>
      <c r="BJ97" s="59">
        <f t="shared" si="92"/>
        <v>244.7141066773861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8.1294871794871799</v>
      </c>
      <c r="BY97" s="12">
        <f>IF('Données projet'!$A$114&gt;35,BY96+BX97-CG96,IF(A97&lt;'Données projet'!$A$114,$BV$205^A97,IF(A97='Données projet'!$A$114,'Données projet'!$B$114,BY96+BX97-CG96)))</f>
        <v>357.04487179487194</v>
      </c>
      <c r="BZ97" s="13">
        <f>BY97*VLOOKUP('Données projet'!$B$12,Paramètres!$A$1:$I$89,3,0)*VLOOKUP('Données projet'!$B$12,Paramètres!$A$1:$I$89,5,0)</f>
        <v>167.09700000000007</v>
      </c>
      <c r="CA97" s="13">
        <f t="shared" si="93"/>
        <v>42.439197834474086</v>
      </c>
      <c r="CB97" s="20">
        <f t="shared" si="64"/>
        <v>364.94221122837575</v>
      </c>
      <c r="CC97" s="59">
        <f t="shared" si="65"/>
        <v>658.27554456170901</v>
      </c>
      <c r="CD97" s="59">
        <f ca="1">AVERAGE(OFFSET($CC$3,0,0,'Données projet'!$E$12+1,1))-AVERAGE(OFFSET($H$3,0,0,'Données projet'!$E$12+1,1))</f>
        <v>246.66630850723385</v>
      </c>
      <c r="CE97" s="59">
        <f t="shared" si="94"/>
        <v>145.34368562171613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1.1368683772161603E-13</v>
      </c>
      <c r="CU97" s="17">
        <f>CT97*VLOOKUP('Données projet'!$B$13,Paramètres!$A$1:$I$89,3,0)*VLOOKUP('Données projet'!$B$13,Paramètres!$A$1:$I$89,5,0)</f>
        <v>8.8675733422860506E-14</v>
      </c>
      <c r="CV97" s="13">
        <f t="shared" si="95"/>
        <v>1.3509285393066301E-12</v>
      </c>
      <c r="CW97" s="20">
        <f t="shared" si="67"/>
        <v>2.5073107750038623E-12</v>
      </c>
      <c r="CX97" s="59">
        <f t="shared" si="68"/>
        <v>293.33333333333582</v>
      </c>
      <c r="CY97" s="59">
        <f ca="1">AVERAGE(OFFSET($CX$3,0,0,'Données projet'!$E$13+1,1))-AVERAGE(OFFSET($H$3,0,0,'Données projet'!$E$13+1,1))</f>
        <v>292.57482726862594</v>
      </c>
      <c r="CZ97" s="59">
        <f t="shared" si="96"/>
        <v>283.48738729114024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4.9000000000000004</v>
      </c>
      <c r="DO97" s="12">
        <f>IF('Données projet'!$A$166&gt;35,DO96+DN97-DW96,IF(A97&lt;'Données projet'!$A$166,$DL$205^A97,IF(A97='Données projet'!$A$166,'Données projet'!$B$166,DO96+DN97-DW96)))</f>
        <v>273.59999999999997</v>
      </c>
      <c r="DP97" s="17">
        <f>DO97*VLOOKUP('Données projet'!$B$14,Paramètres!$A$1:$I$89,3,0)*VLOOKUP('Données projet'!$B$14,Paramètres!$A$1:$I$89,5,0)</f>
        <v>277.43039999999996</v>
      </c>
      <c r="DQ97" s="13">
        <f t="shared" si="97"/>
        <v>66.423687500715673</v>
      </c>
      <c r="DR97" s="20">
        <f t="shared" si="70"/>
        <v>598.87920239707967</v>
      </c>
      <c r="DS97" s="59">
        <f t="shared" si="71"/>
        <v>892.21253573041304</v>
      </c>
      <c r="DT97" s="59">
        <f ca="1">AVERAGE(OFFSET($DS$3,0,0,'Données projet'!$E$14+1,1))-AVERAGE(OFFSET($H$3,0,0,'Données projet'!$E$14+1,1))</f>
        <v>475.47920969424894</v>
      </c>
      <c r="DU97" s="59">
        <f t="shared" si="98"/>
        <v>271.73544012419364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4.9000000000000004</v>
      </c>
      <c r="EJ97" s="12">
        <f>IF('Données projet'!$A$192&gt;35,EJ96+EI97-ER96,IF(A97&lt;'Données projet'!$A$192,$EG$205^A97,IF(A97='Données projet'!$A$192,'Données projet'!$B$192,EJ96+EI97-ER96)))</f>
        <v>273.59999999999997</v>
      </c>
      <c r="EK97" s="17">
        <f>EJ97*VLOOKUP('Données projet'!$B$15,Paramètres!$A$1:$I$89,3,0)*VLOOKUP('Données projet'!$B$15,Paramètres!$A$1:$I$89,5,0)</f>
        <v>247.55327999999994</v>
      </c>
      <c r="EL97" s="13">
        <f t="shared" si="99"/>
        <v>60.061713068870255</v>
      </c>
      <c r="EM97" s="20">
        <f t="shared" si="73"/>
        <v>535.76277959494894</v>
      </c>
      <c r="EN97" s="59">
        <f t="shared" si="74"/>
        <v>829.09611292828231</v>
      </c>
      <c r="EO97" s="59">
        <f ca="1">AVERAGE(OFFSET($EN$3,0,0,'Données projet'!$E$15+1,1))-AVERAGE(OFFSET($H$3,0,0,'Données projet'!$E$15+1,1))</f>
        <v>428.8489304403459</v>
      </c>
      <c r="EP97" s="59">
        <f t="shared" si="100"/>
        <v>247.01165577562966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245.25496369542458</v>
      </c>
      <c r="FK97" s="59">
        <f t="shared" si="102"/>
        <v>342.30266518164211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0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 t="e">
        <f>N98*VLOOKUP('Données projet'!$B$9,Paramètres!$A$1:$I$89,3,0)*VLOOKUP('Données projet'!$B$9,Paramètres!$A$1:$I$89,5,0)</f>
        <v>#N/A</v>
      </c>
      <c r="P98" s="13" t="e">
        <f t="shared" si="87"/>
        <v>#N/A</v>
      </c>
      <c r="Q98" s="20" t="e">
        <f t="shared" si="54"/>
        <v>#N/A</v>
      </c>
      <c r="R98" s="59" t="e">
        <f t="shared" si="55"/>
        <v>#N/A</v>
      </c>
      <c r="S98" s="59" t="e">
        <f ca="1">AVERAGE(OFFSET($R$3,0,0,'Données projet'!$E$9+1,1))-AVERAGE(OFFSET($H$3,0,0,'Données projet'!$E$9+1,1))</f>
        <v>#N/A</v>
      </c>
      <c r="T98" s="59" t="e">
        <f t="shared" si="88"/>
        <v>#N/A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 t="e">
        <f>EXP(-LN(2)/35)*Z97+(1-EXP(-LN(2)/35))/(LN(2)/35)*V98*W98*VLOOKUP('Données projet'!$B$9,Paramètres!$A$1:$I$89,3,0)*0.475*44/12</f>
        <v>#N/A</v>
      </c>
      <c r="AA98" s="21" t="e">
        <f>EXP(-LN(2)/25)*AA97+(1-EXP(-LN(2)/25))/(LN(2)/25)*Calculateur!V98*Calculateur!X98*VLOOKUP('Données projet'!$B$9,Paramètres!$A$1:$I$89,3,0)*0.475*44/12</f>
        <v>#N/A</v>
      </c>
      <c r="AB98" s="21" t="e">
        <f>EXP(-LN(2)/2)*AB97+(1-EXP(-LN(2)/2))/(LN(2)/2)*V98*Y98*VLOOKUP('Données projet'!$B$9,Paramètres!$A$1:$I$89,3,0)*0.475*44/12</f>
        <v>#N/A</v>
      </c>
      <c r="AC98" s="22" t="e">
        <f t="shared" si="57"/>
        <v>#N/A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-1.7053025658242404E-13</v>
      </c>
      <c r="AJ98" s="13">
        <f>AI98*VLOOKUP('Données projet'!$B$10,Paramètres!$A$1:$I$89,3,0)*VLOOKUP('Données projet'!$B$10,Paramètres!$A$1:$I$89,5,0)</f>
        <v>-1.4897523215040567E-13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338.55719679154777</v>
      </c>
      <c r="AO98" s="59">
        <f t="shared" si="90"/>
        <v>371.26234252426531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233.97435897435898</v>
      </c>
      <c r="BB98" s="12">
        <f>VLOOKUP(A98,'Données projet'!$A$87:$I$107,9,0)</f>
        <v>3.3333333348717931</v>
      </c>
      <c r="BC98" s="12">
        <f t="array" ref="BC98">INDEX(BB:BB,MIN(IF(ISNUMBER(BB98:BB294),ROW(BB98:BB294),"")))</f>
        <v>3.3333333348717931</v>
      </c>
      <c r="BD98" s="12">
        <f>IF('Données projet'!$A$88&gt;35,BD97+BC98-BL97,IF(A98&lt;'Données projet'!$A$88,$BA$205^A98,IF(A98='Données projet'!$A$88,'Données projet'!$B$88,BD97+BC98-BL97)))</f>
        <v>233.97435897435884</v>
      </c>
      <c r="BE98" s="13">
        <f>BD98*VLOOKUP('Données projet'!$B$11,Paramètres!$A$1:$I$89,3,0)*VLOOKUP('Données projet'!$B$11,Paramètres!$A$1:$I$89,5,0)</f>
        <v>222.64999999999989</v>
      </c>
      <c r="BF98" s="13">
        <f t="shared" si="91"/>
        <v>54.690448148719405</v>
      </c>
      <c r="BG98" s="20">
        <f t="shared" si="61"/>
        <v>483.03461385901943</v>
      </c>
      <c r="BH98" s="59">
        <f t="shared" si="62"/>
        <v>776.36794719235274</v>
      </c>
      <c r="BI98" s="59">
        <f ca="1">AVERAGE(OFFSET($BH$3,0,0,'Données projet'!$E$11+1,1))-AVERAGE(OFFSET($H$3,0,0,'Données projet'!$E$11+1,1))</f>
        <v>351.6178679548006</v>
      </c>
      <c r="BJ98" s="59">
        <f t="shared" si="92"/>
        <v>244.7141066773861</v>
      </c>
      <c r="BK98" s="15">
        <f>IF(ISNA(VLOOKUP(A98,'Données projet'!$A$87:$I$107,3,0)),0,VLOOKUP(A98,'Données projet'!$A$87:$I$107,3,0))</f>
        <v>8</v>
      </c>
      <c r="BL98" s="15">
        <f>IF(ISNA(VLOOKUP(A98,'Données projet'!$A$87:$I$107,4,0)),0,VLOOKUP(A98,'Données projet'!$A$87:$I$107,4,0))</f>
        <v>23.717948717948715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8.1294871794871799</v>
      </c>
      <c r="BY98" s="12">
        <f>IF('Données projet'!$A$114&gt;35,BY97+BX98-CG97,IF(A98&lt;'Données projet'!$A$114,$BV$205^A98,IF(A98='Données projet'!$A$114,'Données projet'!$B$114,BY97+BX98-CG97)))</f>
        <v>365.17435897435911</v>
      </c>
      <c r="BZ98" s="13">
        <f>BY98*VLOOKUP('Données projet'!$B$12,Paramètres!$A$1:$I$89,3,0)*VLOOKUP('Données projet'!$B$12,Paramètres!$A$1:$I$89,5,0)</f>
        <v>170.90160000000009</v>
      </c>
      <c r="CA98" s="13">
        <f t="shared" si="93"/>
        <v>43.291889787357903</v>
      </c>
      <c r="CB98" s="20">
        <f t="shared" si="64"/>
        <v>373.05366137964847</v>
      </c>
      <c r="CC98" s="59">
        <f t="shared" si="65"/>
        <v>666.38699471298173</v>
      </c>
      <c r="CD98" s="59">
        <f ca="1">AVERAGE(OFFSET($CC$3,0,0,'Données projet'!$E$12+1,1))-AVERAGE(OFFSET($H$3,0,0,'Données projet'!$E$12+1,1))</f>
        <v>246.66630850723385</v>
      </c>
      <c r="CE98" s="59">
        <f t="shared" si="94"/>
        <v>145.34368562171613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1.1368683772161603E-13</v>
      </c>
      <c r="CU98" s="17">
        <f>CT98*VLOOKUP('Données projet'!$B$13,Paramètres!$A$1:$I$89,3,0)*VLOOKUP('Données projet'!$B$13,Paramètres!$A$1:$I$89,5,0)</f>
        <v>8.8675733422860506E-14</v>
      </c>
      <c r="CV98" s="13">
        <f t="shared" si="95"/>
        <v>1.3509285393066301E-12</v>
      </c>
      <c r="CW98" s="20">
        <f t="shared" si="67"/>
        <v>2.5073107750038623E-12</v>
      </c>
      <c r="CX98" s="59">
        <f t="shared" si="68"/>
        <v>293.33333333333582</v>
      </c>
      <c r="CY98" s="59">
        <f ca="1">AVERAGE(OFFSET($CX$3,0,0,'Données projet'!$E$13+1,1))-AVERAGE(OFFSET($H$3,0,0,'Données projet'!$E$13+1,1))</f>
        <v>292.57482726862594</v>
      </c>
      <c r="CZ98" s="59">
        <f t="shared" si="96"/>
        <v>283.48738729114024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4.9000000000000004</v>
      </c>
      <c r="DO98" s="12">
        <f>IF('Données projet'!$A$166&gt;35,DO97+DN98-DW97,IF(A98&lt;'Données projet'!$A$166,$DL$205^A98,IF(A98='Données projet'!$A$166,'Données projet'!$B$166,DO97+DN98-DW97)))</f>
        <v>278.49999999999994</v>
      </c>
      <c r="DP98" s="17">
        <f>DO98*VLOOKUP('Données projet'!$B$14,Paramètres!$A$1:$I$89,3,0)*VLOOKUP('Données projet'!$B$14,Paramètres!$A$1:$I$89,5,0)</f>
        <v>282.399</v>
      </c>
      <c r="DQ98" s="13">
        <f t="shared" si="97"/>
        <v>67.473734542548371</v>
      </c>
      <c r="DR98" s="20">
        <f t="shared" si="70"/>
        <v>609.36167932827175</v>
      </c>
      <c r="DS98" s="59">
        <f t="shared" si="71"/>
        <v>902.69501266160501</v>
      </c>
      <c r="DT98" s="59">
        <f ca="1">AVERAGE(OFFSET($DS$3,0,0,'Données projet'!$E$14+1,1))-AVERAGE(OFFSET($H$3,0,0,'Données projet'!$E$14+1,1))</f>
        <v>475.47920969424894</v>
      </c>
      <c r="DU98" s="59">
        <f t="shared" si="98"/>
        <v>271.73544012419364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4.9000000000000004</v>
      </c>
      <c r="EJ98" s="12">
        <f>IF('Données projet'!$A$192&gt;35,EJ97+EI98-ER97,IF(A98&lt;'Données projet'!$A$192,$EG$205^A98,IF(A98='Données projet'!$A$192,'Données projet'!$B$192,EJ97+EI98-ER97)))</f>
        <v>278.49999999999994</v>
      </c>
      <c r="EK98" s="17">
        <f>EJ98*VLOOKUP('Données projet'!$B$15,Paramètres!$A$1:$I$89,3,0)*VLOOKUP('Données projet'!$B$15,Paramètres!$A$1:$I$89,5,0)</f>
        <v>251.98679999999993</v>
      </c>
      <c r="EL98" s="13">
        <f t="shared" si="99"/>
        <v>61.011187970195053</v>
      </c>
      <c r="EM98" s="20">
        <f t="shared" si="73"/>
        <v>545.13816238142283</v>
      </c>
      <c r="EN98" s="59">
        <f t="shared" si="74"/>
        <v>838.4714957147562</v>
      </c>
      <c r="EO98" s="59">
        <f ca="1">AVERAGE(OFFSET($EN$3,0,0,'Données projet'!$E$15+1,1))-AVERAGE(OFFSET($H$3,0,0,'Données projet'!$E$15+1,1))</f>
        <v>428.8489304403459</v>
      </c>
      <c r="EP98" s="59">
        <f t="shared" si="100"/>
        <v>247.01165577562966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245.25496369542458</v>
      </c>
      <c r="FK98" s="59">
        <f t="shared" si="102"/>
        <v>342.30266518164211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0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 t="e">
        <f>N99*VLOOKUP('Données projet'!$B$9,Paramètres!$A$1:$I$89,3,0)*VLOOKUP('Données projet'!$B$9,Paramètres!$A$1:$I$89,5,0)</f>
        <v>#N/A</v>
      </c>
      <c r="P99" s="13" t="e">
        <f t="shared" si="87"/>
        <v>#N/A</v>
      </c>
      <c r="Q99" s="20" t="e">
        <f t="shared" ref="Q99:Q130" si="107">(O99+P99)*0.475*44/12</f>
        <v>#N/A</v>
      </c>
      <c r="R99" s="59" t="e">
        <f t="shared" si="55"/>
        <v>#N/A</v>
      </c>
      <c r="S99" s="59" t="e">
        <f ca="1">AVERAGE(OFFSET($R$3,0,0,'Données projet'!$E$9+1,1))-AVERAGE(OFFSET($H$3,0,0,'Données projet'!$E$9+1,1))</f>
        <v>#N/A</v>
      </c>
      <c r="T99" s="59" t="e">
        <f t="shared" si="88"/>
        <v>#N/A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 t="e">
        <f>EXP(-LN(2)/35)*Z98+(1-EXP(-LN(2)/35))/(LN(2)/35)*V99*W99*VLOOKUP('Données projet'!$B$9,Paramètres!$A$1:$I$89,3,0)*0.475*44/12</f>
        <v>#N/A</v>
      </c>
      <c r="AA99" s="21" t="e">
        <f>EXP(-LN(2)/25)*AA98+(1-EXP(-LN(2)/25))/(LN(2)/25)*Calculateur!V99*Calculateur!X99*VLOOKUP('Données projet'!$B$9,Paramètres!$A$1:$I$89,3,0)*0.475*44/12</f>
        <v>#N/A</v>
      </c>
      <c r="AB99" s="21" t="e">
        <f>EXP(-LN(2)/2)*AB98+(1-EXP(-LN(2)/2))/(LN(2)/2)*V99*Y99*VLOOKUP('Données projet'!$B$9,Paramètres!$A$1:$I$89,3,0)*0.475*44/12</f>
        <v>#N/A</v>
      </c>
      <c r="AC99" s="22" t="e">
        <f t="shared" si="57"/>
        <v>#N/A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-1.7053025658242404E-13</v>
      </c>
      <c r="AJ99" s="13">
        <f>AI99*VLOOKUP('Données projet'!$B$10,Paramètres!$A$1:$I$89,3,0)*VLOOKUP('Données projet'!$B$10,Paramètres!$A$1:$I$89,5,0)</f>
        <v>-1.4897523215040567E-13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338.55719679154777</v>
      </c>
      <c r="AO99" s="59">
        <f t="shared" si="90"/>
        <v>371.26234252426531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3.2051282051281986</v>
      </c>
      <c r="BD99" s="12">
        <f>IF('Données projet'!$A$88&gt;35,BD98+BC99-BL98,IF(A99&lt;'Données projet'!$A$88,$BA$205^A99,IF(A99='Données projet'!$A$88,'Données projet'!$B$88,BD98+BC99-BL98)))</f>
        <v>213.46153846153834</v>
      </c>
      <c r="BE99" s="13">
        <f>BD99*VLOOKUP('Données projet'!$B$11,Paramètres!$A$1:$I$89,3,0)*VLOOKUP('Données projet'!$B$11,Paramètres!$A$1:$I$89,5,0)</f>
        <v>203.12999999999991</v>
      </c>
      <c r="BF99" s="13">
        <f t="shared" si="91"/>
        <v>50.431424067617797</v>
      </c>
      <c r="BG99" s="20">
        <f t="shared" si="61"/>
        <v>441.61948025110081</v>
      </c>
      <c r="BH99" s="59">
        <f t="shared" si="62"/>
        <v>734.95281358443413</v>
      </c>
      <c r="BI99" s="59">
        <f ca="1">AVERAGE(OFFSET($BH$3,0,0,'Données projet'!$E$11+1,1))-AVERAGE(OFFSET($H$3,0,0,'Données projet'!$E$11+1,1))</f>
        <v>351.6178679548006</v>
      </c>
      <c r="BJ99" s="59">
        <f t="shared" si="92"/>
        <v>244.7141066773861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8.1294871794871799</v>
      </c>
      <c r="BY99" s="12">
        <f>IF('Données projet'!$A$114&gt;35,BY98+BX99-CG98,IF(A99&lt;'Données projet'!$A$114,$BV$205^A99,IF(A99='Données projet'!$A$114,'Données projet'!$B$114,BY98+BX99-CG98)))</f>
        <v>373.30384615384628</v>
      </c>
      <c r="BZ99" s="13">
        <f>BY99*VLOOKUP('Données projet'!$B$12,Paramètres!$A$1:$I$89,3,0)*VLOOKUP('Données projet'!$B$12,Paramètres!$A$1:$I$89,5,0)</f>
        <v>174.70620000000005</v>
      </c>
      <c r="CA99" s="13">
        <f t="shared" si="93"/>
        <v>44.142374836622032</v>
      </c>
      <c r="CB99" s="20">
        <f t="shared" si="64"/>
        <v>381.16126784045008</v>
      </c>
      <c r="CC99" s="59">
        <f t="shared" si="65"/>
        <v>674.49460117378339</v>
      </c>
      <c r="CD99" s="59">
        <f ca="1">AVERAGE(OFFSET($CC$3,0,0,'Données projet'!$E$12+1,1))-AVERAGE(OFFSET($H$3,0,0,'Données projet'!$E$12+1,1))</f>
        <v>246.66630850723385</v>
      </c>
      <c r="CE99" s="59">
        <f t="shared" si="94"/>
        <v>145.34368562171613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1.1368683772161603E-13</v>
      </c>
      <c r="CU99" s="17">
        <f>CT99*VLOOKUP('Données projet'!$B$13,Paramètres!$A$1:$I$89,3,0)*VLOOKUP('Données projet'!$B$13,Paramètres!$A$1:$I$89,5,0)</f>
        <v>8.8675733422860506E-14</v>
      </c>
      <c r="CV99" s="13">
        <f t="shared" si="95"/>
        <v>1.3509285393066301E-12</v>
      </c>
      <c r="CW99" s="20">
        <f t="shared" si="67"/>
        <v>2.5073107750038623E-12</v>
      </c>
      <c r="CX99" s="59">
        <f t="shared" si="68"/>
        <v>293.33333333333582</v>
      </c>
      <c r="CY99" s="59">
        <f ca="1">AVERAGE(OFFSET($CX$3,0,0,'Données projet'!$E$13+1,1))-AVERAGE(OFFSET($H$3,0,0,'Données projet'!$E$13+1,1))</f>
        <v>292.57482726862594</v>
      </c>
      <c r="CZ99" s="59">
        <f t="shared" si="96"/>
        <v>283.48738729114024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4.9000000000000004</v>
      </c>
      <c r="DO99" s="12">
        <f>IF('Données projet'!$A$166&gt;35,DO98+DN99-DW98,IF(A99&lt;'Données projet'!$A$166,$DL$205^A99,IF(A99='Données projet'!$A$166,'Données projet'!$B$166,DO98+DN99-DW98)))</f>
        <v>283.39999999999992</v>
      </c>
      <c r="DP99" s="17">
        <f>DO99*VLOOKUP('Données projet'!$B$14,Paramètres!$A$1:$I$89,3,0)*VLOOKUP('Données projet'!$B$14,Paramètres!$A$1:$I$89,5,0)</f>
        <v>287.36759999999992</v>
      </c>
      <c r="DQ99" s="13">
        <f t="shared" si="97"/>
        <v>68.521633201565123</v>
      </c>
      <c r="DR99" s="20">
        <f t="shared" si="70"/>
        <v>619.84041449272581</v>
      </c>
      <c r="DS99" s="59">
        <f t="shared" si="71"/>
        <v>913.17374782605907</v>
      </c>
      <c r="DT99" s="59">
        <f ca="1">AVERAGE(OFFSET($DS$3,0,0,'Données projet'!$E$14+1,1))-AVERAGE(OFFSET($H$3,0,0,'Données projet'!$E$14+1,1))</f>
        <v>475.47920969424894</v>
      </c>
      <c r="DU99" s="59">
        <f t="shared" si="98"/>
        <v>271.73544012419364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4.9000000000000004</v>
      </c>
      <c r="EJ99" s="12">
        <f>IF('Données projet'!$A$192&gt;35,EJ98+EI99-ER98,IF(A99&lt;'Données projet'!$A$192,$EG$205^A99,IF(A99='Données projet'!$A$192,'Données projet'!$B$192,EJ98+EI99-ER98)))</f>
        <v>283.39999999999992</v>
      </c>
      <c r="EK99" s="17">
        <f>EJ99*VLOOKUP('Données projet'!$B$15,Paramètres!$A$1:$I$89,3,0)*VLOOKUP('Données projet'!$B$15,Paramètres!$A$1:$I$89,5,0)</f>
        <v>256.42031999999989</v>
      </c>
      <c r="EL99" s="13">
        <f t="shared" si="99"/>
        <v>61.958720258016918</v>
      </c>
      <c r="EM99" s="20">
        <f t="shared" si="73"/>
        <v>554.51016178271254</v>
      </c>
      <c r="EN99" s="59">
        <f t="shared" si="74"/>
        <v>847.84349511604591</v>
      </c>
      <c r="EO99" s="59">
        <f ca="1">AVERAGE(OFFSET($EN$3,0,0,'Données projet'!$E$15+1,1))-AVERAGE(OFFSET($H$3,0,0,'Données projet'!$E$15+1,1))</f>
        <v>428.8489304403459</v>
      </c>
      <c r="EP99" s="59">
        <f t="shared" si="100"/>
        <v>247.01165577562966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245.25496369542458</v>
      </c>
      <c r="FK99" s="59">
        <f t="shared" si="102"/>
        <v>342.30266518164211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0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 t="e">
        <f>N100*VLOOKUP('Données projet'!$B$9,Paramètres!$A$1:$I$89,3,0)*VLOOKUP('Données projet'!$B$9,Paramètres!$A$1:$I$89,5,0)</f>
        <v>#N/A</v>
      </c>
      <c r="P100" s="13" t="e">
        <f t="shared" si="87"/>
        <v>#N/A</v>
      </c>
      <c r="Q100" s="20" t="e">
        <f t="shared" si="107"/>
        <v>#N/A</v>
      </c>
      <c r="R100" s="59" t="e">
        <f t="shared" si="55"/>
        <v>#N/A</v>
      </c>
      <c r="S100" s="59" t="e">
        <f ca="1">AVERAGE(OFFSET($R$3,0,0,'Données projet'!$E$9+1,1))-AVERAGE(OFFSET($H$3,0,0,'Données projet'!$E$9+1,1))</f>
        <v>#N/A</v>
      </c>
      <c r="T100" s="59" t="e">
        <f t="shared" si="88"/>
        <v>#N/A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 t="e">
        <f>EXP(-LN(2)/35)*Z99+(1-EXP(-LN(2)/35))/(LN(2)/35)*V100*W100*VLOOKUP('Données projet'!$B$9,Paramètres!$A$1:$I$89,3,0)*0.475*44/12</f>
        <v>#N/A</v>
      </c>
      <c r="AA100" s="21" t="e">
        <f>EXP(-LN(2)/25)*AA99+(1-EXP(-LN(2)/25))/(LN(2)/25)*Calculateur!V100*Calculateur!X100*VLOOKUP('Données projet'!$B$9,Paramètres!$A$1:$I$89,3,0)*0.475*44/12</f>
        <v>#N/A</v>
      </c>
      <c r="AB100" s="21" t="e">
        <f>EXP(-LN(2)/2)*AB99+(1-EXP(-LN(2)/2))/(LN(2)/2)*V100*Y100*VLOOKUP('Données projet'!$B$9,Paramètres!$A$1:$I$89,3,0)*0.475*44/12</f>
        <v>#N/A</v>
      </c>
      <c r="AC100" s="22" t="e">
        <f t="shared" si="57"/>
        <v>#N/A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-1.7053025658242404E-13</v>
      </c>
      <c r="AJ100" s="13">
        <f>AI100*VLOOKUP('Données projet'!$B$10,Paramètres!$A$1:$I$89,3,0)*VLOOKUP('Données projet'!$B$10,Paramètres!$A$1:$I$89,5,0)</f>
        <v>-1.4897523215040567E-13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338.55719679154777</v>
      </c>
      <c r="AO100" s="59">
        <f t="shared" si="90"/>
        <v>371.26234252426531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3.2051282051281986</v>
      </c>
      <c r="BD100" s="12">
        <f>IF('Données projet'!$A$88&gt;35,BD99+BC100-BL99,IF(A100&lt;'Données projet'!$A$88,$BA$205^A100,IF(A100='Données projet'!$A$88,'Données projet'!$B$88,BD99+BC100-BL99)))</f>
        <v>216.66666666666654</v>
      </c>
      <c r="BE100" s="13">
        <f>BD100*VLOOKUP('Données projet'!$B$11,Paramètres!$A$1:$I$89,3,0)*VLOOKUP('Données projet'!$B$11,Paramètres!$A$1:$I$89,5,0)</f>
        <v>206.17999999999989</v>
      </c>
      <c r="BF100" s="13">
        <f t="shared" si="91"/>
        <v>51.09992979292003</v>
      </c>
      <c r="BG100" s="20">
        <f t="shared" si="61"/>
        <v>448.09587772266883</v>
      </c>
      <c r="BH100" s="59">
        <f t="shared" si="62"/>
        <v>741.42921105600215</v>
      </c>
      <c r="BI100" s="59">
        <f ca="1">AVERAGE(OFFSET($BH$3,0,0,'Données projet'!$E$11+1,1))-AVERAGE(OFFSET($H$3,0,0,'Données projet'!$E$11+1,1))</f>
        <v>351.6178679548006</v>
      </c>
      <c r="BJ100" s="59">
        <f t="shared" si="92"/>
        <v>244.7141066773861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8.1294871794871799</v>
      </c>
      <c r="BY100" s="12">
        <f>IF('Données projet'!$A$114&gt;35,BY99+BX100-CG99,IF(A100&lt;'Données projet'!$A$114,$BV$205^A100,IF(A100='Données projet'!$A$114,'Données projet'!$B$114,BY99+BX100-CG99)))</f>
        <v>381.43333333333345</v>
      </c>
      <c r="BZ100" s="13">
        <f>BY100*VLOOKUP('Données projet'!$B$12,Paramètres!$A$1:$I$89,3,0)*VLOOKUP('Données projet'!$B$12,Paramètres!$A$1:$I$89,5,0)</f>
        <v>178.51080000000005</v>
      </c>
      <c r="CA100" s="13">
        <f t="shared" si="93"/>
        <v>44.990706577097058</v>
      </c>
      <c r="CB100" s="20">
        <f t="shared" si="64"/>
        <v>389.26512395511077</v>
      </c>
      <c r="CC100" s="59">
        <f t="shared" si="65"/>
        <v>682.59845728844402</v>
      </c>
      <c r="CD100" s="59">
        <f ca="1">AVERAGE(OFFSET($CC$3,0,0,'Données projet'!$E$12+1,1))-AVERAGE(OFFSET($H$3,0,0,'Données projet'!$E$12+1,1))</f>
        <v>246.66630850723385</v>
      </c>
      <c r="CE100" s="59">
        <f t="shared" si="94"/>
        <v>145.34368562171613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1.1368683772161603E-13</v>
      </c>
      <c r="CU100" s="17">
        <f>CT100*VLOOKUP('Données projet'!$B$13,Paramètres!$A$1:$I$89,3,0)*VLOOKUP('Données projet'!$B$13,Paramètres!$A$1:$I$89,5,0)</f>
        <v>8.8675733422860506E-14</v>
      </c>
      <c r="CV100" s="13">
        <f t="shared" si="95"/>
        <v>1.3509285393066301E-12</v>
      </c>
      <c r="CW100" s="20">
        <f t="shared" si="67"/>
        <v>2.5073107750038623E-12</v>
      </c>
      <c r="CX100" s="59">
        <f t="shared" si="68"/>
        <v>293.33333333333582</v>
      </c>
      <c r="CY100" s="59">
        <f ca="1">AVERAGE(OFFSET($CX$3,0,0,'Données projet'!$E$13+1,1))-AVERAGE(OFFSET($H$3,0,0,'Données projet'!$E$13+1,1))</f>
        <v>292.57482726862594</v>
      </c>
      <c r="CZ100" s="59">
        <f t="shared" si="96"/>
        <v>283.48738729114024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4.9000000000000004</v>
      </c>
      <c r="DO100" s="12">
        <f>IF('Données projet'!$A$166&gt;35,DO99+DN100-DW99,IF(A100&lt;'Données projet'!$A$166,$DL$205^A100,IF(A100='Données projet'!$A$166,'Données projet'!$B$166,DO99+DN100-DW99)))</f>
        <v>288.2999999999999</v>
      </c>
      <c r="DP100" s="17">
        <f>DO100*VLOOKUP('Données projet'!$B$14,Paramètres!$A$1:$I$89,3,0)*VLOOKUP('Données projet'!$B$14,Paramètres!$A$1:$I$89,5,0)</f>
        <v>292.33619999999996</v>
      </c>
      <c r="DQ100" s="13">
        <f t="shared" si="97"/>
        <v>69.56742490962327</v>
      </c>
      <c r="DR100" s="20">
        <f t="shared" si="70"/>
        <v>630.31548005092702</v>
      </c>
      <c r="DS100" s="59">
        <f t="shared" si="71"/>
        <v>923.64881338426039</v>
      </c>
      <c r="DT100" s="59">
        <f ca="1">AVERAGE(OFFSET($DS$3,0,0,'Données projet'!$E$14+1,1))-AVERAGE(OFFSET($H$3,0,0,'Données projet'!$E$14+1,1))</f>
        <v>475.47920969424894</v>
      </c>
      <c r="DU100" s="59">
        <f t="shared" si="98"/>
        <v>271.73544012419364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4.9000000000000004</v>
      </c>
      <c r="EJ100" s="12">
        <f>IF('Données projet'!$A$192&gt;35,EJ99+EI100-ER99,IF(A100&lt;'Données projet'!$A$192,$EG$205^A100,IF(A100='Données projet'!$A$192,'Données projet'!$B$192,EJ99+EI100-ER99)))</f>
        <v>288.2999999999999</v>
      </c>
      <c r="EK100" s="17">
        <f>EJ100*VLOOKUP('Données projet'!$B$15,Paramètres!$A$1:$I$89,3,0)*VLOOKUP('Données projet'!$B$15,Paramètres!$A$1:$I$89,5,0)</f>
        <v>260.85383999999993</v>
      </c>
      <c r="EL100" s="13">
        <f t="shared" si="99"/>
        <v>62.904347395903763</v>
      </c>
      <c r="EM100" s="20">
        <f t="shared" si="73"/>
        <v>563.87884304786564</v>
      </c>
      <c r="EN100" s="59">
        <f t="shared" si="74"/>
        <v>857.21217638119901</v>
      </c>
      <c r="EO100" s="59">
        <f ca="1">AVERAGE(OFFSET($EN$3,0,0,'Données projet'!$E$15+1,1))-AVERAGE(OFFSET($H$3,0,0,'Données projet'!$E$15+1,1))</f>
        <v>428.8489304403459</v>
      </c>
      <c r="EP100" s="59">
        <f t="shared" si="100"/>
        <v>247.01165577562966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245.25496369542458</v>
      </c>
      <c r="FK100" s="59">
        <f t="shared" si="102"/>
        <v>342.30266518164211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0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 t="e">
        <f>N101*VLOOKUP('Données projet'!$B$9,Paramètres!$A$1:$I$89,3,0)*VLOOKUP('Données projet'!$B$9,Paramètres!$A$1:$I$89,5,0)</f>
        <v>#N/A</v>
      </c>
      <c r="P101" s="13" t="e">
        <f t="shared" si="87"/>
        <v>#N/A</v>
      </c>
      <c r="Q101" s="20" t="e">
        <f t="shared" si="107"/>
        <v>#N/A</v>
      </c>
      <c r="R101" s="59" t="e">
        <f t="shared" si="55"/>
        <v>#N/A</v>
      </c>
      <c r="S101" s="59" t="e">
        <f ca="1">AVERAGE(OFFSET($R$3,0,0,'Données projet'!$E$9+1,1))-AVERAGE(OFFSET($H$3,0,0,'Données projet'!$E$9+1,1))</f>
        <v>#N/A</v>
      </c>
      <c r="T101" s="59" t="e">
        <f t="shared" si="88"/>
        <v>#N/A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 t="e">
        <f>EXP(-LN(2)/35)*Z100+(1-EXP(-LN(2)/35))/(LN(2)/35)*V101*W101*VLOOKUP('Données projet'!$B$9,Paramètres!$A$1:$I$89,3,0)*0.475*44/12</f>
        <v>#N/A</v>
      </c>
      <c r="AA101" s="21" t="e">
        <f>EXP(-LN(2)/25)*AA100+(1-EXP(-LN(2)/25))/(LN(2)/25)*Calculateur!V101*Calculateur!X101*VLOOKUP('Données projet'!$B$9,Paramètres!$A$1:$I$89,3,0)*0.475*44/12</f>
        <v>#N/A</v>
      </c>
      <c r="AB101" s="21" t="e">
        <f>EXP(-LN(2)/2)*AB100+(1-EXP(-LN(2)/2))/(LN(2)/2)*V101*Y101*VLOOKUP('Données projet'!$B$9,Paramètres!$A$1:$I$89,3,0)*0.475*44/12</f>
        <v>#N/A</v>
      </c>
      <c r="AC101" s="22" t="e">
        <f t="shared" si="57"/>
        <v>#N/A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-1.7053025658242404E-13</v>
      </c>
      <c r="AJ101" s="13">
        <f>AI101*VLOOKUP('Données projet'!$B$10,Paramètres!$A$1:$I$89,3,0)*VLOOKUP('Données projet'!$B$10,Paramètres!$A$1:$I$89,5,0)</f>
        <v>-1.4897523215040567E-13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338.55719679154777</v>
      </c>
      <c r="AO101" s="59">
        <f t="shared" si="90"/>
        <v>371.26234252426531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3.2051282051281986</v>
      </c>
      <c r="BD101" s="12">
        <f>IF('Données projet'!$A$88&gt;35,BD100+BC101-BL100,IF(A101&lt;'Données projet'!$A$88,$BA$205^A101,IF(A101='Données projet'!$A$88,'Données projet'!$B$88,BD100+BC101-BL100)))</f>
        <v>219.87179487179475</v>
      </c>
      <c r="BE101" s="13">
        <f>BD101*VLOOKUP('Données projet'!$B$11,Paramètres!$A$1:$I$89,3,0)*VLOOKUP('Données projet'!$B$11,Paramètres!$A$1:$I$89,5,0)</f>
        <v>209.2299999999999</v>
      </c>
      <c r="BF101" s="13">
        <f t="shared" si="91"/>
        <v>51.767285368675161</v>
      </c>
      <c r="BG101" s="20">
        <f t="shared" si="61"/>
        <v>454.57027201710906</v>
      </c>
      <c r="BH101" s="59">
        <f t="shared" si="62"/>
        <v>747.90360535044238</v>
      </c>
      <c r="BI101" s="59">
        <f ca="1">AVERAGE(OFFSET($BH$3,0,0,'Données projet'!$E$11+1,1))-AVERAGE(OFFSET($H$3,0,0,'Données projet'!$E$11+1,1))</f>
        <v>351.6178679548006</v>
      </c>
      <c r="BJ101" s="59">
        <f t="shared" si="92"/>
        <v>244.7141066773861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8.1294871794871799</v>
      </c>
      <c r="BY101" s="12">
        <f>IF('Données projet'!$A$114&gt;35,BY100+BX101-CG100,IF(A101&lt;'Données projet'!$A$114,$BV$205^A101,IF(A101='Données projet'!$A$114,'Données projet'!$B$114,BY100+BX101-CG100)))</f>
        <v>389.56282051282062</v>
      </c>
      <c r="BZ101" s="13">
        <f>BY101*VLOOKUP('Données projet'!$B$12,Paramètres!$A$1:$I$89,3,0)*VLOOKUP('Données projet'!$B$12,Paramètres!$A$1:$I$89,5,0)</f>
        <v>182.31540000000004</v>
      </c>
      <c r="CA101" s="13">
        <f t="shared" si="93"/>
        <v>45.836936188568203</v>
      </c>
      <c r="CB101" s="20">
        <f t="shared" si="64"/>
        <v>397.36531886175635</v>
      </c>
      <c r="CC101" s="59">
        <f t="shared" si="65"/>
        <v>690.69865219508961</v>
      </c>
      <c r="CD101" s="59">
        <f ca="1">AVERAGE(OFFSET($CC$3,0,0,'Données projet'!$E$12+1,1))-AVERAGE(OFFSET($H$3,0,0,'Données projet'!$E$12+1,1))</f>
        <v>246.66630850723385</v>
      </c>
      <c r="CE101" s="59">
        <f t="shared" si="94"/>
        <v>145.34368562171613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1.1368683772161603E-13</v>
      </c>
      <c r="CU101" s="17">
        <f>CT101*VLOOKUP('Données projet'!$B$13,Paramètres!$A$1:$I$89,3,0)*VLOOKUP('Données projet'!$B$13,Paramètres!$A$1:$I$89,5,0)</f>
        <v>8.8675733422860506E-14</v>
      </c>
      <c r="CV101" s="13">
        <f t="shared" si="95"/>
        <v>1.3509285393066301E-12</v>
      </c>
      <c r="CW101" s="20">
        <f t="shared" si="67"/>
        <v>2.5073107750038623E-12</v>
      </c>
      <c r="CX101" s="59">
        <f t="shared" si="68"/>
        <v>293.33333333333582</v>
      </c>
      <c r="CY101" s="59">
        <f ca="1">AVERAGE(OFFSET($CX$3,0,0,'Données projet'!$E$13+1,1))-AVERAGE(OFFSET($H$3,0,0,'Données projet'!$E$13+1,1))</f>
        <v>292.57482726862594</v>
      </c>
      <c r="CZ101" s="59">
        <f t="shared" si="96"/>
        <v>283.48738729114024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4.9000000000000004</v>
      </c>
      <c r="DO101" s="12">
        <f>IF('Données projet'!$A$166&gt;35,DO100+DN101-DW100,IF(A101&lt;'Données projet'!$A$166,$DL$205^A101,IF(A101='Données projet'!$A$166,'Données projet'!$B$166,DO100+DN101-DW100)))</f>
        <v>293.19999999999987</v>
      </c>
      <c r="DP101" s="17">
        <f>DO101*VLOOKUP('Données projet'!$B$14,Paramètres!$A$1:$I$89,3,0)*VLOOKUP('Données projet'!$B$14,Paramètres!$A$1:$I$89,5,0)</f>
        <v>297.30479999999989</v>
      </c>
      <c r="DQ101" s="13">
        <f t="shared" si="97"/>
        <v>70.611149609504906</v>
      </c>
      <c r="DR101" s="20">
        <f t="shared" si="70"/>
        <v>640.78694556988739</v>
      </c>
      <c r="DS101" s="59">
        <f t="shared" si="71"/>
        <v>934.12027890322065</v>
      </c>
      <c r="DT101" s="59">
        <f ca="1">AVERAGE(OFFSET($DS$3,0,0,'Données projet'!$E$14+1,1))-AVERAGE(OFFSET($H$3,0,0,'Données projet'!$E$14+1,1))</f>
        <v>475.47920969424894</v>
      </c>
      <c r="DU101" s="59">
        <f t="shared" si="98"/>
        <v>271.73544012419364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4.9000000000000004</v>
      </c>
      <c r="EJ101" s="12">
        <f>IF('Données projet'!$A$192&gt;35,EJ100+EI101-ER100,IF(A101&lt;'Données projet'!$A$192,$EG$205^A101,IF(A101='Données projet'!$A$192,'Données projet'!$B$192,EJ100+EI101-ER100)))</f>
        <v>293.19999999999987</v>
      </c>
      <c r="EK101" s="17">
        <f>EJ101*VLOOKUP('Données projet'!$B$15,Paramètres!$A$1:$I$89,3,0)*VLOOKUP('Données projet'!$B$15,Paramètres!$A$1:$I$89,5,0)</f>
        <v>265.28735999999992</v>
      </c>
      <c r="EL101" s="13">
        <f t="shared" si="99"/>
        <v>63.84810550096995</v>
      </c>
      <c r="EM101" s="20">
        <f t="shared" si="73"/>
        <v>573.24426908085582</v>
      </c>
      <c r="EN101" s="59">
        <f t="shared" si="74"/>
        <v>866.57760241418919</v>
      </c>
      <c r="EO101" s="59">
        <f ca="1">AVERAGE(OFFSET($EN$3,0,0,'Données projet'!$E$15+1,1))-AVERAGE(OFFSET($H$3,0,0,'Données projet'!$E$15+1,1))</f>
        <v>428.8489304403459</v>
      </c>
      <c r="EP101" s="59">
        <f t="shared" si="100"/>
        <v>247.01165577562966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245.25496369542458</v>
      </c>
      <c r="FK101" s="59">
        <f t="shared" si="102"/>
        <v>342.30266518164211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0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 t="e">
        <f>N102*VLOOKUP('Données projet'!$B$9,Paramètres!$A$1:$I$89,3,0)*VLOOKUP('Données projet'!$B$9,Paramètres!$A$1:$I$89,5,0)</f>
        <v>#N/A</v>
      </c>
      <c r="P102" s="13" t="e">
        <f t="shared" si="87"/>
        <v>#N/A</v>
      </c>
      <c r="Q102" s="20" t="e">
        <f t="shared" si="107"/>
        <v>#N/A</v>
      </c>
      <c r="R102" s="59" t="e">
        <f t="shared" si="55"/>
        <v>#N/A</v>
      </c>
      <c r="S102" s="59" t="e">
        <f ca="1">AVERAGE(OFFSET($R$3,0,0,'Données projet'!$E$9+1,1))-AVERAGE(OFFSET($H$3,0,0,'Données projet'!$E$9+1,1))</f>
        <v>#N/A</v>
      </c>
      <c r="T102" s="59" t="e">
        <f t="shared" si="88"/>
        <v>#N/A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 t="e">
        <f>EXP(-LN(2)/35)*Z101+(1-EXP(-LN(2)/35))/(LN(2)/35)*V102*W102*VLOOKUP('Données projet'!$B$9,Paramètres!$A$1:$I$89,3,0)*0.475*44/12</f>
        <v>#N/A</v>
      </c>
      <c r="AA102" s="21" t="e">
        <f>EXP(-LN(2)/25)*AA101+(1-EXP(-LN(2)/25))/(LN(2)/25)*Calculateur!V102*Calculateur!X102*VLOOKUP('Données projet'!$B$9,Paramètres!$A$1:$I$89,3,0)*0.475*44/12</f>
        <v>#N/A</v>
      </c>
      <c r="AB102" s="21" t="e">
        <f>EXP(-LN(2)/2)*AB101+(1-EXP(-LN(2)/2))/(LN(2)/2)*V102*Y102*VLOOKUP('Données projet'!$B$9,Paramètres!$A$1:$I$89,3,0)*0.475*44/12</f>
        <v>#N/A</v>
      </c>
      <c r="AC102" s="22" t="e">
        <f t="shared" si="57"/>
        <v>#N/A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-1.7053025658242404E-13</v>
      </c>
      <c r="AJ102" s="13">
        <f>AI102*VLOOKUP('Données projet'!$B$10,Paramètres!$A$1:$I$89,3,0)*VLOOKUP('Données projet'!$B$10,Paramètres!$A$1:$I$89,5,0)</f>
        <v>-1.4897523215040567E-13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338.55719679154777</v>
      </c>
      <c r="AO102" s="59">
        <f t="shared" si="90"/>
        <v>371.26234252426531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3.2051282051281986</v>
      </c>
      <c r="BD102" s="12">
        <f>IF('Données projet'!$A$88&gt;35,BD101+BC102-BL101,IF(A102&lt;'Données projet'!$A$88,$BA$205^A102,IF(A102='Données projet'!$A$88,'Données projet'!$B$88,BD101+BC102-BL101)))</f>
        <v>223.07692307692295</v>
      </c>
      <c r="BE102" s="13">
        <f>BD102*VLOOKUP('Données projet'!$B$11,Paramètres!$A$1:$I$89,3,0)*VLOOKUP('Données projet'!$B$11,Paramètres!$A$1:$I$89,5,0)</f>
        <v>212.27999999999989</v>
      </c>
      <c r="BF102" s="13">
        <f t="shared" si="91"/>
        <v>52.433509497939937</v>
      </c>
      <c r="BG102" s="20">
        <f t="shared" si="61"/>
        <v>461.04269570891182</v>
      </c>
      <c r="BH102" s="59">
        <f t="shared" si="62"/>
        <v>754.37602904224514</v>
      </c>
      <c r="BI102" s="59">
        <f ca="1">AVERAGE(OFFSET($BH$3,0,0,'Données projet'!$E$11+1,1))-AVERAGE(OFFSET($H$3,0,0,'Données projet'!$E$11+1,1))</f>
        <v>351.6178679548006</v>
      </c>
      <c r="BJ102" s="59">
        <f t="shared" si="92"/>
        <v>244.7141066773861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397.69230769230768</v>
      </c>
      <c r="BW102" s="12">
        <f>VLOOKUP(A102,'Données projet'!$A$113:$I$133,9,0)</f>
        <v>8.1294871794871799</v>
      </c>
      <c r="BX102" s="12">
        <f t="array" ref="BX102">INDEX(BW:BW,MIN(IF(ISNUMBER(BW102:BW298),ROW(BW102:BW298),"")))</f>
        <v>8.1294871794871799</v>
      </c>
      <c r="BY102" s="12">
        <f>IF('Données projet'!$A$114&gt;35,BY101+BX102-CG101,IF(A102&lt;'Données projet'!$A$114,$BV$205^A102,IF(A102='Données projet'!$A$114,'Données projet'!$B$114,BY101+BX102-CG101)))</f>
        <v>397.69230769230779</v>
      </c>
      <c r="BZ102" s="13">
        <f>BY102*VLOOKUP('Données projet'!$B$12,Paramètres!$A$1:$I$89,3,0)*VLOOKUP('Données projet'!$B$12,Paramètres!$A$1:$I$89,5,0)</f>
        <v>186.12000000000006</v>
      </c>
      <c r="CA102" s="13">
        <f t="shared" si="93"/>
        <v>46.681112592689459</v>
      </c>
      <c r="CB102" s="20">
        <f t="shared" si="64"/>
        <v>405.46193776560091</v>
      </c>
      <c r="CC102" s="59">
        <f t="shared" si="65"/>
        <v>698.79527109893422</v>
      </c>
      <c r="CD102" s="59">
        <f ca="1">AVERAGE(OFFSET($CC$3,0,0,'Données projet'!$E$12+1,1))-AVERAGE(OFFSET($H$3,0,0,'Données projet'!$E$12+1,1))</f>
        <v>246.66630850723385</v>
      </c>
      <c r="CE102" s="59">
        <f t="shared" si="94"/>
        <v>145.34368562171613</v>
      </c>
      <c r="CF102" s="15">
        <f>IF(ISNA(VLOOKUP(A102,'Données projet'!$A$113:$I$133,3,0)),0,VLOOKUP(A102,'Données projet'!$A$113:$I$133,3,0))</f>
        <v>5</v>
      </c>
      <c r="CG102" s="15">
        <f>IF(ISNA(VLOOKUP(A102,'Données projet'!$A$113:$I$133,4,0)),0,VLOOKUP(A102,'Données projet'!$A$113:$I$133,4,0))</f>
        <v>198.32307692307691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1.1368683772161603E-13</v>
      </c>
      <c r="CU102" s="17">
        <f>CT102*VLOOKUP('Données projet'!$B$13,Paramètres!$A$1:$I$89,3,0)*VLOOKUP('Données projet'!$B$13,Paramètres!$A$1:$I$89,5,0)</f>
        <v>8.8675733422860506E-14</v>
      </c>
      <c r="CV102" s="13">
        <f t="shared" si="95"/>
        <v>1.3509285393066301E-12</v>
      </c>
      <c r="CW102" s="20">
        <f t="shared" si="67"/>
        <v>2.5073107750038623E-12</v>
      </c>
      <c r="CX102" s="59">
        <f t="shared" si="68"/>
        <v>293.33333333333582</v>
      </c>
      <c r="CY102" s="59">
        <f ca="1">AVERAGE(OFFSET($CX$3,0,0,'Données projet'!$E$13+1,1))-AVERAGE(OFFSET($H$3,0,0,'Données projet'!$E$13+1,1))</f>
        <v>292.57482726862594</v>
      </c>
      <c r="CZ102" s="59">
        <f t="shared" si="96"/>
        <v>283.48738729114024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4.9000000000000004</v>
      </c>
      <c r="DO102" s="12">
        <f>IF('Données projet'!$A$166&gt;35,DO101+DN102-DW101,IF(A102&lt;'Données projet'!$A$166,$DL$205^A102,IF(A102='Données projet'!$A$166,'Données projet'!$B$166,DO101+DN102-DW101)))</f>
        <v>298.09999999999985</v>
      </c>
      <c r="DP102" s="17">
        <f>DO102*VLOOKUP('Données projet'!$B$14,Paramètres!$A$1:$I$89,3,0)*VLOOKUP('Données projet'!$B$14,Paramètres!$A$1:$I$89,5,0)</f>
        <v>302.27339999999987</v>
      </c>
      <c r="DQ102" s="13">
        <f t="shared" si="97"/>
        <v>71.652845832409739</v>
      </c>
      <c r="DR102" s="20">
        <f t="shared" si="70"/>
        <v>651.25487815811346</v>
      </c>
      <c r="DS102" s="59">
        <f t="shared" si="71"/>
        <v>944.58821149144683</v>
      </c>
      <c r="DT102" s="59">
        <f ca="1">AVERAGE(OFFSET($DS$3,0,0,'Données projet'!$E$14+1,1))-AVERAGE(OFFSET($H$3,0,0,'Données projet'!$E$14+1,1))</f>
        <v>475.47920969424894</v>
      </c>
      <c r="DU102" s="59">
        <f t="shared" si="98"/>
        <v>271.73544012419364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4.9000000000000004</v>
      </c>
      <c r="EJ102" s="12">
        <f>IF('Données projet'!$A$192&gt;35,EJ101+EI102-ER101,IF(A102&lt;'Données projet'!$A$192,$EG$205^A102,IF(A102='Données projet'!$A$192,'Données projet'!$B$192,EJ101+EI102-ER101)))</f>
        <v>298.09999999999985</v>
      </c>
      <c r="EK102" s="17">
        <f>EJ102*VLOOKUP('Données projet'!$B$15,Paramètres!$A$1:$I$89,3,0)*VLOOKUP('Données projet'!$B$15,Paramètres!$A$1:$I$89,5,0)</f>
        <v>269.72087999999985</v>
      </c>
      <c r="EL102" s="13">
        <f t="shared" si="99"/>
        <v>64.790029413946939</v>
      </c>
      <c r="EM102" s="20">
        <f t="shared" si="73"/>
        <v>582.60650056262409</v>
      </c>
      <c r="EN102" s="59">
        <f t="shared" si="74"/>
        <v>875.93983389595746</v>
      </c>
      <c r="EO102" s="59">
        <f ca="1">AVERAGE(OFFSET($EN$3,0,0,'Données projet'!$E$15+1,1))-AVERAGE(OFFSET($H$3,0,0,'Données projet'!$E$15+1,1))</f>
        <v>428.8489304403459</v>
      </c>
      <c r="EP102" s="59">
        <f t="shared" si="100"/>
        <v>247.01165577562966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245.25496369542458</v>
      </c>
      <c r="FK102" s="59">
        <f t="shared" si="102"/>
        <v>342.30266518164211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0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 t="e">
        <f>N103*VLOOKUP('Données projet'!$B$9,Paramètres!$A$1:$I$89,3,0)*VLOOKUP('Données projet'!$B$9,Paramètres!$A$1:$I$89,5,0)</f>
        <v>#N/A</v>
      </c>
      <c r="P103" s="13" t="e">
        <f t="shared" si="87"/>
        <v>#N/A</v>
      </c>
      <c r="Q103" s="20" t="e">
        <f t="shared" si="107"/>
        <v>#N/A</v>
      </c>
      <c r="R103" s="59" t="e">
        <f t="shared" si="55"/>
        <v>#N/A</v>
      </c>
      <c r="S103" s="59" t="e">
        <f ca="1">AVERAGE(OFFSET($R$3,0,0,'Données projet'!$E$9+1,1))-AVERAGE(OFFSET($H$3,0,0,'Données projet'!$E$9+1,1))</f>
        <v>#N/A</v>
      </c>
      <c r="T103" s="59" t="e">
        <f t="shared" si="88"/>
        <v>#N/A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 t="e">
        <f>EXP(-LN(2)/35)*Z102+(1-EXP(-LN(2)/35))/(LN(2)/35)*V103*W103*VLOOKUP('Données projet'!$B$9,Paramètres!$A$1:$I$89,3,0)*0.475*44/12</f>
        <v>#N/A</v>
      </c>
      <c r="AA103" s="21" t="e">
        <f>EXP(-LN(2)/25)*AA102+(1-EXP(-LN(2)/25))/(LN(2)/25)*Calculateur!V103*Calculateur!X103*VLOOKUP('Données projet'!$B$9,Paramètres!$A$1:$I$89,3,0)*0.475*44/12</f>
        <v>#N/A</v>
      </c>
      <c r="AB103" s="21" t="e">
        <f>EXP(-LN(2)/2)*AB102+(1-EXP(-LN(2)/2))/(LN(2)/2)*V103*Y103*VLOOKUP('Données projet'!$B$9,Paramètres!$A$1:$I$89,3,0)*0.475*44/12</f>
        <v>#N/A</v>
      </c>
      <c r="AC103" s="22" t="e">
        <f t="shared" si="57"/>
        <v>#N/A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-1.7053025658242404E-13</v>
      </c>
      <c r="AJ103" s="13">
        <f>AI103*VLOOKUP('Données projet'!$B$10,Paramètres!$A$1:$I$89,3,0)*VLOOKUP('Données projet'!$B$10,Paramètres!$A$1:$I$89,5,0)</f>
        <v>-1.4897523215040567E-13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338.55719679154777</v>
      </c>
      <c r="AO103" s="59">
        <f t="shared" si="90"/>
        <v>371.26234252426531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226.28205128205127</v>
      </c>
      <c r="BB103" s="12">
        <f>VLOOKUP(A103,'Données projet'!$A$87:$I$107,9,0)</f>
        <v>3.2051282051281986</v>
      </c>
      <c r="BC103" s="12">
        <f t="array" ref="BC103">INDEX(BB:BB,MIN(IF(ISNUMBER(BB103:BB299),ROW(BB103:BB299),"")))</f>
        <v>3.2051282051281986</v>
      </c>
      <c r="BD103" s="12">
        <f>IF('Données projet'!$A$88&gt;35,BD102+BC103-BL102,IF(A103&lt;'Données projet'!$A$88,$BA$205^A103,IF(A103='Données projet'!$A$88,'Données projet'!$B$88,BD102+BC103-BL102)))</f>
        <v>226.28205128205116</v>
      </c>
      <c r="BE103" s="13">
        <f>BD103*VLOOKUP('Données projet'!$B$11,Paramètres!$A$1:$I$89,3,0)*VLOOKUP('Données projet'!$B$11,Paramètres!$A$1:$I$89,5,0)</f>
        <v>215.3299999999999</v>
      </c>
      <c r="BF103" s="13">
        <f t="shared" si="91"/>
        <v>53.098620315464494</v>
      </c>
      <c r="BG103" s="20">
        <f t="shared" si="61"/>
        <v>467.51318038276713</v>
      </c>
      <c r="BH103" s="59">
        <f t="shared" si="62"/>
        <v>760.84651371610039</v>
      </c>
      <c r="BI103" s="59">
        <f ca="1">AVERAGE(OFFSET($BH$3,0,0,'Données projet'!$E$11+1,1))-AVERAGE(OFFSET($H$3,0,0,'Données projet'!$E$11+1,1))</f>
        <v>351.6178679548006</v>
      </c>
      <c r="BJ103" s="59">
        <f t="shared" si="92"/>
        <v>244.7141066773861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5.6784615384615362</v>
      </c>
      <c r="BY103" s="12">
        <f>IF('Données projet'!$A$114&gt;35,BY102+BX103-CG102,IF(A103&lt;'Données projet'!$A$114,$BV$205^A103,IF(A103='Données projet'!$A$114,'Données projet'!$B$114,BY102+BX103-CG102)))</f>
        <v>205.04769230769242</v>
      </c>
      <c r="BZ103" s="13">
        <f>BY103*VLOOKUP('Données projet'!$B$12,Paramètres!$A$1:$I$89,3,0)*VLOOKUP('Données projet'!$B$12,Paramètres!$A$1:$I$89,5,0)</f>
        <v>95.962320000000048</v>
      </c>
      <c r="CA103" s="13">
        <f t="shared" si="93"/>
        <v>25.997780809583638</v>
      </c>
      <c r="CB103" s="20">
        <f t="shared" si="64"/>
        <v>212.4138422433582</v>
      </c>
      <c r="CC103" s="59">
        <f t="shared" si="65"/>
        <v>505.74717557669152</v>
      </c>
      <c r="CD103" s="59">
        <f ca="1">AVERAGE(OFFSET($CC$3,0,0,'Données projet'!$E$12+1,1))-AVERAGE(OFFSET($H$3,0,0,'Données projet'!$E$12+1,1))</f>
        <v>246.66630850723385</v>
      </c>
      <c r="CE103" s="59">
        <f t="shared" si="94"/>
        <v>145.34368562171613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1.1368683772161603E-13</v>
      </c>
      <c r="CU103" s="17">
        <f>CT103*VLOOKUP('Données projet'!$B$13,Paramètres!$A$1:$I$89,3,0)*VLOOKUP('Données projet'!$B$13,Paramètres!$A$1:$I$89,5,0)</f>
        <v>8.8675733422860506E-14</v>
      </c>
      <c r="CV103" s="13">
        <f t="shared" si="95"/>
        <v>1.3509285393066301E-12</v>
      </c>
      <c r="CW103" s="20">
        <f t="shared" si="67"/>
        <v>2.5073107750038623E-12</v>
      </c>
      <c r="CX103" s="59">
        <f t="shared" si="68"/>
        <v>293.33333333333582</v>
      </c>
      <c r="CY103" s="59">
        <f ca="1">AVERAGE(OFFSET($CX$3,0,0,'Données projet'!$E$13+1,1))-AVERAGE(OFFSET($H$3,0,0,'Données projet'!$E$13+1,1))</f>
        <v>292.57482726862594</v>
      </c>
      <c r="CZ103" s="59">
        <f t="shared" si="96"/>
        <v>283.48738729114024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303</v>
      </c>
      <c r="DM103" s="12">
        <f>VLOOKUP(A103,'Données projet'!$A$165:$I$185,9,0)</f>
        <v>4.9000000000000004</v>
      </c>
      <c r="DN103" s="12">
        <f t="array" ref="DN103">INDEX(DM:DM,MIN(IF(ISNUMBER(DM103:DM299),ROW(DM103:DM299),"")))</f>
        <v>4.9000000000000004</v>
      </c>
      <c r="DO103" s="12">
        <f>IF('Données projet'!$A$166&gt;35,DO102+DN103-DW102,IF(A103&lt;'Données projet'!$A$166,$DL$205^A103,IF(A103='Données projet'!$A$166,'Données projet'!$B$166,DO102+DN103-DW102)))</f>
        <v>302.99999999999983</v>
      </c>
      <c r="DP103" s="17">
        <f>DO103*VLOOKUP('Données projet'!$B$14,Paramètres!$A$1:$I$89,3,0)*VLOOKUP('Données projet'!$B$14,Paramètres!$A$1:$I$89,5,0)</f>
        <v>307.24199999999985</v>
      </c>
      <c r="DQ103" s="13">
        <f t="shared" si="97"/>
        <v>72.692550770207774</v>
      </c>
      <c r="DR103" s="20">
        <f t="shared" si="70"/>
        <v>661.71934259144484</v>
      </c>
      <c r="DS103" s="59">
        <f t="shared" si="71"/>
        <v>955.05267592477821</v>
      </c>
      <c r="DT103" s="59">
        <f ca="1">AVERAGE(OFFSET($DS$3,0,0,'Données projet'!$E$14+1,1))-AVERAGE(OFFSET($H$3,0,0,'Données projet'!$E$14+1,1))</f>
        <v>475.47920969424894</v>
      </c>
      <c r="DU103" s="59">
        <f t="shared" si="98"/>
        <v>271.73544012419364</v>
      </c>
      <c r="DV103" s="15">
        <f>IF(ISNA(VLOOKUP(A103,'Données projet'!$A$165:$I$185,3,0)),0,VLOOKUP(A103,'Données projet'!$A$165:$I$185,3,0))</f>
        <v>8</v>
      </c>
      <c r="DW103" s="15">
        <f>IF(ISNA(VLOOKUP(A103,'Données projet'!$A$165:$I$185,4,0)),0,VLOOKUP(A103,'Données projet'!$A$165:$I$185,4,0))</f>
        <v>42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303</v>
      </c>
      <c r="EH103" s="12">
        <f>VLOOKUP(A103,'Données projet'!$A$191:$I$211,9,0)</f>
        <v>4.9000000000000004</v>
      </c>
      <c r="EI103" s="12">
        <f t="array" ref="EI103">INDEX(EH:EH,MIN(IF(ISNUMBER(EH103:EH299),ROW(EH103:EH299),"")))</f>
        <v>4.9000000000000004</v>
      </c>
      <c r="EJ103" s="12">
        <f>IF('Données projet'!$A$192&gt;35,EJ102+EI103-ER102,IF(A103&lt;'Données projet'!$A$192,$EG$205^A103,IF(A103='Données projet'!$A$192,'Données projet'!$B$192,EJ102+EI103-ER102)))</f>
        <v>302.99999999999983</v>
      </c>
      <c r="EK103" s="17">
        <f>EJ103*VLOOKUP('Données projet'!$B$15,Paramètres!$A$1:$I$89,3,0)*VLOOKUP('Données projet'!$B$15,Paramètres!$A$1:$I$89,5,0)</f>
        <v>274.15439999999984</v>
      </c>
      <c r="EL103" s="13">
        <f t="shared" si="99"/>
        <v>65.730152764515779</v>
      </c>
      <c r="EM103" s="20">
        <f t="shared" si="73"/>
        <v>591.9655960648646</v>
      </c>
      <c r="EN103" s="59">
        <f t="shared" si="74"/>
        <v>885.29892939819797</v>
      </c>
      <c r="EO103" s="59">
        <f ca="1">AVERAGE(OFFSET($EN$3,0,0,'Données projet'!$E$15+1,1))-AVERAGE(OFFSET($H$3,0,0,'Données projet'!$E$15+1,1))</f>
        <v>428.8489304403459</v>
      </c>
      <c r="EP103" s="59">
        <f t="shared" si="100"/>
        <v>247.01165577562966</v>
      </c>
      <c r="EQ103" s="15">
        <f>IF(ISNA(VLOOKUP(A103,'Données projet'!$A$191:$I$211,3,0)),0,VLOOKUP(A103,'Données projet'!$A$191:$I$211,3,0))</f>
        <v>8</v>
      </c>
      <c r="ER103" s="15">
        <f>IF(ISNA(VLOOKUP(A103,'Données projet'!$A$191:$I$211,4,0)),0,VLOOKUP(A103,'Données projet'!$A$191:$I$211,4,0))</f>
        <v>42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245.25496369542458</v>
      </c>
      <c r="FK103" s="59">
        <f t="shared" si="102"/>
        <v>342.30266518164211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0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 t="e">
        <f>N104*VLOOKUP('Données projet'!$B$9,Paramètres!$A$1:$I$89,3,0)*VLOOKUP('Données projet'!$B$9,Paramètres!$A$1:$I$89,5,0)</f>
        <v>#N/A</v>
      </c>
      <c r="P104" s="13" t="e">
        <f t="shared" si="87"/>
        <v>#N/A</v>
      </c>
      <c r="Q104" s="20" t="e">
        <f t="shared" si="107"/>
        <v>#N/A</v>
      </c>
      <c r="R104" s="59" t="e">
        <f t="shared" si="55"/>
        <v>#N/A</v>
      </c>
      <c r="S104" s="59" t="e">
        <f ca="1">AVERAGE(OFFSET($R$3,0,0,'Données projet'!$E$9+1,1))-AVERAGE(OFFSET($H$3,0,0,'Données projet'!$E$9+1,1))</f>
        <v>#N/A</v>
      </c>
      <c r="T104" s="59" t="e">
        <f t="shared" si="88"/>
        <v>#N/A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 t="e">
        <f>EXP(-LN(2)/35)*Z103+(1-EXP(-LN(2)/35))/(LN(2)/35)*V104*W104*VLOOKUP('Données projet'!$B$9,Paramètres!$A$1:$I$89,3,0)*0.475*44/12</f>
        <v>#N/A</v>
      </c>
      <c r="AA104" s="21" t="e">
        <f>EXP(-LN(2)/25)*AA103+(1-EXP(-LN(2)/25))/(LN(2)/25)*Calculateur!V104*Calculateur!X104*VLOOKUP('Données projet'!$B$9,Paramètres!$A$1:$I$89,3,0)*0.475*44/12</f>
        <v>#N/A</v>
      </c>
      <c r="AB104" s="21" t="e">
        <f>EXP(-LN(2)/2)*AB103+(1-EXP(-LN(2)/2))/(LN(2)/2)*V104*Y104*VLOOKUP('Données projet'!$B$9,Paramètres!$A$1:$I$89,3,0)*0.475*44/12</f>
        <v>#N/A</v>
      </c>
      <c r="AC104" s="22" t="e">
        <f t="shared" si="57"/>
        <v>#N/A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-1.7053025658242404E-13</v>
      </c>
      <c r="AJ104" s="13">
        <f>AI104*VLOOKUP('Données projet'!$B$10,Paramètres!$A$1:$I$89,3,0)*VLOOKUP('Données projet'!$B$10,Paramètres!$A$1:$I$89,5,0)</f>
        <v>-1.4897523215040567E-13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338.55719679154777</v>
      </c>
      <c r="AO104" s="59">
        <f t="shared" si="90"/>
        <v>371.26234252426531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1.9230769227948741</v>
      </c>
      <c r="BD104" s="12">
        <f>IF('Données projet'!$A$88&gt;35,BD103+BC104-BL103,IF(A104&lt;'Données projet'!$A$88,$BA$205^A104,IF(A104='Données projet'!$A$88,'Données projet'!$B$88,BD103+BC104-BL103)))</f>
        <v>228.20512820484603</v>
      </c>
      <c r="BE104" s="13">
        <f>BD104*VLOOKUP('Données projet'!$B$11,Paramètres!$A$1:$I$89,3,0)*VLOOKUP('Données projet'!$B$11,Paramètres!$A$1:$I$89,5,0)</f>
        <v>217.1599999997315</v>
      </c>
      <c r="BF104" s="13">
        <f t="shared" si="91"/>
        <v>53.497159756236016</v>
      </c>
      <c r="BG104" s="20">
        <f t="shared" si="61"/>
        <v>471.39455324164351</v>
      </c>
      <c r="BH104" s="59">
        <f t="shared" si="62"/>
        <v>764.72788657497676</v>
      </c>
      <c r="BI104" s="59">
        <f ca="1">AVERAGE(OFFSET($BH$3,0,0,'Données projet'!$E$11+1,1))-AVERAGE(OFFSET($H$3,0,0,'Données projet'!$E$11+1,1))</f>
        <v>351.6178679548006</v>
      </c>
      <c r="BJ104" s="59">
        <f t="shared" si="92"/>
        <v>244.7141066773861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5.6784615384615362</v>
      </c>
      <c r="BY104" s="12">
        <f>IF('Données projet'!$A$114&gt;35,BY103+BX104-CG103,IF(A104&lt;'Données projet'!$A$114,$BV$205^A104,IF(A104='Données projet'!$A$114,'Données projet'!$B$114,BY103+BX104-CG103)))</f>
        <v>210.72615384615395</v>
      </c>
      <c r="BZ104" s="13">
        <f>BY104*VLOOKUP('Données projet'!$B$12,Paramètres!$A$1:$I$89,3,0)*VLOOKUP('Données projet'!$B$12,Paramètres!$A$1:$I$89,5,0)</f>
        <v>98.619840000000039</v>
      </c>
      <c r="CA104" s="13">
        <f t="shared" si="93"/>
        <v>26.632927980897389</v>
      </c>
      <c r="CB104" s="20">
        <f t="shared" si="64"/>
        <v>218.14857090006299</v>
      </c>
      <c r="CC104" s="59">
        <f t="shared" si="65"/>
        <v>511.48190423339634</v>
      </c>
      <c r="CD104" s="59">
        <f ca="1">AVERAGE(OFFSET($CC$3,0,0,'Données projet'!$E$12+1,1))-AVERAGE(OFFSET($H$3,0,0,'Données projet'!$E$12+1,1))</f>
        <v>246.66630850723385</v>
      </c>
      <c r="CE104" s="59">
        <f t="shared" si="94"/>
        <v>145.34368562171613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1.1368683772161603E-13</v>
      </c>
      <c r="CU104" s="17">
        <f>CT104*VLOOKUP('Données projet'!$B$13,Paramètres!$A$1:$I$89,3,0)*VLOOKUP('Données projet'!$B$13,Paramètres!$A$1:$I$89,5,0)</f>
        <v>8.8675733422860506E-14</v>
      </c>
      <c r="CV104" s="13">
        <f t="shared" si="95"/>
        <v>1.3509285393066301E-12</v>
      </c>
      <c r="CW104" s="20">
        <f t="shared" si="67"/>
        <v>2.5073107750038623E-12</v>
      </c>
      <c r="CX104" s="59">
        <f t="shared" si="68"/>
        <v>293.33333333333582</v>
      </c>
      <c r="CY104" s="59">
        <f ca="1">AVERAGE(OFFSET($CX$3,0,0,'Données projet'!$E$13+1,1))-AVERAGE(OFFSET($H$3,0,0,'Données projet'!$E$13+1,1))</f>
        <v>292.57482726862594</v>
      </c>
      <c r="CZ104" s="59">
        <f t="shared" si="96"/>
        <v>283.48738729114024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4.4000000000000004</v>
      </c>
      <c r="DO104" s="12">
        <f>IF('Données projet'!$A$166&gt;35,DO103+DN104-DW103,IF(A104&lt;'Données projet'!$A$166,$DL$205^A104,IF(A104='Données projet'!$A$166,'Données projet'!$B$166,DO103+DN104-DW103)))</f>
        <v>265.39999999999981</v>
      </c>
      <c r="DP104" s="17">
        <f>DO104*VLOOKUP('Données projet'!$B$14,Paramètres!$A$1:$I$89,3,0)*VLOOKUP('Données projet'!$B$14,Paramètres!$A$1:$I$89,5,0)</f>
        <v>269.1155999999998</v>
      </c>
      <c r="DQ104" s="13">
        <f t="shared" si="97"/>
        <v>64.661541462287076</v>
      </c>
      <c r="DR104" s="20">
        <f t="shared" si="70"/>
        <v>581.3285213801496</v>
      </c>
      <c r="DS104" s="59">
        <f t="shared" si="71"/>
        <v>874.66185471348285</v>
      </c>
      <c r="DT104" s="59">
        <f ca="1">AVERAGE(OFFSET($DS$3,0,0,'Données projet'!$E$14+1,1))-AVERAGE(OFFSET($H$3,0,0,'Données projet'!$E$14+1,1))</f>
        <v>475.47920969424894</v>
      </c>
      <c r="DU104" s="59">
        <f t="shared" si="98"/>
        <v>271.73544012419364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4.4000000000000004</v>
      </c>
      <c r="EJ104" s="12">
        <f>IF('Données projet'!$A$192&gt;35,EJ103+EI104-ER103,IF(A104&lt;'Données projet'!$A$192,$EG$205^A104,IF(A104='Données projet'!$A$192,'Données projet'!$B$192,EJ103+EI104-ER103)))</f>
        <v>265.39999999999981</v>
      </c>
      <c r="EK104" s="17">
        <f>EJ104*VLOOKUP('Données projet'!$B$15,Paramètres!$A$1:$I$89,3,0)*VLOOKUP('Données projet'!$B$15,Paramètres!$A$1:$I$89,5,0)</f>
        <v>240.13391999999982</v>
      </c>
      <c r="EL104" s="13">
        <f t="shared" si="99"/>
        <v>58.468343087048559</v>
      </c>
      <c r="EM104" s="20">
        <f t="shared" si="73"/>
        <v>520.06560820994252</v>
      </c>
      <c r="EN104" s="59">
        <f t="shared" si="74"/>
        <v>813.3989415432759</v>
      </c>
      <c r="EO104" s="59">
        <f ca="1">AVERAGE(OFFSET($EN$3,0,0,'Données projet'!$E$15+1,1))-AVERAGE(OFFSET($H$3,0,0,'Données projet'!$E$15+1,1))</f>
        <v>428.8489304403459</v>
      </c>
      <c r="EP104" s="59">
        <f t="shared" si="100"/>
        <v>247.01165577562966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245.25496369542458</v>
      </c>
      <c r="FK104" s="59">
        <f t="shared" si="102"/>
        <v>342.30266518164211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0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 t="e">
        <f>N105*VLOOKUP('Données projet'!$B$9,Paramètres!$A$1:$I$89,3,0)*VLOOKUP('Données projet'!$B$9,Paramètres!$A$1:$I$89,5,0)</f>
        <v>#N/A</v>
      </c>
      <c r="P105" s="13" t="e">
        <f t="shared" si="87"/>
        <v>#N/A</v>
      </c>
      <c r="Q105" s="20" t="e">
        <f t="shared" si="107"/>
        <v>#N/A</v>
      </c>
      <c r="R105" s="59" t="e">
        <f t="shared" si="55"/>
        <v>#N/A</v>
      </c>
      <c r="S105" s="59" t="e">
        <f ca="1">AVERAGE(OFFSET($R$3,0,0,'Données projet'!$E$9+1,1))-AVERAGE(OFFSET($H$3,0,0,'Données projet'!$E$9+1,1))</f>
        <v>#N/A</v>
      </c>
      <c r="T105" s="59" t="e">
        <f t="shared" si="88"/>
        <v>#N/A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 t="e">
        <f>EXP(-LN(2)/35)*Z104+(1-EXP(-LN(2)/35))/(LN(2)/35)*V105*W105*VLOOKUP('Données projet'!$B$9,Paramètres!$A$1:$I$89,3,0)*0.475*44/12</f>
        <v>#N/A</v>
      </c>
      <c r="AA105" s="21" t="e">
        <f>EXP(-LN(2)/25)*AA104+(1-EXP(-LN(2)/25))/(LN(2)/25)*Calculateur!V105*Calculateur!X105*VLOOKUP('Données projet'!$B$9,Paramètres!$A$1:$I$89,3,0)*0.475*44/12</f>
        <v>#N/A</v>
      </c>
      <c r="AB105" s="21" t="e">
        <f>EXP(-LN(2)/2)*AB104+(1-EXP(-LN(2)/2))/(LN(2)/2)*V105*Y105*VLOOKUP('Données projet'!$B$9,Paramètres!$A$1:$I$89,3,0)*0.475*44/12</f>
        <v>#N/A</v>
      </c>
      <c r="AC105" s="22" t="e">
        <f t="shared" si="57"/>
        <v>#N/A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-1.4897523215040567E-13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338.55719679154777</v>
      </c>
      <c r="AO105" s="59">
        <f t="shared" si="90"/>
        <v>371.26234252426531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1.9230769227948741</v>
      </c>
      <c r="BD105" s="12">
        <f>IF('Données projet'!$A$88&gt;35,BD104+BC105-BL104,IF(A105&lt;'Données projet'!$A$88,$BA$205^A105,IF(A105='Données projet'!$A$88,'Données projet'!$B$88,BD104+BC105-BL104)))</f>
        <v>230.12820512764091</v>
      </c>
      <c r="BE105" s="13">
        <f>BD105*VLOOKUP('Données projet'!$B$11,Paramètres!$A$1:$I$89,3,0)*VLOOKUP('Données projet'!$B$11,Paramètres!$A$1:$I$89,5,0)</f>
        <v>218.98999999946309</v>
      </c>
      <c r="BF105" s="13">
        <f t="shared" si="91"/>
        <v>53.895308456893638</v>
      </c>
      <c r="BG105" s="20">
        <f t="shared" si="61"/>
        <v>475.27524556148791</v>
      </c>
      <c r="BH105" s="59">
        <f t="shared" si="62"/>
        <v>768.60857889482122</v>
      </c>
      <c r="BI105" s="59">
        <f ca="1">AVERAGE(OFFSET($BH$3,0,0,'Données projet'!$E$11+1,1))-AVERAGE(OFFSET($H$3,0,0,'Données projet'!$E$11+1,1))</f>
        <v>351.6178679548006</v>
      </c>
      <c r="BJ105" s="59">
        <f t="shared" si="92"/>
        <v>244.7141066773861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5.6784615384615362</v>
      </c>
      <c r="BY105" s="12">
        <f>IF('Données projet'!$A$114&gt;35,BY104+BX105-CG104,IF(A105&lt;'Données projet'!$A$114,$BV$205^A105,IF(A105='Données projet'!$A$114,'Données projet'!$B$114,BY104+BX105-CG104)))</f>
        <v>216.40461538461548</v>
      </c>
      <c r="BZ105" s="13">
        <f>BY105*VLOOKUP('Données projet'!$B$12,Paramètres!$A$1:$I$89,3,0)*VLOOKUP('Données projet'!$B$12,Paramètres!$A$1:$I$89,5,0)</f>
        <v>101.27736000000004</v>
      </c>
      <c r="CA105" s="13">
        <f t="shared" si="93"/>
        <v>27.266085788431525</v>
      </c>
      <c r="CB105" s="20">
        <f t="shared" si="64"/>
        <v>223.87983474818498</v>
      </c>
      <c r="CC105" s="59">
        <f t="shared" si="65"/>
        <v>517.21316808151823</v>
      </c>
      <c r="CD105" s="59">
        <f ca="1">AVERAGE(OFFSET($CC$3,0,0,'Données projet'!$E$12+1,1))-AVERAGE(OFFSET($H$3,0,0,'Données projet'!$E$12+1,1))</f>
        <v>246.66630850723385</v>
      </c>
      <c r="CE105" s="59">
        <f t="shared" si="94"/>
        <v>145.34368562171613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1.1368683772161603E-13</v>
      </c>
      <c r="CU105" s="17">
        <f>CT105*VLOOKUP('Données projet'!$B$13,Paramètres!$A$1:$I$89,3,0)*VLOOKUP('Données projet'!$B$13,Paramètres!$A$1:$I$89,5,0)</f>
        <v>8.8675733422860506E-14</v>
      </c>
      <c r="CV105" s="13">
        <f t="shared" si="95"/>
        <v>1.3509285393066301E-12</v>
      </c>
      <c r="CW105" s="20">
        <f t="shared" si="67"/>
        <v>2.5073107750038623E-12</v>
      </c>
      <c r="CX105" s="59">
        <f t="shared" si="68"/>
        <v>293.33333333333582</v>
      </c>
      <c r="CY105" s="59">
        <f ca="1">AVERAGE(OFFSET($CX$3,0,0,'Données projet'!$E$13+1,1))-AVERAGE(OFFSET($H$3,0,0,'Données projet'!$E$13+1,1))</f>
        <v>292.57482726862594</v>
      </c>
      <c r="CZ105" s="59">
        <f t="shared" si="96"/>
        <v>283.48738729114024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4.4000000000000004</v>
      </c>
      <c r="DO105" s="12">
        <f>IF('Données projet'!$A$166&gt;35,DO104+DN105-DW104,IF(A105&lt;'Données projet'!$A$166,$DL$205^A105,IF(A105='Données projet'!$A$166,'Données projet'!$B$166,DO104+DN105-DW104)))</f>
        <v>269.79999999999978</v>
      </c>
      <c r="DP105" s="17">
        <f>DO105*VLOOKUP('Données projet'!$B$14,Paramètres!$A$1:$I$89,3,0)*VLOOKUP('Données projet'!$B$14,Paramètres!$A$1:$I$89,5,0)</f>
        <v>273.57719999999978</v>
      </c>
      <c r="DQ105" s="13">
        <f t="shared" si="97"/>
        <v>65.60785888991505</v>
      </c>
      <c r="DR105" s="20">
        <f t="shared" si="70"/>
        <v>590.74731089993509</v>
      </c>
      <c r="DS105" s="59">
        <f t="shared" si="71"/>
        <v>884.08064423326846</v>
      </c>
      <c r="DT105" s="59">
        <f ca="1">AVERAGE(OFFSET($DS$3,0,0,'Données projet'!$E$14+1,1))-AVERAGE(OFFSET($H$3,0,0,'Données projet'!$E$14+1,1))</f>
        <v>475.47920969424894</v>
      </c>
      <c r="DU105" s="59">
        <f t="shared" si="98"/>
        <v>271.73544012419364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4.4000000000000004</v>
      </c>
      <c r="EJ105" s="12">
        <f>IF('Données projet'!$A$192&gt;35,EJ104+EI105-ER104,IF(A105&lt;'Données projet'!$A$192,$EG$205^A105,IF(A105='Données projet'!$A$192,'Données projet'!$B$192,EJ104+EI105-ER104)))</f>
        <v>269.79999999999978</v>
      </c>
      <c r="EK105" s="17">
        <f>EJ105*VLOOKUP('Données projet'!$B$15,Paramètres!$A$1:$I$89,3,0)*VLOOKUP('Données projet'!$B$15,Paramètres!$A$1:$I$89,5,0)</f>
        <v>244.11503999999979</v>
      </c>
      <c r="EL105" s="13">
        <f t="shared" si="99"/>
        <v>59.324023461759012</v>
      </c>
      <c r="EM105" s="20">
        <f t="shared" si="73"/>
        <v>528.48970219589648</v>
      </c>
      <c r="EN105" s="59">
        <f t="shared" si="74"/>
        <v>821.82303552922986</v>
      </c>
      <c r="EO105" s="59">
        <f ca="1">AVERAGE(OFFSET($EN$3,0,0,'Données projet'!$E$15+1,1))-AVERAGE(OFFSET($H$3,0,0,'Données projet'!$E$15+1,1))</f>
        <v>428.8489304403459</v>
      </c>
      <c r="EP105" s="59">
        <f t="shared" si="100"/>
        <v>247.01165577562966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245.25496369542458</v>
      </c>
      <c r="FK105" s="59">
        <f t="shared" si="102"/>
        <v>342.30266518164211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0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 t="e">
        <f>N106*VLOOKUP('Données projet'!$B$9,Paramètres!$A$1:$I$89,3,0)*VLOOKUP('Données projet'!$B$9,Paramètres!$A$1:$I$89,5,0)</f>
        <v>#N/A</v>
      </c>
      <c r="P106" s="13" t="e">
        <f t="shared" si="87"/>
        <v>#N/A</v>
      </c>
      <c r="Q106" s="20" t="e">
        <f t="shared" si="107"/>
        <v>#N/A</v>
      </c>
      <c r="R106" s="59" t="e">
        <f t="shared" si="55"/>
        <v>#N/A</v>
      </c>
      <c r="S106" s="59" t="e">
        <f ca="1">AVERAGE(OFFSET($R$3,0,0,'Données projet'!$E$9+1,1))-AVERAGE(OFFSET($H$3,0,0,'Données projet'!$E$9+1,1))</f>
        <v>#N/A</v>
      </c>
      <c r="T106" s="59" t="e">
        <f t="shared" si="88"/>
        <v>#N/A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 t="e">
        <f>EXP(-LN(2)/35)*Z105+(1-EXP(-LN(2)/35))/(LN(2)/35)*V106*W106*VLOOKUP('Données projet'!$B$9,Paramètres!$A$1:$I$89,3,0)*0.475*44/12</f>
        <v>#N/A</v>
      </c>
      <c r="AA106" s="21" t="e">
        <f>EXP(-LN(2)/25)*AA105+(1-EXP(-LN(2)/25))/(LN(2)/25)*Calculateur!V106*Calculateur!X106*VLOOKUP('Données projet'!$B$9,Paramètres!$A$1:$I$89,3,0)*0.475*44/12</f>
        <v>#N/A</v>
      </c>
      <c r="AB106" s="21" t="e">
        <f>EXP(-LN(2)/2)*AB105+(1-EXP(-LN(2)/2))/(LN(2)/2)*V106*Y106*VLOOKUP('Données projet'!$B$9,Paramètres!$A$1:$I$89,3,0)*0.475*44/12</f>
        <v>#N/A</v>
      </c>
      <c r="AC106" s="22" t="e">
        <f t="shared" si="57"/>
        <v>#N/A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-1.4897523215040567E-13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338.55719679154777</v>
      </c>
      <c r="AO106" s="59">
        <f t="shared" si="90"/>
        <v>371.26234252426531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1.9230769227948741</v>
      </c>
      <c r="BD106" s="12">
        <f>IF('Données projet'!$A$88&gt;35,BD105+BC106-BL105,IF(A106&lt;'Données projet'!$A$88,$BA$205^A106,IF(A106='Données projet'!$A$88,'Données projet'!$B$88,BD105+BC106-BL105)))</f>
        <v>232.05128205043579</v>
      </c>
      <c r="BE106" s="13">
        <f>BD106*VLOOKUP('Données projet'!$B$11,Paramètres!$A$1:$I$89,3,0)*VLOOKUP('Données projet'!$B$11,Paramètres!$A$1:$I$89,5,0)</f>
        <v>220.81999999919469</v>
      </c>
      <c r="BF106" s="13">
        <f t="shared" si="91"/>
        <v>54.293070061061606</v>
      </c>
      <c r="BG106" s="20">
        <f t="shared" si="61"/>
        <v>479.15526368827972</v>
      </c>
      <c r="BH106" s="59">
        <f t="shared" si="62"/>
        <v>772.48859702161303</v>
      </c>
      <c r="BI106" s="59">
        <f ca="1">AVERAGE(OFFSET($BH$3,0,0,'Données projet'!$E$11+1,1))-AVERAGE(OFFSET($H$3,0,0,'Données projet'!$E$11+1,1))</f>
        <v>351.6178679548006</v>
      </c>
      <c r="BJ106" s="59">
        <f t="shared" si="92"/>
        <v>244.7141066773861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5.6784615384615362</v>
      </c>
      <c r="BY106" s="12">
        <f>IF('Données projet'!$A$114&gt;35,BY105+BX106-CG105,IF(A106&lt;'Données projet'!$A$114,$BV$205^A106,IF(A106='Données projet'!$A$114,'Données projet'!$B$114,BY105+BX106-CG105)))</f>
        <v>222.08307692307702</v>
      </c>
      <c r="BZ106" s="13">
        <f>BY106*VLOOKUP('Données projet'!$B$12,Paramètres!$A$1:$I$89,3,0)*VLOOKUP('Données projet'!$B$12,Paramètres!$A$1:$I$89,5,0)</f>
        <v>103.93488000000004</v>
      </c>
      <c r="CA106" s="13">
        <f t="shared" si="93"/>
        <v>27.897312433933795</v>
      </c>
      <c r="CB106" s="20">
        <f t="shared" si="64"/>
        <v>229.60773515576807</v>
      </c>
      <c r="CC106" s="59">
        <f t="shared" si="65"/>
        <v>522.94106848910133</v>
      </c>
      <c r="CD106" s="59">
        <f ca="1">AVERAGE(OFFSET($CC$3,0,0,'Données projet'!$E$12+1,1))-AVERAGE(OFFSET($H$3,0,0,'Données projet'!$E$12+1,1))</f>
        <v>246.66630850723385</v>
      </c>
      <c r="CE106" s="59">
        <f t="shared" si="94"/>
        <v>145.34368562171613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1.1368683772161603E-13</v>
      </c>
      <c r="CU106" s="17">
        <f>CT106*VLOOKUP('Données projet'!$B$13,Paramètres!$A$1:$I$89,3,0)*VLOOKUP('Données projet'!$B$13,Paramètres!$A$1:$I$89,5,0)</f>
        <v>8.8675733422860506E-14</v>
      </c>
      <c r="CV106" s="13">
        <f t="shared" si="95"/>
        <v>1.3509285393066301E-12</v>
      </c>
      <c r="CW106" s="20">
        <f t="shared" si="67"/>
        <v>2.5073107750038623E-12</v>
      </c>
      <c r="CX106" s="59">
        <f t="shared" si="68"/>
        <v>293.33333333333582</v>
      </c>
      <c r="CY106" s="59">
        <f ca="1">AVERAGE(OFFSET($CX$3,0,0,'Données projet'!$E$13+1,1))-AVERAGE(OFFSET($H$3,0,0,'Données projet'!$E$13+1,1))</f>
        <v>292.57482726862594</v>
      </c>
      <c r="CZ106" s="59">
        <f t="shared" si="96"/>
        <v>283.48738729114024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4.4000000000000004</v>
      </c>
      <c r="DO106" s="12">
        <f>IF('Données projet'!$A$166&gt;35,DO105+DN106-DW105,IF(A106&lt;'Données projet'!$A$166,$DL$205^A106,IF(A106='Données projet'!$A$166,'Données projet'!$B$166,DO105+DN106-DW105)))</f>
        <v>274.19999999999976</v>
      </c>
      <c r="DP106" s="17">
        <f>DO106*VLOOKUP('Données projet'!$B$14,Paramètres!$A$1:$I$89,3,0)*VLOOKUP('Données projet'!$B$14,Paramètres!$A$1:$I$89,5,0)</f>
        <v>278.03879999999975</v>
      </c>
      <c r="DQ106" s="13">
        <f t="shared" si="97"/>
        <v>66.552381547717744</v>
      </c>
      <c r="DR106" s="20">
        <f t="shared" si="70"/>
        <v>600.16297452894128</v>
      </c>
      <c r="DS106" s="59">
        <f t="shared" si="71"/>
        <v>893.49630786227453</v>
      </c>
      <c r="DT106" s="59">
        <f ca="1">AVERAGE(OFFSET($DS$3,0,0,'Données projet'!$E$14+1,1))-AVERAGE(OFFSET($H$3,0,0,'Données projet'!$E$14+1,1))</f>
        <v>475.47920969424894</v>
      </c>
      <c r="DU106" s="59">
        <f t="shared" si="98"/>
        <v>271.73544012419364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4.4000000000000004</v>
      </c>
      <c r="EJ106" s="12">
        <f>IF('Données projet'!$A$192&gt;35,EJ105+EI106-ER105,IF(A106&lt;'Données projet'!$A$192,$EG$205^A106,IF(A106='Données projet'!$A$192,'Données projet'!$B$192,EJ105+EI106-ER105)))</f>
        <v>274.19999999999976</v>
      </c>
      <c r="EK106" s="17">
        <f>EJ106*VLOOKUP('Données projet'!$B$15,Paramètres!$A$1:$I$89,3,0)*VLOOKUP('Données projet'!$B$15,Paramètres!$A$1:$I$89,5,0)</f>
        <v>248.0961599999998</v>
      </c>
      <c r="EL106" s="13">
        <f t="shared" si="99"/>
        <v>60.178080967364686</v>
      </c>
      <c r="EM106" s="20">
        <f t="shared" si="73"/>
        <v>536.91096968482657</v>
      </c>
      <c r="EN106" s="59">
        <f t="shared" si="74"/>
        <v>830.24430301815983</v>
      </c>
      <c r="EO106" s="59">
        <f ca="1">AVERAGE(OFFSET($EN$3,0,0,'Données projet'!$E$15+1,1))-AVERAGE(OFFSET($H$3,0,0,'Données projet'!$E$15+1,1))</f>
        <v>428.8489304403459</v>
      </c>
      <c r="EP106" s="59">
        <f t="shared" si="100"/>
        <v>247.01165577562966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245.25496369542458</v>
      </c>
      <c r="FK106" s="59">
        <f t="shared" si="102"/>
        <v>342.30266518164211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0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 t="e">
        <f>N107*VLOOKUP('Données projet'!$B$9,Paramètres!$A$1:$I$89,3,0)*VLOOKUP('Données projet'!$B$9,Paramètres!$A$1:$I$89,5,0)</f>
        <v>#N/A</v>
      </c>
      <c r="P107" s="13" t="e">
        <f t="shared" si="87"/>
        <v>#N/A</v>
      </c>
      <c r="Q107" s="20" t="e">
        <f t="shared" si="107"/>
        <v>#N/A</v>
      </c>
      <c r="R107" s="59" t="e">
        <f t="shared" si="55"/>
        <v>#N/A</v>
      </c>
      <c r="S107" s="59" t="e">
        <f ca="1">AVERAGE(OFFSET($R$3,0,0,'Données projet'!$E$9+1,1))-AVERAGE(OFFSET($H$3,0,0,'Données projet'!$E$9+1,1))</f>
        <v>#N/A</v>
      </c>
      <c r="T107" s="59" t="e">
        <f t="shared" si="88"/>
        <v>#N/A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 t="e">
        <f>EXP(-LN(2)/35)*Z106+(1-EXP(-LN(2)/35))/(LN(2)/35)*V107*W107*VLOOKUP('Données projet'!$B$9,Paramètres!$A$1:$I$89,3,0)*0.475*44/12</f>
        <v>#N/A</v>
      </c>
      <c r="AA107" s="21" t="e">
        <f>EXP(-LN(2)/25)*AA106+(1-EXP(-LN(2)/25))/(LN(2)/25)*Calculateur!V107*Calculateur!X107*VLOOKUP('Données projet'!$B$9,Paramètres!$A$1:$I$89,3,0)*0.475*44/12</f>
        <v>#N/A</v>
      </c>
      <c r="AB107" s="21" t="e">
        <f>EXP(-LN(2)/2)*AB106+(1-EXP(-LN(2)/2))/(LN(2)/2)*V107*Y107*VLOOKUP('Données projet'!$B$9,Paramètres!$A$1:$I$89,3,0)*0.475*44/12</f>
        <v>#N/A</v>
      </c>
      <c r="AC107" s="22" t="e">
        <f t="shared" si="57"/>
        <v>#N/A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-1.4897523215040567E-13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338.55719679154777</v>
      </c>
      <c r="AO107" s="59">
        <f t="shared" si="90"/>
        <v>371.26234252426531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1.9230769227948741</v>
      </c>
      <c r="BD107" s="12">
        <f>IF('Données projet'!$A$88&gt;35,BD106+BC107-BL106,IF(A107&lt;'Données projet'!$A$88,$BA$205^A107,IF(A107='Données projet'!$A$88,'Données projet'!$B$88,BD106+BC107-BL106)))</f>
        <v>233.97435897323066</v>
      </c>
      <c r="BE107" s="13">
        <f>BD107*VLOOKUP('Données projet'!$B$11,Paramètres!$A$1:$I$89,3,0)*VLOOKUP('Données projet'!$B$11,Paramètres!$A$1:$I$89,5,0)</f>
        <v>222.64999999892629</v>
      </c>
      <c r="BF107" s="13">
        <f t="shared" si="91"/>
        <v>54.690448148486389</v>
      </c>
      <c r="BG107" s="20">
        <f t="shared" si="61"/>
        <v>483.03461385674376</v>
      </c>
      <c r="BH107" s="59">
        <f t="shared" si="62"/>
        <v>776.36794719007707</v>
      </c>
      <c r="BI107" s="59">
        <f ca="1">AVERAGE(OFFSET($BH$3,0,0,'Données projet'!$E$11+1,1))-AVERAGE(OFFSET($H$3,0,0,'Données projet'!$E$11+1,1))</f>
        <v>351.6178679548006</v>
      </c>
      <c r="BJ107" s="59">
        <f t="shared" si="92"/>
        <v>244.7141066773861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5.6784615384615362</v>
      </c>
      <c r="BY107" s="12">
        <f>IF('Données projet'!$A$114&gt;35,BY106+BX107-CG106,IF(A107&lt;'Données projet'!$A$114,$BV$205^A107,IF(A107='Données projet'!$A$114,'Données projet'!$B$114,BY106+BX107-CG106)))</f>
        <v>227.76153846153855</v>
      </c>
      <c r="BZ107" s="13">
        <f>BY107*VLOOKUP('Données projet'!$B$12,Paramètres!$A$1:$I$89,3,0)*VLOOKUP('Données projet'!$B$12,Paramètres!$A$1:$I$89,5,0)</f>
        <v>106.59240000000004</v>
      </c>
      <c r="CA107" s="13">
        <f t="shared" si="93"/>
        <v>28.526662973246626</v>
      </c>
      <c r="CB107" s="20">
        <f t="shared" si="64"/>
        <v>235.33236801173791</v>
      </c>
      <c r="CC107" s="59">
        <f t="shared" si="65"/>
        <v>528.66570134507128</v>
      </c>
      <c r="CD107" s="59">
        <f ca="1">AVERAGE(OFFSET($CC$3,0,0,'Données projet'!$E$12+1,1))-AVERAGE(OFFSET($H$3,0,0,'Données projet'!$E$12+1,1))</f>
        <v>246.66630850723385</v>
      </c>
      <c r="CE107" s="59">
        <f t="shared" si="94"/>
        <v>145.34368562171613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1.1368683772161603E-13</v>
      </c>
      <c r="CU107" s="17">
        <f>CT107*VLOOKUP('Données projet'!$B$13,Paramètres!$A$1:$I$89,3,0)*VLOOKUP('Données projet'!$B$13,Paramètres!$A$1:$I$89,5,0)</f>
        <v>8.8675733422860506E-14</v>
      </c>
      <c r="CV107" s="13">
        <f t="shared" si="95"/>
        <v>1.3509285393066301E-12</v>
      </c>
      <c r="CW107" s="20">
        <f t="shared" si="67"/>
        <v>2.5073107750038623E-12</v>
      </c>
      <c r="CX107" s="59">
        <f t="shared" si="68"/>
        <v>293.33333333333582</v>
      </c>
      <c r="CY107" s="59">
        <f ca="1">AVERAGE(OFFSET($CX$3,0,0,'Données projet'!$E$13+1,1))-AVERAGE(OFFSET($H$3,0,0,'Données projet'!$E$13+1,1))</f>
        <v>292.57482726862594</v>
      </c>
      <c r="CZ107" s="59">
        <f t="shared" si="96"/>
        <v>283.48738729114024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4.4000000000000004</v>
      </c>
      <c r="DO107" s="12">
        <f>IF('Données projet'!$A$166&gt;35,DO106+DN107-DW106,IF(A107&lt;'Données projet'!$A$166,$DL$205^A107,IF(A107='Données projet'!$A$166,'Données projet'!$B$166,DO106+DN107-DW106)))</f>
        <v>278.59999999999974</v>
      </c>
      <c r="DP107" s="17">
        <f>DO107*VLOOKUP('Données projet'!$B$14,Paramètres!$A$1:$I$89,3,0)*VLOOKUP('Données projet'!$B$14,Paramètres!$A$1:$I$89,5,0)</f>
        <v>282.50039999999973</v>
      </c>
      <c r="DQ107" s="13">
        <f t="shared" si="97"/>
        <v>67.495141560894311</v>
      </c>
      <c r="DR107" s="20">
        <f t="shared" si="70"/>
        <v>609.57556821855712</v>
      </c>
      <c r="DS107" s="59">
        <f t="shared" si="71"/>
        <v>902.90890155189049</v>
      </c>
      <c r="DT107" s="59">
        <f ca="1">AVERAGE(OFFSET($DS$3,0,0,'Données projet'!$E$14+1,1))-AVERAGE(OFFSET($H$3,0,0,'Données projet'!$E$14+1,1))</f>
        <v>475.47920969424894</v>
      </c>
      <c r="DU107" s="59">
        <f t="shared" si="98"/>
        <v>271.73544012419364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4.4000000000000004</v>
      </c>
      <c r="EJ107" s="12">
        <f>IF('Données projet'!$A$192&gt;35,EJ106+EI107-ER106,IF(A107&lt;'Données projet'!$A$192,$EG$205^A107,IF(A107='Données projet'!$A$192,'Données projet'!$B$192,EJ106+EI107-ER106)))</f>
        <v>278.59999999999974</v>
      </c>
      <c r="EK107" s="17">
        <f>EJ107*VLOOKUP('Données projet'!$B$15,Paramètres!$A$1:$I$89,3,0)*VLOOKUP('Données projet'!$B$15,Paramètres!$A$1:$I$89,5,0)</f>
        <v>252.07727999999975</v>
      </c>
      <c r="EL107" s="13">
        <f t="shared" si="99"/>
        <v>61.03054465215493</v>
      </c>
      <c r="EM107" s="20">
        <f t="shared" si="73"/>
        <v>545.32946126916943</v>
      </c>
      <c r="EN107" s="59">
        <f t="shared" si="74"/>
        <v>838.6627946025028</v>
      </c>
      <c r="EO107" s="59">
        <f ca="1">AVERAGE(OFFSET($EN$3,0,0,'Données projet'!$E$15+1,1))-AVERAGE(OFFSET($H$3,0,0,'Données projet'!$E$15+1,1))</f>
        <v>428.8489304403459</v>
      </c>
      <c r="EP107" s="59">
        <f t="shared" si="100"/>
        <v>247.01165577562966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245.25496369542458</v>
      </c>
      <c r="FK107" s="59">
        <f t="shared" si="102"/>
        <v>342.30266518164211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0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 t="e">
        <f>N108*VLOOKUP('Données projet'!$B$9,Paramètres!$A$1:$I$89,3,0)*VLOOKUP('Données projet'!$B$9,Paramètres!$A$1:$I$89,5,0)</f>
        <v>#N/A</v>
      </c>
      <c r="P108" s="13" t="e">
        <f t="shared" si="87"/>
        <v>#N/A</v>
      </c>
      <c r="Q108" s="20" t="e">
        <f t="shared" si="107"/>
        <v>#N/A</v>
      </c>
      <c r="R108" s="59" t="e">
        <f t="shared" si="55"/>
        <v>#N/A</v>
      </c>
      <c r="S108" s="59" t="e">
        <f ca="1">AVERAGE(OFFSET($R$3,0,0,'Données projet'!$E$9+1,1))-AVERAGE(OFFSET($H$3,0,0,'Données projet'!$E$9+1,1))</f>
        <v>#N/A</v>
      </c>
      <c r="T108" s="59" t="e">
        <f t="shared" si="88"/>
        <v>#N/A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 t="e">
        <f>EXP(-LN(2)/35)*Z107+(1-EXP(-LN(2)/35))/(LN(2)/35)*V108*W108*VLOOKUP('Données projet'!$B$9,Paramètres!$A$1:$I$89,3,0)*0.475*44/12</f>
        <v>#N/A</v>
      </c>
      <c r="AA108" s="21" t="e">
        <f>EXP(-LN(2)/25)*AA107+(1-EXP(-LN(2)/25))/(LN(2)/25)*Calculateur!V108*Calculateur!X108*VLOOKUP('Données projet'!$B$9,Paramètres!$A$1:$I$89,3,0)*0.475*44/12</f>
        <v>#N/A</v>
      </c>
      <c r="AB108" s="21" t="e">
        <f>EXP(-LN(2)/2)*AB107+(1-EXP(-LN(2)/2))/(LN(2)/2)*V108*Y108*VLOOKUP('Données projet'!$B$9,Paramètres!$A$1:$I$89,3,0)*0.475*44/12</f>
        <v>#N/A</v>
      </c>
      <c r="AC108" s="22" t="e">
        <f t="shared" si="57"/>
        <v>#N/A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-1.4897523215040567E-13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338.55719679154777</v>
      </c>
      <c r="AO108" s="59">
        <f t="shared" si="90"/>
        <v>371.26234252426531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1.9230769227948741</v>
      </c>
      <c r="BD108" s="12">
        <f>IF('Données projet'!$A$88&gt;35,BD107+BC108-BL107,IF(A108&lt;'Données projet'!$A$88,$BA$205^A108,IF(A108='Données projet'!$A$88,'Données projet'!$B$88,BD107+BC108-BL107)))</f>
        <v>235.89743589602554</v>
      </c>
      <c r="BE108" s="13">
        <f>BD108*VLOOKUP('Données projet'!$B$11,Paramètres!$A$1:$I$89,3,0)*VLOOKUP('Données projet'!$B$11,Paramètres!$A$1:$I$89,5,0)</f>
        <v>224.47999999865792</v>
      </c>
      <c r="BF108" s="13">
        <f t="shared" si="91"/>
        <v>55.087446236672172</v>
      </c>
      <c r="BG108" s="20">
        <f t="shared" si="61"/>
        <v>486.9133021931998</v>
      </c>
      <c r="BH108" s="59">
        <f t="shared" si="62"/>
        <v>780.24663552653305</v>
      </c>
      <c r="BI108" s="59">
        <f ca="1">AVERAGE(OFFSET($BH$3,0,0,'Données projet'!$E$11+1,1))-AVERAGE(OFFSET($H$3,0,0,'Données projet'!$E$11+1,1))</f>
        <v>351.6178679548006</v>
      </c>
      <c r="BJ108" s="59">
        <f t="shared" si="92"/>
        <v>244.7141066773861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5.6784615384615362</v>
      </c>
      <c r="BY108" s="12">
        <f>IF('Données projet'!$A$114&gt;35,BY107+BX108-CG107,IF(A108&lt;'Données projet'!$A$114,$BV$205^A108,IF(A108='Données projet'!$A$114,'Données projet'!$B$114,BY107+BX108-CG107)))</f>
        <v>233.44000000000008</v>
      </c>
      <c r="BZ108" s="13">
        <f>BY108*VLOOKUP('Données projet'!$B$12,Paramètres!$A$1:$I$89,3,0)*VLOOKUP('Données projet'!$B$12,Paramètres!$A$1:$I$89,5,0)</f>
        <v>109.24992000000003</v>
      </c>
      <c r="CA108" s="13">
        <f t="shared" si="93"/>
        <v>29.154189560481736</v>
      </c>
      <c r="CB108" s="20">
        <f t="shared" si="64"/>
        <v>241.05382415117242</v>
      </c>
      <c r="CC108" s="59">
        <f t="shared" si="65"/>
        <v>534.38715748450568</v>
      </c>
      <c r="CD108" s="59">
        <f ca="1">AVERAGE(OFFSET($CC$3,0,0,'Données projet'!$E$12+1,1))-AVERAGE(OFFSET($H$3,0,0,'Données projet'!$E$12+1,1))</f>
        <v>246.66630850723385</v>
      </c>
      <c r="CE108" s="59">
        <f t="shared" si="94"/>
        <v>145.34368562171613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1.1368683772161603E-13</v>
      </c>
      <c r="CU108" s="17">
        <f>CT108*VLOOKUP('Données projet'!$B$13,Paramètres!$A$1:$I$89,3,0)*VLOOKUP('Données projet'!$B$13,Paramètres!$A$1:$I$89,5,0)</f>
        <v>8.8675733422860506E-14</v>
      </c>
      <c r="CV108" s="13">
        <f t="shared" si="95"/>
        <v>1.3509285393066301E-12</v>
      </c>
      <c r="CW108" s="20">
        <f t="shared" si="67"/>
        <v>2.5073107750038623E-12</v>
      </c>
      <c r="CX108" s="59">
        <f t="shared" si="68"/>
        <v>293.33333333333582</v>
      </c>
      <c r="CY108" s="59">
        <f ca="1">AVERAGE(OFFSET($CX$3,0,0,'Données projet'!$E$13+1,1))-AVERAGE(OFFSET($H$3,0,0,'Données projet'!$E$13+1,1))</f>
        <v>292.57482726862594</v>
      </c>
      <c r="CZ108" s="59">
        <f t="shared" si="96"/>
        <v>283.48738729114024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4.4000000000000004</v>
      </c>
      <c r="DO108" s="12">
        <f>IF('Données projet'!$A$166&gt;35,DO107+DN108-DW107,IF(A108&lt;'Données projet'!$A$166,$DL$205^A108,IF(A108='Données projet'!$A$166,'Données projet'!$B$166,DO107+DN108-DW107)))</f>
        <v>282.99999999999972</v>
      </c>
      <c r="DP108" s="17">
        <f>DO108*VLOOKUP('Données projet'!$B$14,Paramètres!$A$1:$I$89,3,0)*VLOOKUP('Données projet'!$B$14,Paramètres!$A$1:$I$89,5,0)</f>
        <v>286.9619999999997</v>
      </c>
      <c r="DQ108" s="13">
        <f t="shared" si="97"/>
        <v>68.436169981717796</v>
      </c>
      <c r="DR108" s="20">
        <f t="shared" si="70"/>
        <v>618.98514605149137</v>
      </c>
      <c r="DS108" s="59">
        <f t="shared" si="71"/>
        <v>912.31847938482474</v>
      </c>
      <c r="DT108" s="59">
        <f ca="1">AVERAGE(OFFSET($DS$3,0,0,'Données projet'!$E$14+1,1))-AVERAGE(OFFSET($H$3,0,0,'Données projet'!$E$14+1,1))</f>
        <v>475.47920969424894</v>
      </c>
      <c r="DU108" s="59">
        <f t="shared" si="98"/>
        <v>271.73544012419364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4.4000000000000004</v>
      </c>
      <c r="EJ108" s="12">
        <f>IF('Données projet'!$A$192&gt;35,EJ107+EI108-ER107,IF(A108&lt;'Données projet'!$A$192,$EG$205^A108,IF(A108='Données projet'!$A$192,'Données projet'!$B$192,EJ107+EI108-ER107)))</f>
        <v>282.99999999999972</v>
      </c>
      <c r="EK108" s="17">
        <f>EJ108*VLOOKUP('Données projet'!$B$15,Paramètres!$A$1:$I$89,3,0)*VLOOKUP('Données projet'!$B$15,Paramètres!$A$1:$I$89,5,0)</f>
        <v>256.05839999999972</v>
      </c>
      <c r="EL108" s="13">
        <f t="shared" si="99"/>
        <v>61.881442594256434</v>
      </c>
      <c r="EM108" s="20">
        <f t="shared" si="73"/>
        <v>553.74522585166278</v>
      </c>
      <c r="EN108" s="59">
        <f t="shared" si="74"/>
        <v>847.07855918499604</v>
      </c>
      <c r="EO108" s="59">
        <f ca="1">AVERAGE(OFFSET($EN$3,0,0,'Données projet'!$E$15+1,1))-AVERAGE(OFFSET($H$3,0,0,'Données projet'!$E$15+1,1))</f>
        <v>428.8489304403459</v>
      </c>
      <c r="EP108" s="59">
        <f t="shared" si="100"/>
        <v>247.01165577562966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245.25496369542458</v>
      </c>
      <c r="FK108" s="59">
        <f t="shared" si="102"/>
        <v>342.30266518164211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0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 t="e">
        <f>N109*VLOOKUP('Données projet'!$B$9,Paramètres!$A$1:$I$89,3,0)*VLOOKUP('Données projet'!$B$9,Paramètres!$A$1:$I$89,5,0)</f>
        <v>#N/A</v>
      </c>
      <c r="P109" s="13" t="e">
        <f t="shared" si="87"/>
        <v>#N/A</v>
      </c>
      <c r="Q109" s="20" t="e">
        <f t="shared" si="107"/>
        <v>#N/A</v>
      </c>
      <c r="R109" s="59" t="e">
        <f t="shared" si="55"/>
        <v>#N/A</v>
      </c>
      <c r="S109" s="59" t="e">
        <f ca="1">AVERAGE(OFFSET($R$3,0,0,'Données projet'!$E$9+1,1))-AVERAGE(OFFSET($H$3,0,0,'Données projet'!$E$9+1,1))</f>
        <v>#N/A</v>
      </c>
      <c r="T109" s="59" t="e">
        <f t="shared" si="88"/>
        <v>#N/A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 t="e">
        <f>EXP(-LN(2)/35)*Z108+(1-EXP(-LN(2)/35))/(LN(2)/35)*V109*W109*VLOOKUP('Données projet'!$B$9,Paramètres!$A$1:$I$89,3,0)*0.475*44/12</f>
        <v>#N/A</v>
      </c>
      <c r="AA109" s="21" t="e">
        <f>EXP(-LN(2)/25)*AA108+(1-EXP(-LN(2)/25))/(LN(2)/25)*Calculateur!V109*Calculateur!X109*VLOOKUP('Données projet'!$B$9,Paramètres!$A$1:$I$89,3,0)*0.475*44/12</f>
        <v>#N/A</v>
      </c>
      <c r="AB109" s="21" t="e">
        <f>EXP(-LN(2)/2)*AB108+(1-EXP(-LN(2)/2))/(LN(2)/2)*V109*Y109*VLOOKUP('Données projet'!$B$9,Paramètres!$A$1:$I$89,3,0)*0.475*44/12</f>
        <v>#N/A</v>
      </c>
      <c r="AC109" s="22" t="e">
        <f t="shared" si="57"/>
        <v>#N/A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-1.4897523215040567E-13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338.55719679154777</v>
      </c>
      <c r="AO109" s="59">
        <f t="shared" si="90"/>
        <v>371.26234252426531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1.9230769227948741</v>
      </c>
      <c r="BD109" s="12">
        <f>IF('Données projet'!$A$88&gt;35,BD108+BC109-BL108,IF(A109&lt;'Données projet'!$A$88,$BA$205^A109,IF(A109='Données projet'!$A$88,'Données projet'!$B$88,BD108+BC109-BL108)))</f>
        <v>237.82051281882042</v>
      </c>
      <c r="BE109" s="13">
        <f>BD109*VLOOKUP('Données projet'!$B$11,Paramètres!$A$1:$I$89,3,0)*VLOOKUP('Données projet'!$B$11,Paramètres!$A$1:$I$89,5,0)</f>
        <v>226.30999999838951</v>
      </c>
      <c r="BF109" s="13">
        <f t="shared" si="91"/>
        <v>55.484067782461622</v>
      </c>
      <c r="BG109" s="20">
        <f t="shared" si="61"/>
        <v>490.79133471831568</v>
      </c>
      <c r="BH109" s="59">
        <f t="shared" si="62"/>
        <v>784.124668051649</v>
      </c>
      <c r="BI109" s="59">
        <f ca="1">AVERAGE(OFFSET($BH$3,0,0,'Données projet'!$E$11+1,1))-AVERAGE(OFFSET($H$3,0,0,'Données projet'!$E$11+1,1))</f>
        <v>351.6178679548006</v>
      </c>
      <c r="BJ109" s="59">
        <f t="shared" si="92"/>
        <v>244.7141066773861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5.6784615384615362</v>
      </c>
      <c r="BY109" s="12">
        <f>IF('Données projet'!$A$114&gt;35,BY108+BX109-CG108,IF(A109&lt;'Données projet'!$A$114,$BV$205^A109,IF(A109='Données projet'!$A$114,'Données projet'!$B$114,BY108+BX109-CG108)))</f>
        <v>239.11846153846162</v>
      </c>
      <c r="BZ109" s="13">
        <f>BY109*VLOOKUP('Données projet'!$B$12,Paramètres!$A$1:$I$89,3,0)*VLOOKUP('Données projet'!$B$12,Paramètres!$A$1:$I$89,5,0)</f>
        <v>111.90744000000004</v>
      </c>
      <c r="CA109" s="13">
        <f t="shared" si="93"/>
        <v>29.779941667767623</v>
      </c>
      <c r="CB109" s="20">
        <f t="shared" si="64"/>
        <v>246.77218973802863</v>
      </c>
      <c r="CC109" s="59">
        <f t="shared" si="65"/>
        <v>540.10552307136197</v>
      </c>
      <c r="CD109" s="59">
        <f ca="1">AVERAGE(OFFSET($CC$3,0,0,'Données projet'!$E$12+1,1))-AVERAGE(OFFSET($H$3,0,0,'Données projet'!$E$12+1,1))</f>
        <v>246.66630850723385</v>
      </c>
      <c r="CE109" s="59">
        <f t="shared" si="94"/>
        <v>145.34368562171613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1.1368683772161603E-13</v>
      </c>
      <c r="CU109" s="17">
        <f>CT109*VLOOKUP('Données projet'!$B$13,Paramètres!$A$1:$I$89,3,0)*VLOOKUP('Données projet'!$B$13,Paramètres!$A$1:$I$89,5,0)</f>
        <v>8.8675733422860506E-14</v>
      </c>
      <c r="CV109" s="13">
        <f t="shared" si="95"/>
        <v>1.3509285393066301E-12</v>
      </c>
      <c r="CW109" s="20">
        <f t="shared" si="67"/>
        <v>2.5073107750038623E-12</v>
      </c>
      <c r="CX109" s="59">
        <f t="shared" si="68"/>
        <v>293.33333333333582</v>
      </c>
      <c r="CY109" s="59">
        <f ca="1">AVERAGE(OFFSET($CX$3,0,0,'Données projet'!$E$13+1,1))-AVERAGE(OFFSET($H$3,0,0,'Données projet'!$E$13+1,1))</f>
        <v>292.57482726862594</v>
      </c>
      <c r="CZ109" s="59">
        <f t="shared" si="96"/>
        <v>283.48738729114024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4.4000000000000004</v>
      </c>
      <c r="DO109" s="12">
        <f>IF('Données projet'!$A$166&gt;35,DO108+DN109-DW108,IF(A109&lt;'Données projet'!$A$166,$DL$205^A109,IF(A109='Données projet'!$A$166,'Données projet'!$B$166,DO108+DN109-DW108)))</f>
        <v>287.39999999999969</v>
      </c>
      <c r="DP109" s="17">
        <f>DO109*VLOOKUP('Données projet'!$B$14,Paramètres!$A$1:$I$89,3,0)*VLOOKUP('Données projet'!$B$14,Paramètres!$A$1:$I$89,5,0)</f>
        <v>291.42359999999968</v>
      </c>
      <c r="DQ109" s="13">
        <f t="shared" si="97"/>
        <v>69.375496841482104</v>
      </c>
      <c r="DR109" s="20">
        <f t="shared" si="70"/>
        <v>628.39176033224737</v>
      </c>
      <c r="DS109" s="59">
        <f t="shared" si="71"/>
        <v>921.72509366558074</v>
      </c>
      <c r="DT109" s="59">
        <f ca="1">AVERAGE(OFFSET($DS$3,0,0,'Données projet'!$E$14+1,1))-AVERAGE(OFFSET($H$3,0,0,'Données projet'!$E$14+1,1))</f>
        <v>475.47920969424894</v>
      </c>
      <c r="DU109" s="59">
        <f t="shared" si="98"/>
        <v>271.73544012419364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4.4000000000000004</v>
      </c>
      <c r="EJ109" s="12">
        <f>IF('Données projet'!$A$192&gt;35,EJ108+EI109-ER108,IF(A109&lt;'Données projet'!$A$192,$EG$205^A109,IF(A109='Données projet'!$A$192,'Données projet'!$B$192,EJ108+EI109-ER108)))</f>
        <v>287.39999999999969</v>
      </c>
      <c r="EK109" s="17">
        <f>EJ109*VLOOKUP('Données projet'!$B$15,Paramètres!$A$1:$I$89,3,0)*VLOOKUP('Données projet'!$B$15,Paramètres!$A$1:$I$89,5,0)</f>
        <v>260.0395199999997</v>
      </c>
      <c r="EL109" s="13">
        <f t="shared" si="99"/>
        <v>62.730801948604821</v>
      </c>
      <c r="EM109" s="20">
        <f t="shared" si="73"/>
        <v>562.15831072715287</v>
      </c>
      <c r="EN109" s="59">
        <f t="shared" si="74"/>
        <v>855.49164406048612</v>
      </c>
      <c r="EO109" s="59">
        <f ca="1">AVERAGE(OFFSET($EN$3,0,0,'Données projet'!$E$15+1,1))-AVERAGE(OFFSET($H$3,0,0,'Données projet'!$E$15+1,1))</f>
        <v>428.8489304403459</v>
      </c>
      <c r="EP109" s="59">
        <f t="shared" si="100"/>
        <v>247.01165577562966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245.25496369542458</v>
      </c>
      <c r="FK109" s="59">
        <f t="shared" si="102"/>
        <v>342.30266518164211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0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 t="e">
        <f>N110*VLOOKUP('Données projet'!$B$9,Paramètres!$A$1:$I$89,3,0)*VLOOKUP('Données projet'!$B$9,Paramètres!$A$1:$I$89,5,0)</f>
        <v>#N/A</v>
      </c>
      <c r="P110" s="13" t="e">
        <f t="shared" si="87"/>
        <v>#N/A</v>
      </c>
      <c r="Q110" s="20" t="e">
        <f t="shared" si="107"/>
        <v>#N/A</v>
      </c>
      <c r="R110" s="59" t="e">
        <f t="shared" si="55"/>
        <v>#N/A</v>
      </c>
      <c r="S110" s="59" t="e">
        <f ca="1">AVERAGE(OFFSET($R$3,0,0,'Données projet'!$E$9+1,1))-AVERAGE(OFFSET($H$3,0,0,'Données projet'!$E$9+1,1))</f>
        <v>#N/A</v>
      </c>
      <c r="T110" s="59" t="e">
        <f t="shared" si="88"/>
        <v>#N/A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 t="e">
        <f>EXP(-LN(2)/35)*Z109+(1-EXP(-LN(2)/35))/(LN(2)/35)*V110*W110*VLOOKUP('Données projet'!$B$9,Paramètres!$A$1:$I$89,3,0)*0.475*44/12</f>
        <v>#N/A</v>
      </c>
      <c r="AA110" s="21" t="e">
        <f>EXP(-LN(2)/25)*AA109+(1-EXP(-LN(2)/25))/(LN(2)/25)*Calculateur!V110*Calculateur!X110*VLOOKUP('Données projet'!$B$9,Paramètres!$A$1:$I$89,3,0)*0.475*44/12</f>
        <v>#N/A</v>
      </c>
      <c r="AB110" s="21" t="e">
        <f>EXP(-LN(2)/2)*AB109+(1-EXP(-LN(2)/2))/(LN(2)/2)*V110*Y110*VLOOKUP('Données projet'!$B$9,Paramètres!$A$1:$I$89,3,0)*0.475*44/12</f>
        <v>#N/A</v>
      </c>
      <c r="AC110" s="22" t="e">
        <f t="shared" si="57"/>
        <v>#N/A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-1.4897523215040567E-13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338.55719679154777</v>
      </c>
      <c r="AO110" s="59">
        <f t="shared" si="90"/>
        <v>371.26234252426531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1.9230769227948741</v>
      </c>
      <c r="BD110" s="12">
        <f>IF('Données projet'!$A$88&gt;35,BD109+BC110-BL109,IF(A110&lt;'Données projet'!$A$88,$BA$205^A110,IF(A110='Données projet'!$A$88,'Données projet'!$B$88,BD109+BC110-BL109)))</f>
        <v>239.7435897416153</v>
      </c>
      <c r="BE110" s="13">
        <f>BD110*VLOOKUP('Données projet'!$B$11,Paramètres!$A$1:$I$89,3,0)*VLOOKUP('Données projet'!$B$11,Paramètres!$A$1:$I$89,5,0)</f>
        <v>228.13999999812111</v>
      </c>
      <c r="BF110" s="13">
        <f t="shared" si="91"/>
        <v>55.880316183563792</v>
      </c>
      <c r="BG110" s="20">
        <f t="shared" si="61"/>
        <v>494.66871734976786</v>
      </c>
      <c r="BH110" s="59">
        <f t="shared" si="62"/>
        <v>788.00205068310117</v>
      </c>
      <c r="BI110" s="59">
        <f ca="1">AVERAGE(OFFSET($BH$3,0,0,'Données projet'!$E$11+1,1))-AVERAGE(OFFSET($H$3,0,0,'Données projet'!$E$11+1,1))</f>
        <v>351.6178679548006</v>
      </c>
      <c r="BJ110" s="59">
        <f t="shared" si="92"/>
        <v>244.7141066773861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5.6784615384615362</v>
      </c>
      <c r="BY110" s="12">
        <f>IF('Données projet'!$A$114&gt;35,BY109+BX110-CG109,IF(A110&lt;'Données projet'!$A$114,$BV$205^A110,IF(A110='Données projet'!$A$114,'Données projet'!$B$114,BY109+BX110-CG109)))</f>
        <v>244.79692307692315</v>
      </c>
      <c r="BZ110" s="13">
        <f>BY110*VLOOKUP('Données projet'!$B$12,Paramètres!$A$1:$I$89,3,0)*VLOOKUP('Données projet'!$B$12,Paramètres!$A$1:$I$89,5,0)</f>
        <v>114.56496000000003</v>
      </c>
      <c r="CA110" s="13">
        <f t="shared" si="93"/>
        <v>30.403966283534938</v>
      </c>
      <c r="CB110" s="20">
        <f t="shared" si="64"/>
        <v>252.48754661049</v>
      </c>
      <c r="CC110" s="59">
        <f t="shared" si="65"/>
        <v>545.82087994382334</v>
      </c>
      <c r="CD110" s="59">
        <f ca="1">AVERAGE(OFFSET($CC$3,0,0,'Données projet'!$E$12+1,1))-AVERAGE(OFFSET($H$3,0,0,'Données projet'!$E$12+1,1))</f>
        <v>246.66630850723385</v>
      </c>
      <c r="CE110" s="59">
        <f t="shared" si="94"/>
        <v>145.34368562171613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1.1368683772161603E-13</v>
      </c>
      <c r="CU110" s="17">
        <f>CT110*VLOOKUP('Données projet'!$B$13,Paramètres!$A$1:$I$89,3,0)*VLOOKUP('Données projet'!$B$13,Paramètres!$A$1:$I$89,5,0)</f>
        <v>8.8675733422860506E-14</v>
      </c>
      <c r="CV110" s="13">
        <f t="shared" si="95"/>
        <v>1.3509285393066301E-12</v>
      </c>
      <c r="CW110" s="20">
        <f t="shared" si="67"/>
        <v>2.5073107750038623E-12</v>
      </c>
      <c r="CX110" s="59">
        <f t="shared" si="68"/>
        <v>293.33333333333582</v>
      </c>
      <c r="CY110" s="59">
        <f ca="1">AVERAGE(OFFSET($CX$3,0,0,'Données projet'!$E$13+1,1))-AVERAGE(OFFSET($H$3,0,0,'Données projet'!$E$13+1,1))</f>
        <v>292.57482726862594</v>
      </c>
      <c r="CZ110" s="59">
        <f t="shared" si="96"/>
        <v>283.48738729114024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4.4000000000000004</v>
      </c>
      <c r="DO110" s="12">
        <f>IF('Données projet'!$A$166&gt;35,DO109+DN110-DW109,IF(A110&lt;'Données projet'!$A$166,$DL$205^A110,IF(A110='Données projet'!$A$166,'Données projet'!$B$166,DO109+DN110-DW109)))</f>
        <v>291.79999999999967</v>
      </c>
      <c r="DP110" s="17">
        <f>DO110*VLOOKUP('Données projet'!$B$14,Paramètres!$A$1:$I$89,3,0)*VLOOKUP('Données projet'!$B$14,Paramètres!$A$1:$I$89,5,0)</f>
        <v>295.88519999999966</v>
      </c>
      <c r="DQ110" s="13">
        <f t="shared" si="97"/>
        <v>70.313151199178748</v>
      </c>
      <c r="DR110" s="20">
        <f t="shared" si="70"/>
        <v>637.79546167190244</v>
      </c>
      <c r="DS110" s="59">
        <f t="shared" si="71"/>
        <v>931.12879500523582</v>
      </c>
      <c r="DT110" s="59">
        <f ca="1">AVERAGE(OFFSET($DS$3,0,0,'Données projet'!$E$14+1,1))-AVERAGE(OFFSET($H$3,0,0,'Données projet'!$E$14+1,1))</f>
        <v>475.47920969424894</v>
      </c>
      <c r="DU110" s="59">
        <f t="shared" si="98"/>
        <v>271.73544012419364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4.4000000000000004</v>
      </c>
      <c r="EJ110" s="12">
        <f>IF('Données projet'!$A$192&gt;35,EJ109+EI110-ER109,IF(A110&lt;'Données projet'!$A$192,$EG$205^A110,IF(A110='Données projet'!$A$192,'Données projet'!$B$192,EJ109+EI110-ER109)))</f>
        <v>291.79999999999967</v>
      </c>
      <c r="EK110" s="17">
        <f>EJ110*VLOOKUP('Données projet'!$B$15,Paramètres!$A$1:$I$89,3,0)*VLOOKUP('Données projet'!$B$15,Paramètres!$A$1:$I$89,5,0)</f>
        <v>264.02063999999967</v>
      </c>
      <c r="EL110" s="13">
        <f t="shared" si="99"/>
        <v>63.57864899095906</v>
      </c>
      <c r="EM110" s="20">
        <f t="shared" si="73"/>
        <v>570.56876165925303</v>
      </c>
      <c r="EN110" s="59">
        <f t="shared" si="74"/>
        <v>863.9020949925864</v>
      </c>
      <c r="EO110" s="59">
        <f ca="1">AVERAGE(OFFSET($EN$3,0,0,'Données projet'!$E$15+1,1))-AVERAGE(OFFSET($H$3,0,0,'Données projet'!$E$15+1,1))</f>
        <v>428.8489304403459</v>
      </c>
      <c r="EP110" s="59">
        <f t="shared" si="100"/>
        <v>247.01165577562966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245.25496369542458</v>
      </c>
      <c r="FK110" s="59">
        <f t="shared" si="102"/>
        <v>342.30266518164211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0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 t="e">
        <f>N111*VLOOKUP('Données projet'!$B$9,Paramètres!$A$1:$I$89,3,0)*VLOOKUP('Données projet'!$B$9,Paramètres!$A$1:$I$89,5,0)</f>
        <v>#N/A</v>
      </c>
      <c r="P111" s="13" t="e">
        <f t="shared" si="87"/>
        <v>#N/A</v>
      </c>
      <c r="Q111" s="20" t="e">
        <f t="shared" si="107"/>
        <v>#N/A</v>
      </c>
      <c r="R111" s="59" t="e">
        <f t="shared" si="55"/>
        <v>#N/A</v>
      </c>
      <c r="S111" s="59" t="e">
        <f ca="1">AVERAGE(OFFSET($R$3,0,0,'Données projet'!$E$9+1,1))-AVERAGE(OFFSET($H$3,0,0,'Données projet'!$E$9+1,1))</f>
        <v>#N/A</v>
      </c>
      <c r="T111" s="59" t="e">
        <f t="shared" si="88"/>
        <v>#N/A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 t="e">
        <f>EXP(-LN(2)/35)*Z110+(1-EXP(-LN(2)/35))/(LN(2)/35)*V111*W111*VLOOKUP('Données projet'!$B$9,Paramètres!$A$1:$I$89,3,0)*0.475*44/12</f>
        <v>#N/A</v>
      </c>
      <c r="AA111" s="21" t="e">
        <f>EXP(-LN(2)/25)*AA110+(1-EXP(-LN(2)/25))/(LN(2)/25)*Calculateur!V111*Calculateur!X111*VLOOKUP('Données projet'!$B$9,Paramètres!$A$1:$I$89,3,0)*0.475*44/12</f>
        <v>#N/A</v>
      </c>
      <c r="AB111" s="21" t="e">
        <f>EXP(-LN(2)/2)*AB110+(1-EXP(-LN(2)/2))/(LN(2)/2)*V111*Y111*VLOOKUP('Données projet'!$B$9,Paramètres!$A$1:$I$89,3,0)*0.475*44/12</f>
        <v>#N/A</v>
      </c>
      <c r="AC111" s="22" t="e">
        <f t="shared" si="57"/>
        <v>#N/A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-1.4897523215040567E-13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338.55719679154777</v>
      </c>
      <c r="AO111" s="59">
        <f t="shared" si="90"/>
        <v>371.26234252426531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1.9230769227948741</v>
      </c>
      <c r="BD111" s="12">
        <f>IF('Données projet'!$A$88&gt;35,BD110+BC111-BL110,IF(A111&lt;'Données projet'!$A$88,$BA$205^A111,IF(A111='Données projet'!$A$88,'Données projet'!$B$88,BD110+BC111-BL110)))</f>
        <v>241.66666666441017</v>
      </c>
      <c r="BE111" s="13">
        <f>BD111*VLOOKUP('Données projet'!$B$11,Paramètres!$A$1:$I$89,3,0)*VLOOKUP('Données projet'!$B$11,Paramètres!$A$1:$I$89,5,0)</f>
        <v>229.96999999785271</v>
      </c>
      <c r="BF111" s="13">
        <f t="shared" si="91"/>
        <v>56.276194780031645</v>
      </c>
      <c r="BG111" s="20">
        <f t="shared" si="61"/>
        <v>498.54545590481524</v>
      </c>
      <c r="BH111" s="59">
        <f t="shared" si="62"/>
        <v>791.87878923814856</v>
      </c>
      <c r="BI111" s="59">
        <f ca="1">AVERAGE(OFFSET($BH$3,0,0,'Données projet'!$E$11+1,1))-AVERAGE(OFFSET($H$3,0,0,'Données projet'!$E$11+1,1))</f>
        <v>351.6178679548006</v>
      </c>
      <c r="BJ111" s="59">
        <f t="shared" si="92"/>
        <v>244.7141066773861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5.6784615384615362</v>
      </c>
      <c r="BY111" s="12">
        <f>IF('Données projet'!$A$114&gt;35,BY110+BX111-CG110,IF(A111&lt;'Données projet'!$A$114,$BV$205^A111,IF(A111='Données projet'!$A$114,'Données projet'!$B$114,BY110+BX111-CG110)))</f>
        <v>250.47538461538468</v>
      </c>
      <c r="BZ111" s="13">
        <f>BY111*VLOOKUP('Données projet'!$B$12,Paramètres!$A$1:$I$89,3,0)*VLOOKUP('Données projet'!$B$12,Paramètres!$A$1:$I$89,5,0)</f>
        <v>117.22248000000002</v>
      </c>
      <c r="CA111" s="13">
        <f t="shared" si="93"/>
        <v>31.026308091885518</v>
      </c>
      <c r="CB111" s="20">
        <f t="shared" si="64"/>
        <v>258.19997259336725</v>
      </c>
      <c r="CC111" s="59">
        <f t="shared" si="65"/>
        <v>551.53330592670056</v>
      </c>
      <c r="CD111" s="59">
        <f ca="1">AVERAGE(OFFSET($CC$3,0,0,'Données projet'!$E$12+1,1))-AVERAGE(OFFSET($H$3,0,0,'Données projet'!$E$12+1,1))</f>
        <v>246.66630850723385</v>
      </c>
      <c r="CE111" s="59">
        <f t="shared" si="94"/>
        <v>145.34368562171613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1.1368683772161603E-13</v>
      </c>
      <c r="CU111" s="17">
        <f>CT111*VLOOKUP('Données projet'!$B$13,Paramètres!$A$1:$I$89,3,0)*VLOOKUP('Données projet'!$B$13,Paramètres!$A$1:$I$89,5,0)</f>
        <v>8.8675733422860506E-14</v>
      </c>
      <c r="CV111" s="13">
        <f t="shared" si="95"/>
        <v>1.3509285393066301E-12</v>
      </c>
      <c r="CW111" s="20">
        <f t="shared" si="67"/>
        <v>2.5073107750038623E-12</v>
      </c>
      <c r="CX111" s="59">
        <f t="shared" si="68"/>
        <v>293.33333333333582</v>
      </c>
      <c r="CY111" s="59">
        <f ca="1">AVERAGE(OFFSET($CX$3,0,0,'Données projet'!$E$13+1,1))-AVERAGE(OFFSET($H$3,0,0,'Données projet'!$E$13+1,1))</f>
        <v>292.57482726862594</v>
      </c>
      <c r="CZ111" s="59">
        <f t="shared" si="96"/>
        <v>283.48738729114024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4.4000000000000004</v>
      </c>
      <c r="DO111" s="12">
        <f>IF('Données projet'!$A$166&gt;35,DO110+DN111-DW110,IF(A111&lt;'Données projet'!$A$166,$DL$205^A111,IF(A111='Données projet'!$A$166,'Données projet'!$B$166,DO110+DN111-DW110)))</f>
        <v>296.19999999999965</v>
      </c>
      <c r="DP111" s="17">
        <f>DO111*VLOOKUP('Données projet'!$B$14,Paramètres!$A$1:$I$89,3,0)*VLOOKUP('Données projet'!$B$14,Paramètres!$A$1:$I$89,5,0)</f>
        <v>300.34679999999963</v>
      </c>
      <c r="DQ111" s="13">
        <f t="shared" si="97"/>
        <v>71.249161187153291</v>
      </c>
      <c r="DR111" s="20">
        <f t="shared" si="70"/>
        <v>647.19629906762464</v>
      </c>
      <c r="DS111" s="59">
        <f t="shared" si="71"/>
        <v>940.52963240095801</v>
      </c>
      <c r="DT111" s="59">
        <f ca="1">AVERAGE(OFFSET($DS$3,0,0,'Données projet'!$E$14+1,1))-AVERAGE(OFFSET($H$3,0,0,'Données projet'!$E$14+1,1))</f>
        <v>475.47920969424894</v>
      </c>
      <c r="DU111" s="59">
        <f t="shared" si="98"/>
        <v>271.73544012419364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4.4000000000000004</v>
      </c>
      <c r="EJ111" s="12">
        <f>IF('Données projet'!$A$192&gt;35,EJ110+EI111-ER110,IF(A111&lt;'Données projet'!$A$192,$EG$205^A111,IF(A111='Données projet'!$A$192,'Données projet'!$B$192,EJ110+EI111-ER110)))</f>
        <v>296.19999999999965</v>
      </c>
      <c r="EK111" s="17">
        <f>EJ111*VLOOKUP('Données projet'!$B$15,Paramètres!$A$1:$I$89,3,0)*VLOOKUP('Données projet'!$B$15,Paramètres!$A$1:$I$89,5,0)</f>
        <v>268.00175999999971</v>
      </c>
      <c r="EL111" s="13">
        <f t="shared" si="99"/>
        <v>64.425009159185521</v>
      </c>
      <c r="EM111" s="20">
        <f t="shared" si="73"/>
        <v>578.97662295224757</v>
      </c>
      <c r="EN111" s="59">
        <f t="shared" si="74"/>
        <v>872.30995628558094</v>
      </c>
      <c r="EO111" s="59">
        <f ca="1">AVERAGE(OFFSET($EN$3,0,0,'Données projet'!$E$15+1,1))-AVERAGE(OFFSET($H$3,0,0,'Données projet'!$E$15+1,1))</f>
        <v>428.8489304403459</v>
      </c>
      <c r="EP111" s="59">
        <f t="shared" si="100"/>
        <v>247.01165577562966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245.25496369542458</v>
      </c>
      <c r="FK111" s="59">
        <f t="shared" si="102"/>
        <v>342.30266518164211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0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 t="e">
        <f>N112*VLOOKUP('Données projet'!$B$9,Paramètres!$A$1:$I$89,3,0)*VLOOKUP('Données projet'!$B$9,Paramètres!$A$1:$I$89,5,0)</f>
        <v>#N/A</v>
      </c>
      <c r="P112" s="13" t="e">
        <f t="shared" si="87"/>
        <v>#N/A</v>
      </c>
      <c r="Q112" s="20" t="e">
        <f t="shared" si="107"/>
        <v>#N/A</v>
      </c>
      <c r="R112" s="59" t="e">
        <f t="shared" si="55"/>
        <v>#N/A</v>
      </c>
      <c r="S112" s="59" t="e">
        <f ca="1">AVERAGE(OFFSET($R$3,0,0,'Données projet'!$E$9+1,1))-AVERAGE(OFFSET($H$3,0,0,'Données projet'!$E$9+1,1))</f>
        <v>#N/A</v>
      </c>
      <c r="T112" s="59" t="e">
        <f t="shared" si="88"/>
        <v>#N/A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 t="e">
        <f>EXP(-LN(2)/35)*Z111+(1-EXP(-LN(2)/35))/(LN(2)/35)*V112*W112*VLOOKUP('Données projet'!$B$9,Paramètres!$A$1:$I$89,3,0)*0.475*44/12</f>
        <v>#N/A</v>
      </c>
      <c r="AA112" s="21" t="e">
        <f>EXP(-LN(2)/25)*AA111+(1-EXP(-LN(2)/25))/(LN(2)/25)*Calculateur!V112*Calculateur!X112*VLOOKUP('Données projet'!$B$9,Paramètres!$A$1:$I$89,3,0)*0.475*44/12</f>
        <v>#N/A</v>
      </c>
      <c r="AB112" s="21" t="e">
        <f>EXP(-LN(2)/2)*AB111+(1-EXP(-LN(2)/2))/(LN(2)/2)*V112*Y112*VLOOKUP('Données projet'!$B$9,Paramètres!$A$1:$I$89,3,0)*0.475*44/12</f>
        <v>#N/A</v>
      </c>
      <c r="AC112" s="22" t="e">
        <f t="shared" si="57"/>
        <v>#N/A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-1.4897523215040567E-13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338.55719679154777</v>
      </c>
      <c r="AO112" s="59">
        <f t="shared" si="90"/>
        <v>371.26234252426531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1.9230769227948741</v>
      </c>
      <c r="BD112" s="12">
        <f>IF('Données projet'!$A$88&gt;35,BD111+BC112-BL111,IF(A112&lt;'Données projet'!$A$88,$BA$205^A112,IF(A112='Données projet'!$A$88,'Données projet'!$B$88,BD111+BC112-BL111)))</f>
        <v>243.58974358720505</v>
      </c>
      <c r="BE112" s="13">
        <f>BD112*VLOOKUP('Données projet'!$B$11,Paramètres!$A$1:$I$89,3,0)*VLOOKUP('Données projet'!$B$11,Paramètres!$A$1:$I$89,5,0)</f>
        <v>231.79999999758431</v>
      </c>
      <c r="BF112" s="13">
        <f t="shared" si="91"/>
        <v>56.671706855691433</v>
      </c>
      <c r="BG112" s="20">
        <f t="shared" si="61"/>
        <v>502.4215561027886</v>
      </c>
      <c r="BH112" s="59">
        <f t="shared" si="62"/>
        <v>795.75488943612186</v>
      </c>
      <c r="BI112" s="59">
        <f ca="1">AVERAGE(OFFSET($BH$3,0,0,'Données projet'!$E$11+1,1))-AVERAGE(OFFSET($H$3,0,0,'Données projet'!$E$11+1,1))</f>
        <v>351.6178679548006</v>
      </c>
      <c r="BJ112" s="59">
        <f t="shared" si="92"/>
        <v>244.7141066773861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256.15384615384613</v>
      </c>
      <c r="BW112" s="12">
        <f>VLOOKUP(A112,'Données projet'!$A$113:$I$133,9,0)</f>
        <v>5.6784615384615362</v>
      </c>
      <c r="BX112" s="12">
        <f t="array" ref="BX112">INDEX(BW:BW,MIN(IF(ISNUMBER(BW112:BW308),ROW(BW112:BW308),"")))</f>
        <v>5.6784615384615362</v>
      </c>
      <c r="BY112" s="12">
        <f>IF('Données projet'!$A$114&gt;35,BY111+BX112-CG111,IF(A112&lt;'Données projet'!$A$114,$BV$205^A112,IF(A112='Données projet'!$A$114,'Données projet'!$B$114,BY111+BX112-CG111)))</f>
        <v>256.15384615384625</v>
      </c>
      <c r="BZ112" s="13">
        <f>BY112*VLOOKUP('Données projet'!$B$12,Paramètres!$A$1:$I$89,3,0)*VLOOKUP('Données projet'!$B$12,Paramètres!$A$1:$I$89,5,0)</f>
        <v>119.88000000000005</v>
      </c>
      <c r="CA112" s="13">
        <f t="shared" si="93"/>
        <v>31.64700963523698</v>
      </c>
      <c r="CB112" s="20">
        <f t="shared" si="64"/>
        <v>263.90954178137116</v>
      </c>
      <c r="CC112" s="59">
        <f t="shared" si="65"/>
        <v>557.24287511470447</v>
      </c>
      <c r="CD112" s="59">
        <f ca="1">AVERAGE(OFFSET($CC$3,0,0,'Données projet'!$E$12+1,1))-AVERAGE(OFFSET($H$3,0,0,'Données projet'!$E$12+1,1))</f>
        <v>246.66630850723385</v>
      </c>
      <c r="CE112" s="59">
        <f t="shared" si="94"/>
        <v>145.34368562171613</v>
      </c>
      <c r="CF112" s="15">
        <f>IF(ISNA(VLOOKUP(A112,'Données projet'!$A$113:$I$133,3,0)),0,VLOOKUP(A112,'Données projet'!$A$113:$I$133,3,0))</f>
        <v>6</v>
      </c>
      <c r="CG112" s="15">
        <f>IF(ISNA(VLOOKUP(A112,'Données projet'!$A$113:$I$133,4,0)),0,VLOOKUP(A112,'Données projet'!$A$113:$I$133,4,0))</f>
        <v>256.09230769230771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1.1368683772161603E-13</v>
      </c>
      <c r="CU112" s="17">
        <f>CT112*VLOOKUP('Données projet'!$B$13,Paramètres!$A$1:$I$89,3,0)*VLOOKUP('Données projet'!$B$13,Paramètres!$A$1:$I$89,5,0)</f>
        <v>8.8675733422860506E-14</v>
      </c>
      <c r="CV112" s="13">
        <f t="shared" si="95"/>
        <v>1.3509285393066301E-12</v>
      </c>
      <c r="CW112" s="20">
        <f t="shared" si="67"/>
        <v>2.5073107750038623E-12</v>
      </c>
      <c r="CX112" s="59">
        <f t="shared" si="68"/>
        <v>293.33333333333582</v>
      </c>
      <c r="CY112" s="59">
        <f ca="1">AVERAGE(OFFSET($CX$3,0,0,'Données projet'!$E$13+1,1))-AVERAGE(OFFSET($H$3,0,0,'Données projet'!$E$13+1,1))</f>
        <v>292.57482726862594</v>
      </c>
      <c r="CZ112" s="59">
        <f t="shared" si="96"/>
        <v>283.48738729114024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4.4000000000000004</v>
      </c>
      <c r="DO112" s="12">
        <f>IF('Données projet'!$A$166&gt;35,DO111+DN112-DW111,IF(A112&lt;'Données projet'!$A$166,$DL$205^A112,IF(A112='Données projet'!$A$166,'Données projet'!$B$166,DO111+DN112-DW111)))</f>
        <v>300.59999999999962</v>
      </c>
      <c r="DP112" s="17">
        <f>DO112*VLOOKUP('Données projet'!$B$14,Paramètres!$A$1:$I$89,3,0)*VLOOKUP('Données projet'!$B$14,Paramètres!$A$1:$I$89,5,0)</f>
        <v>304.80839999999961</v>
      </c>
      <c r="DQ112" s="13">
        <f t="shared" si="97"/>
        <v>72.183554053972728</v>
      </c>
      <c r="DR112" s="20">
        <f t="shared" si="70"/>
        <v>656.59431997733509</v>
      </c>
      <c r="DS112" s="59">
        <f t="shared" si="71"/>
        <v>949.92765331066835</v>
      </c>
      <c r="DT112" s="59">
        <f ca="1">AVERAGE(OFFSET($DS$3,0,0,'Données projet'!$E$14+1,1))-AVERAGE(OFFSET($H$3,0,0,'Données projet'!$E$14+1,1))</f>
        <v>475.47920969424894</v>
      </c>
      <c r="DU112" s="59">
        <f t="shared" si="98"/>
        <v>271.73544012419364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4.4000000000000004</v>
      </c>
      <c r="EJ112" s="12">
        <f>IF('Données projet'!$A$192&gt;35,EJ111+EI112-ER111,IF(A112&lt;'Données projet'!$A$192,$EG$205^A112,IF(A112='Données projet'!$A$192,'Données projet'!$B$192,EJ111+EI112-ER111)))</f>
        <v>300.59999999999962</v>
      </c>
      <c r="EK112" s="17">
        <f>EJ112*VLOOKUP('Données projet'!$B$15,Paramètres!$A$1:$I$89,3,0)*VLOOKUP('Données projet'!$B$15,Paramètres!$A$1:$I$89,5,0)</f>
        <v>271.98287999999962</v>
      </c>
      <c r="EL112" s="13">
        <f t="shared" si="99"/>
        <v>65.269907092018684</v>
      </c>
      <c r="EM112" s="20">
        <f t="shared" si="73"/>
        <v>587.38193751859842</v>
      </c>
      <c r="EN112" s="59">
        <f t="shared" si="74"/>
        <v>880.71527085193179</v>
      </c>
      <c r="EO112" s="59">
        <f ca="1">AVERAGE(OFFSET($EN$3,0,0,'Données projet'!$E$15+1,1))-AVERAGE(OFFSET($H$3,0,0,'Données projet'!$E$15+1,1))</f>
        <v>428.8489304403459</v>
      </c>
      <c r="EP112" s="59">
        <f t="shared" si="100"/>
        <v>247.01165577562966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245.25496369542458</v>
      </c>
      <c r="FK112" s="59">
        <f t="shared" si="102"/>
        <v>342.30266518164211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0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 t="e">
        <f>N113*VLOOKUP('Données projet'!$B$9,Paramètres!$A$1:$I$89,3,0)*VLOOKUP('Données projet'!$B$9,Paramètres!$A$1:$I$89,5,0)</f>
        <v>#N/A</v>
      </c>
      <c r="P113" s="13" t="e">
        <f t="shared" si="87"/>
        <v>#N/A</v>
      </c>
      <c r="Q113" s="20" t="e">
        <f t="shared" si="107"/>
        <v>#N/A</v>
      </c>
      <c r="R113" s="59" t="e">
        <f t="shared" si="55"/>
        <v>#N/A</v>
      </c>
      <c r="S113" s="59" t="e">
        <f ca="1">AVERAGE(OFFSET($R$3,0,0,'Données projet'!$E$9+1,1))-AVERAGE(OFFSET($H$3,0,0,'Données projet'!$E$9+1,1))</f>
        <v>#N/A</v>
      </c>
      <c r="T113" s="59" t="e">
        <f t="shared" si="88"/>
        <v>#N/A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 t="e">
        <f>EXP(-LN(2)/35)*Z112+(1-EXP(-LN(2)/35))/(LN(2)/35)*V113*W113*VLOOKUP('Données projet'!$B$9,Paramètres!$A$1:$I$89,3,0)*0.475*44/12</f>
        <v>#N/A</v>
      </c>
      <c r="AA113" s="21" t="e">
        <f>EXP(-LN(2)/25)*AA112+(1-EXP(-LN(2)/25))/(LN(2)/25)*Calculateur!V113*Calculateur!X113*VLOOKUP('Données projet'!$B$9,Paramètres!$A$1:$I$89,3,0)*0.475*44/12</f>
        <v>#N/A</v>
      </c>
      <c r="AB113" s="21" t="e">
        <f>EXP(-LN(2)/2)*AB112+(1-EXP(-LN(2)/2))/(LN(2)/2)*V113*Y113*VLOOKUP('Données projet'!$B$9,Paramètres!$A$1:$I$89,3,0)*0.475*44/12</f>
        <v>#N/A</v>
      </c>
      <c r="AC113" s="22" t="e">
        <f t="shared" si="57"/>
        <v>#N/A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-1.4897523215040567E-13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338.55719679154777</v>
      </c>
      <c r="AO113" s="59">
        <f t="shared" si="90"/>
        <v>371.26234252426531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245.51282051000001</v>
      </c>
      <c r="BB113" s="12">
        <f>VLOOKUP(A113,'Données projet'!$A$87:$I$107,9,0)</f>
        <v>1.9230769227948741</v>
      </c>
      <c r="BC113" s="12">
        <f t="array" ref="BC113">INDEX(BB:BB,MIN(IF(ISNUMBER(BB113:BB309),ROW(BB113:BB309),"")))</f>
        <v>1.9230769227948741</v>
      </c>
      <c r="BD113" s="12">
        <f>IF('Données projet'!$A$88&gt;35,BD112+BC113-BL112,IF(A113&lt;'Données projet'!$A$88,$BA$205^A113,IF(A113='Données projet'!$A$88,'Données projet'!$B$88,BD112+BC113-BL112)))</f>
        <v>245.51282050999993</v>
      </c>
      <c r="BE113" s="13">
        <f>BD113*VLOOKUP('Données projet'!$B$11,Paramètres!$A$1:$I$89,3,0)*VLOOKUP('Données projet'!$B$11,Paramètres!$A$1:$I$89,5,0)</f>
        <v>233.62999999731593</v>
      </c>
      <c r="BF113" s="13">
        <f t="shared" si="91"/>
        <v>57.066855639525244</v>
      </c>
      <c r="BG113" s="20">
        <f t="shared" si="61"/>
        <v>506.29702356749834</v>
      </c>
      <c r="BH113" s="59">
        <f t="shared" si="62"/>
        <v>799.63035690083166</v>
      </c>
      <c r="BI113" s="59">
        <f ca="1">AVERAGE(OFFSET($BH$3,0,0,'Données projet'!$E$11+1,1))-AVERAGE(OFFSET($H$3,0,0,'Données projet'!$E$11+1,1))</f>
        <v>351.6178679548006</v>
      </c>
      <c r="BJ113" s="59">
        <f t="shared" si="92"/>
        <v>244.7141066773861</v>
      </c>
      <c r="BK113" s="15">
        <f>IF(ISNA(VLOOKUP(A113,'Données projet'!$A$87:$I$107,3,0)),0,VLOOKUP(A113,'Données projet'!$A$87:$I$107,3,0))</f>
        <v>9</v>
      </c>
      <c r="BL113" s="15">
        <f>IF(ISNA(VLOOKUP(A113,'Données projet'!$A$87:$I$107,4,0)),0,VLOOKUP(A113,'Données projet'!$A$87:$I$107,4,0))</f>
        <v>21.794871789999998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6.1538461538532374E-2</v>
      </c>
      <c r="BZ113" s="13">
        <f>BY113*VLOOKUP('Données projet'!$B$12,Paramètres!$A$1:$I$89,3,0)*VLOOKUP('Données projet'!$B$12,Paramètres!$A$1:$I$89,5,0)</f>
        <v>2.880000000003315E-2</v>
      </c>
      <c r="CA113" s="13">
        <f t="shared" si="93"/>
        <v>2.0057244427106876E-2</v>
      </c>
      <c r="CB113" s="20">
        <f t="shared" si="64"/>
        <v>8.5093034043935534E-2</v>
      </c>
      <c r="CC113" s="59">
        <f t="shared" si="65"/>
        <v>293.41842636737726</v>
      </c>
      <c r="CD113" s="59">
        <f ca="1">AVERAGE(OFFSET($CC$3,0,0,'Données projet'!$E$12+1,1))-AVERAGE(OFFSET($H$3,0,0,'Données projet'!$E$12+1,1))</f>
        <v>246.66630850723385</v>
      </c>
      <c r="CE113" s="59">
        <f t="shared" si="94"/>
        <v>145.34368562171613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1.1368683772161603E-13</v>
      </c>
      <c r="CU113" s="17">
        <f>CT113*VLOOKUP('Données projet'!$B$13,Paramètres!$A$1:$I$89,3,0)*VLOOKUP('Données projet'!$B$13,Paramètres!$A$1:$I$89,5,0)</f>
        <v>8.8675733422860506E-14</v>
      </c>
      <c r="CV113" s="13">
        <f t="shared" si="95"/>
        <v>1.3509285393066301E-12</v>
      </c>
      <c r="CW113" s="20">
        <f t="shared" si="67"/>
        <v>2.5073107750038623E-12</v>
      </c>
      <c r="CX113" s="59">
        <f t="shared" si="68"/>
        <v>293.33333333333582</v>
      </c>
      <c r="CY113" s="59">
        <f ca="1">AVERAGE(OFFSET($CX$3,0,0,'Données projet'!$E$13+1,1))-AVERAGE(OFFSET($H$3,0,0,'Données projet'!$E$13+1,1))</f>
        <v>292.57482726862594</v>
      </c>
      <c r="CZ113" s="59">
        <f t="shared" si="96"/>
        <v>283.48738729114024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305</v>
      </c>
      <c r="DM113" s="12">
        <f>VLOOKUP(A113,'Données projet'!$A$165:$I$185,9,0)</f>
        <v>4.4000000000000004</v>
      </c>
      <c r="DN113" s="12">
        <f t="array" ref="DN113">INDEX(DM:DM,MIN(IF(ISNUMBER(DM113:DM309),ROW(DM113:DM309),"")))</f>
        <v>4.4000000000000004</v>
      </c>
      <c r="DO113" s="12">
        <f>IF('Données projet'!$A$166&gt;35,DO112+DN113-DW112,IF(A113&lt;'Données projet'!$A$166,$DL$205^A113,IF(A113='Données projet'!$A$166,'Données projet'!$B$166,DO112+DN113-DW112)))</f>
        <v>304.9999999999996</v>
      </c>
      <c r="DP113" s="17">
        <f>DO113*VLOOKUP('Données projet'!$B$14,Paramètres!$A$1:$I$89,3,0)*VLOOKUP('Données projet'!$B$14,Paramètres!$A$1:$I$89,5,0)</f>
        <v>309.26999999999958</v>
      </c>
      <c r="DQ113" s="13">
        <f t="shared" si="97"/>
        <v>73.116356204710968</v>
      </c>
      <c r="DR113" s="20">
        <f t="shared" si="70"/>
        <v>665.98957038987078</v>
      </c>
      <c r="DS113" s="59">
        <f t="shared" si="71"/>
        <v>959.32290372320404</v>
      </c>
      <c r="DT113" s="59">
        <f ca="1">AVERAGE(OFFSET($DS$3,0,0,'Données projet'!$E$14+1,1))-AVERAGE(OFFSET($H$3,0,0,'Données projet'!$E$14+1,1))</f>
        <v>475.47920969424894</v>
      </c>
      <c r="DU113" s="59">
        <f t="shared" si="98"/>
        <v>271.73544012419364</v>
      </c>
      <c r="DV113" s="15">
        <f>IF(ISNA(VLOOKUP(A113,'Données projet'!$A$165:$I$185,3,0)),0,VLOOKUP(A113,'Données projet'!$A$165:$I$185,3,0))</f>
        <v>9</v>
      </c>
      <c r="DW113" s="15">
        <f>IF(ISNA(VLOOKUP(A113,'Données projet'!$A$165:$I$185,4,0)),0,VLOOKUP(A113,'Données projet'!$A$165:$I$185,4,0))</f>
        <v>39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305</v>
      </c>
      <c r="EH113" s="12">
        <f>VLOOKUP(A113,'Données projet'!$A$191:$I$211,9,0)</f>
        <v>4.4000000000000004</v>
      </c>
      <c r="EI113" s="12">
        <f t="array" ref="EI113">INDEX(EH:EH,MIN(IF(ISNUMBER(EH113:EH309),ROW(EH113:EH309),"")))</f>
        <v>4.4000000000000004</v>
      </c>
      <c r="EJ113" s="12">
        <f>IF('Données projet'!$A$192&gt;35,EJ112+EI113-ER112,IF(A113&lt;'Données projet'!$A$192,$EG$205^A113,IF(A113='Données projet'!$A$192,'Données projet'!$B$192,EJ112+EI113-ER112)))</f>
        <v>304.9999999999996</v>
      </c>
      <c r="EK113" s="17">
        <f>EJ113*VLOOKUP('Données projet'!$B$15,Paramètres!$A$1:$I$89,3,0)*VLOOKUP('Données projet'!$B$15,Paramètres!$A$1:$I$89,5,0)</f>
        <v>275.9639999999996</v>
      </c>
      <c r="EL113" s="13">
        <f t="shared" si="99"/>
        <v>66.113366665488797</v>
      </c>
      <c r="EM113" s="20">
        <f t="shared" si="73"/>
        <v>595.7847469423923</v>
      </c>
      <c r="EN113" s="59">
        <f t="shared" si="74"/>
        <v>889.11808027572556</v>
      </c>
      <c r="EO113" s="59">
        <f ca="1">AVERAGE(OFFSET($EN$3,0,0,'Données projet'!$E$15+1,1))-AVERAGE(OFFSET($H$3,0,0,'Données projet'!$E$15+1,1))</f>
        <v>428.8489304403459</v>
      </c>
      <c r="EP113" s="59">
        <f t="shared" si="100"/>
        <v>247.01165577562966</v>
      </c>
      <c r="EQ113" s="15">
        <f>IF(ISNA(VLOOKUP(A113,'Données projet'!$A$191:$I$211,3,0)),0,VLOOKUP(A113,'Données projet'!$A$191:$I$211,3,0))</f>
        <v>9</v>
      </c>
      <c r="ER113" s="15">
        <f>IF(ISNA(VLOOKUP(A113,'Données projet'!$A$191:$I$211,4,0)),0,VLOOKUP(A113,'Données projet'!$A$191:$I$211,4,0))</f>
        <v>39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245.25496369542458</v>
      </c>
      <c r="FK113" s="59">
        <f t="shared" si="102"/>
        <v>342.30266518164211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0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 t="e">
        <f>N114*VLOOKUP('Données projet'!$B$9,Paramètres!$A$1:$I$89,3,0)*VLOOKUP('Données projet'!$B$9,Paramètres!$A$1:$I$89,5,0)</f>
        <v>#N/A</v>
      </c>
      <c r="P114" s="13" t="e">
        <f t="shared" si="87"/>
        <v>#N/A</v>
      </c>
      <c r="Q114" s="20" t="e">
        <f t="shared" si="107"/>
        <v>#N/A</v>
      </c>
      <c r="R114" s="59" t="e">
        <f t="shared" si="55"/>
        <v>#N/A</v>
      </c>
      <c r="S114" s="59" t="e">
        <f ca="1">AVERAGE(OFFSET($R$3,0,0,'Données projet'!$E$9+1,1))-AVERAGE(OFFSET($H$3,0,0,'Données projet'!$E$9+1,1))</f>
        <v>#N/A</v>
      </c>
      <c r="T114" s="59" t="e">
        <f t="shared" si="88"/>
        <v>#N/A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 t="e">
        <f>EXP(-LN(2)/35)*Z113+(1-EXP(-LN(2)/35))/(LN(2)/35)*V114*W114*VLOOKUP('Données projet'!$B$9,Paramètres!$A$1:$I$89,3,0)*0.475*44/12</f>
        <v>#N/A</v>
      </c>
      <c r="AA114" s="21" t="e">
        <f>EXP(-LN(2)/25)*AA113+(1-EXP(-LN(2)/25))/(LN(2)/25)*Calculateur!V114*Calculateur!X114*VLOOKUP('Données projet'!$B$9,Paramètres!$A$1:$I$89,3,0)*0.475*44/12</f>
        <v>#N/A</v>
      </c>
      <c r="AB114" s="21" t="e">
        <f>EXP(-LN(2)/2)*AB113+(1-EXP(-LN(2)/2))/(LN(2)/2)*V114*Y114*VLOOKUP('Données projet'!$B$9,Paramètres!$A$1:$I$89,3,0)*0.475*44/12</f>
        <v>#N/A</v>
      </c>
      <c r="AC114" s="22" t="e">
        <f t="shared" si="57"/>
        <v>#N/A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-1.4897523215040567E-13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338.55719679154777</v>
      </c>
      <c r="AO114" s="59">
        <f t="shared" si="90"/>
        <v>371.26234252426531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1.73076923056</v>
      </c>
      <c r="BD114" s="12">
        <f>IF('Données projet'!$A$88&gt;35,BD113+BC114-BL113,IF(A114&lt;'Données projet'!$A$88,$BA$205^A114,IF(A114='Données projet'!$A$88,'Données projet'!$B$88,BD113+BC114-BL113)))</f>
        <v>225.44871795055991</v>
      </c>
      <c r="BE114" s="13">
        <f>BD114*VLOOKUP('Données projet'!$B$11,Paramètres!$A$1:$I$89,3,0)*VLOOKUP('Données projet'!$B$11,Paramètres!$A$1:$I$89,5,0)</f>
        <v>214.5370000017528</v>
      </c>
      <c r="BF114" s="13">
        <f t="shared" si="91"/>
        <v>52.925797613028351</v>
      </c>
      <c r="BG114" s="20">
        <f t="shared" si="61"/>
        <v>465.83103917907715</v>
      </c>
      <c r="BH114" s="59">
        <f t="shared" si="62"/>
        <v>759.16437251241041</v>
      </c>
      <c r="BI114" s="59">
        <f ca="1">AVERAGE(OFFSET($BH$3,0,0,'Données projet'!$E$11+1,1))-AVERAGE(OFFSET($H$3,0,0,'Données projet'!$E$11+1,1))</f>
        <v>351.6178679548006</v>
      </c>
      <c r="BJ114" s="59">
        <f t="shared" si="92"/>
        <v>244.7141066773861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6.1538461538532374E-2</v>
      </c>
      <c r="BZ114" s="13">
        <f>BY114*VLOOKUP('Données projet'!$B$12,Paramètres!$A$1:$I$89,3,0)*VLOOKUP('Données projet'!$B$12,Paramètres!$A$1:$I$89,5,0)</f>
        <v>2.880000000003315E-2</v>
      </c>
      <c r="CA114" s="13">
        <f t="shared" si="93"/>
        <v>2.0057244427106876E-2</v>
      </c>
      <c r="CB114" s="20">
        <f t="shared" si="64"/>
        <v>8.5093034043935534E-2</v>
      </c>
      <c r="CC114" s="59">
        <f t="shared" si="65"/>
        <v>293.41842636737726</v>
      </c>
      <c r="CD114" s="59">
        <f ca="1">AVERAGE(OFFSET($CC$3,0,0,'Données projet'!$E$12+1,1))-AVERAGE(OFFSET($H$3,0,0,'Données projet'!$E$12+1,1))</f>
        <v>246.66630850723385</v>
      </c>
      <c r="CE114" s="59">
        <f t="shared" si="94"/>
        <v>145.34368562171613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1.1368683772161603E-13</v>
      </c>
      <c r="CU114" s="17">
        <f>CT114*VLOOKUP('Données projet'!$B$13,Paramètres!$A$1:$I$89,3,0)*VLOOKUP('Données projet'!$B$13,Paramètres!$A$1:$I$89,5,0)</f>
        <v>8.8675733422860506E-14</v>
      </c>
      <c r="CV114" s="13">
        <f t="shared" si="95"/>
        <v>1.3509285393066301E-12</v>
      </c>
      <c r="CW114" s="20">
        <f t="shared" si="67"/>
        <v>2.5073107750038623E-12</v>
      </c>
      <c r="CX114" s="59">
        <f t="shared" si="68"/>
        <v>293.33333333333582</v>
      </c>
      <c r="CY114" s="59">
        <f ca="1">AVERAGE(OFFSET($CX$3,0,0,'Données projet'!$E$13+1,1))-AVERAGE(OFFSET($H$3,0,0,'Données projet'!$E$13+1,1))</f>
        <v>292.57482726862594</v>
      </c>
      <c r="CZ114" s="59">
        <f t="shared" si="96"/>
        <v>283.48738729114024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3.7</v>
      </c>
      <c r="DO114" s="12">
        <f>IF('Données projet'!$A$166&gt;35,DO113+DN114-DW113,IF(A114&lt;'Données projet'!$A$166,$DL$205^A114,IF(A114='Données projet'!$A$166,'Données projet'!$B$166,DO113+DN114-DW113)))</f>
        <v>269.69999999999959</v>
      </c>
      <c r="DP114" s="17">
        <f>DO114*VLOOKUP('Données projet'!$B$14,Paramètres!$A$1:$I$89,3,0)*VLOOKUP('Données projet'!$B$14,Paramètres!$A$1:$I$89,5,0)</f>
        <v>273.47579999999959</v>
      </c>
      <c r="DQ114" s="13">
        <f t="shared" si="97"/>
        <v>65.586371730977532</v>
      </c>
      <c r="DR114" s="20">
        <f t="shared" si="70"/>
        <v>590.53328243145177</v>
      </c>
      <c r="DS114" s="59">
        <f t="shared" si="71"/>
        <v>883.86661576478514</v>
      </c>
      <c r="DT114" s="59">
        <f ca="1">AVERAGE(OFFSET($DS$3,0,0,'Données projet'!$E$14+1,1))-AVERAGE(OFFSET($H$3,0,0,'Données projet'!$E$14+1,1))</f>
        <v>475.47920969424894</v>
      </c>
      <c r="DU114" s="59">
        <f t="shared" si="98"/>
        <v>271.73544012419364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3.7</v>
      </c>
      <c r="EJ114" s="12">
        <f>IF('Données projet'!$A$192&gt;35,EJ113+EI114-ER113,IF(A114&lt;'Données projet'!$A$192,$EG$205^A114,IF(A114='Données projet'!$A$192,'Données projet'!$B$192,EJ113+EI114-ER113)))</f>
        <v>269.69999999999959</v>
      </c>
      <c r="EK114" s="17">
        <f>EJ114*VLOOKUP('Données projet'!$B$15,Paramètres!$A$1:$I$89,3,0)*VLOOKUP('Données projet'!$B$15,Paramètres!$A$1:$I$89,5,0)</f>
        <v>244.02455999999964</v>
      </c>
      <c r="EL114" s="13">
        <f t="shared" si="99"/>
        <v>59.304594314969229</v>
      </c>
      <c r="EM114" s="20">
        <f t="shared" si="73"/>
        <v>528.29827709857079</v>
      </c>
      <c r="EN114" s="59">
        <f t="shared" si="74"/>
        <v>821.63161043190416</v>
      </c>
      <c r="EO114" s="59">
        <f ca="1">AVERAGE(OFFSET($EN$3,0,0,'Données projet'!$E$15+1,1))-AVERAGE(OFFSET($H$3,0,0,'Données projet'!$E$15+1,1))</f>
        <v>428.8489304403459</v>
      </c>
      <c r="EP114" s="59">
        <f t="shared" si="100"/>
        <v>247.01165577562966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245.25496369542458</v>
      </c>
      <c r="FK114" s="59">
        <f t="shared" si="102"/>
        <v>342.30266518164211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0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 t="e">
        <f>N115*VLOOKUP('Données projet'!$B$9,Paramètres!$A$1:$I$89,3,0)*VLOOKUP('Données projet'!$B$9,Paramètres!$A$1:$I$89,5,0)</f>
        <v>#N/A</v>
      </c>
      <c r="P115" s="13" t="e">
        <f t="shared" si="87"/>
        <v>#N/A</v>
      </c>
      <c r="Q115" s="20" t="e">
        <f t="shared" si="107"/>
        <v>#N/A</v>
      </c>
      <c r="R115" s="59" t="e">
        <f t="shared" si="55"/>
        <v>#N/A</v>
      </c>
      <c r="S115" s="59" t="e">
        <f ca="1">AVERAGE(OFFSET($R$3,0,0,'Données projet'!$E$9+1,1))-AVERAGE(OFFSET($H$3,0,0,'Données projet'!$E$9+1,1))</f>
        <v>#N/A</v>
      </c>
      <c r="T115" s="59" t="e">
        <f t="shared" si="88"/>
        <v>#N/A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 t="e">
        <f>EXP(-LN(2)/35)*Z114+(1-EXP(-LN(2)/35))/(LN(2)/35)*V115*W115*VLOOKUP('Données projet'!$B$9,Paramètres!$A$1:$I$89,3,0)*0.475*44/12</f>
        <v>#N/A</v>
      </c>
      <c r="AA115" s="21" t="e">
        <f>EXP(-LN(2)/25)*AA114+(1-EXP(-LN(2)/25))/(LN(2)/25)*Calculateur!V115*Calculateur!X115*VLOOKUP('Données projet'!$B$9,Paramètres!$A$1:$I$89,3,0)*0.475*44/12</f>
        <v>#N/A</v>
      </c>
      <c r="AB115" s="21" t="e">
        <f>EXP(-LN(2)/2)*AB114+(1-EXP(-LN(2)/2))/(LN(2)/2)*V115*Y115*VLOOKUP('Données projet'!$B$9,Paramètres!$A$1:$I$89,3,0)*0.475*44/12</f>
        <v>#N/A</v>
      </c>
      <c r="AC115" s="22" t="e">
        <f t="shared" si="57"/>
        <v>#N/A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-1.4897523215040567E-13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338.55719679154777</v>
      </c>
      <c r="AO115" s="59">
        <f t="shared" si="90"/>
        <v>371.26234252426531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1.73076923056</v>
      </c>
      <c r="BD115" s="12">
        <f>IF('Données projet'!$A$88&gt;35,BD114+BC115-BL114,IF(A115&lt;'Données projet'!$A$88,$BA$205^A115,IF(A115='Données projet'!$A$88,'Données projet'!$B$88,BD114+BC115-BL114)))</f>
        <v>227.1794871811199</v>
      </c>
      <c r="BE115" s="13">
        <f>BD115*VLOOKUP('Données projet'!$B$11,Paramètres!$A$1:$I$89,3,0)*VLOOKUP('Données projet'!$B$11,Paramètres!$A$1:$I$89,5,0)</f>
        <v>216.1840000015537</v>
      </c>
      <c r="BF115" s="13">
        <f t="shared" si="91"/>
        <v>53.284654248000081</v>
      </c>
      <c r="BG115" s="20">
        <f t="shared" si="61"/>
        <v>469.32457281797286</v>
      </c>
      <c r="BH115" s="59">
        <f t="shared" si="62"/>
        <v>762.65790615130618</v>
      </c>
      <c r="BI115" s="59">
        <f ca="1">AVERAGE(OFFSET($BH$3,0,0,'Données projet'!$E$11+1,1))-AVERAGE(OFFSET($H$3,0,0,'Données projet'!$E$11+1,1))</f>
        <v>351.6178679548006</v>
      </c>
      <c r="BJ115" s="59">
        <f t="shared" si="92"/>
        <v>244.7141066773861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6.1538461538532374E-2</v>
      </c>
      <c r="BZ115" s="13">
        <f>BY115*VLOOKUP('Données projet'!$B$12,Paramètres!$A$1:$I$89,3,0)*VLOOKUP('Données projet'!$B$12,Paramètres!$A$1:$I$89,5,0)</f>
        <v>2.880000000003315E-2</v>
      </c>
      <c r="CA115" s="13">
        <f t="shared" si="93"/>
        <v>2.0057244427106876E-2</v>
      </c>
      <c r="CB115" s="20">
        <f t="shared" si="64"/>
        <v>8.5093034043935534E-2</v>
      </c>
      <c r="CC115" s="59">
        <f t="shared" si="65"/>
        <v>293.41842636737726</v>
      </c>
      <c r="CD115" s="59">
        <f ca="1">AVERAGE(OFFSET($CC$3,0,0,'Données projet'!$E$12+1,1))-AVERAGE(OFFSET($H$3,0,0,'Données projet'!$E$12+1,1))</f>
        <v>246.66630850723385</v>
      </c>
      <c r="CE115" s="59">
        <f t="shared" si="94"/>
        <v>145.34368562171613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1.1368683772161603E-13</v>
      </c>
      <c r="CU115" s="17">
        <f>CT115*VLOOKUP('Données projet'!$B$13,Paramètres!$A$1:$I$89,3,0)*VLOOKUP('Données projet'!$B$13,Paramètres!$A$1:$I$89,5,0)</f>
        <v>8.8675733422860506E-14</v>
      </c>
      <c r="CV115" s="13">
        <f t="shared" si="95"/>
        <v>1.3509285393066301E-12</v>
      </c>
      <c r="CW115" s="20">
        <f t="shared" si="67"/>
        <v>2.5073107750038623E-12</v>
      </c>
      <c r="CX115" s="59">
        <f t="shared" si="68"/>
        <v>293.33333333333582</v>
      </c>
      <c r="CY115" s="59">
        <f ca="1">AVERAGE(OFFSET($CX$3,0,0,'Données projet'!$E$13+1,1))-AVERAGE(OFFSET($H$3,0,0,'Données projet'!$E$13+1,1))</f>
        <v>292.57482726862594</v>
      </c>
      <c r="CZ115" s="59">
        <f t="shared" si="96"/>
        <v>283.48738729114024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3.7</v>
      </c>
      <c r="DO115" s="12">
        <f>IF('Données projet'!$A$166&gt;35,DO114+DN115-DW114,IF(A115&lt;'Données projet'!$A$166,$DL$205^A115,IF(A115='Données projet'!$A$166,'Données projet'!$B$166,DO114+DN115-DW114)))</f>
        <v>273.39999999999958</v>
      </c>
      <c r="DP115" s="17">
        <f>DO115*VLOOKUP('Données projet'!$B$14,Paramètres!$A$1:$I$89,3,0)*VLOOKUP('Données projet'!$B$14,Paramètres!$A$1:$I$89,5,0)</f>
        <v>277.2275999999996</v>
      </c>
      <c r="DQ115" s="13">
        <f t="shared" si="97"/>
        <v>66.380782187895392</v>
      </c>
      <c r="DR115" s="20">
        <f t="shared" si="70"/>
        <v>598.45126564391705</v>
      </c>
      <c r="DS115" s="59">
        <f t="shared" si="71"/>
        <v>891.78459897725043</v>
      </c>
      <c r="DT115" s="59">
        <f ca="1">AVERAGE(OFFSET($DS$3,0,0,'Données projet'!$E$14+1,1))-AVERAGE(OFFSET($H$3,0,0,'Données projet'!$E$14+1,1))</f>
        <v>475.47920969424894</v>
      </c>
      <c r="DU115" s="59">
        <f t="shared" si="98"/>
        <v>271.73544012419364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3.7</v>
      </c>
      <c r="EJ115" s="12">
        <f>IF('Données projet'!$A$192&gt;35,EJ114+EI115-ER114,IF(A115&lt;'Données projet'!$A$192,$EG$205^A115,IF(A115='Données projet'!$A$192,'Données projet'!$B$192,EJ114+EI115-ER114)))</f>
        <v>273.39999999999958</v>
      </c>
      <c r="EK115" s="17">
        <f>EJ115*VLOOKUP('Données projet'!$B$15,Paramètres!$A$1:$I$89,3,0)*VLOOKUP('Données projet'!$B$15,Paramètres!$A$1:$I$89,5,0)</f>
        <v>247.3723199999996</v>
      </c>
      <c r="EL115" s="13">
        <f t="shared" si="99"/>
        <v>60.022917171130942</v>
      </c>
      <c r="EM115" s="20">
        <f t="shared" si="73"/>
        <v>535.38003807305233</v>
      </c>
      <c r="EN115" s="59">
        <f t="shared" si="74"/>
        <v>828.7133714063857</v>
      </c>
      <c r="EO115" s="59">
        <f ca="1">AVERAGE(OFFSET($EN$3,0,0,'Données projet'!$E$15+1,1))-AVERAGE(OFFSET($H$3,0,0,'Données projet'!$E$15+1,1))</f>
        <v>428.8489304403459</v>
      </c>
      <c r="EP115" s="59">
        <f t="shared" si="100"/>
        <v>247.01165577562966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245.25496369542458</v>
      </c>
      <c r="FK115" s="59">
        <f t="shared" si="102"/>
        <v>342.30266518164211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0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 t="e">
        <f>N116*VLOOKUP('Données projet'!$B$9,Paramètres!$A$1:$I$89,3,0)*VLOOKUP('Données projet'!$B$9,Paramètres!$A$1:$I$89,5,0)</f>
        <v>#N/A</v>
      </c>
      <c r="P116" s="13" t="e">
        <f t="shared" si="87"/>
        <v>#N/A</v>
      </c>
      <c r="Q116" s="20" t="e">
        <f t="shared" si="107"/>
        <v>#N/A</v>
      </c>
      <c r="R116" s="59" t="e">
        <f t="shared" si="55"/>
        <v>#N/A</v>
      </c>
      <c r="S116" s="59" t="e">
        <f ca="1">AVERAGE(OFFSET($R$3,0,0,'Données projet'!$E$9+1,1))-AVERAGE(OFFSET($H$3,0,0,'Données projet'!$E$9+1,1))</f>
        <v>#N/A</v>
      </c>
      <c r="T116" s="59" t="e">
        <f t="shared" si="88"/>
        <v>#N/A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 t="e">
        <f>EXP(-LN(2)/35)*Z115+(1-EXP(-LN(2)/35))/(LN(2)/35)*V116*W116*VLOOKUP('Données projet'!$B$9,Paramètres!$A$1:$I$89,3,0)*0.475*44/12</f>
        <v>#N/A</v>
      </c>
      <c r="AA116" s="21" t="e">
        <f>EXP(-LN(2)/25)*AA115+(1-EXP(-LN(2)/25))/(LN(2)/25)*Calculateur!V116*Calculateur!X116*VLOOKUP('Données projet'!$B$9,Paramètres!$A$1:$I$89,3,0)*0.475*44/12</f>
        <v>#N/A</v>
      </c>
      <c r="AB116" s="21" t="e">
        <f>EXP(-LN(2)/2)*AB115+(1-EXP(-LN(2)/2))/(LN(2)/2)*V116*Y116*VLOOKUP('Données projet'!$B$9,Paramètres!$A$1:$I$89,3,0)*0.475*44/12</f>
        <v>#N/A</v>
      </c>
      <c r="AC116" s="22" t="e">
        <f t="shared" si="57"/>
        <v>#N/A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-1.4897523215040567E-13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338.55719679154777</v>
      </c>
      <c r="AO116" s="59">
        <f t="shared" si="90"/>
        <v>371.26234252426531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1.73076923056</v>
      </c>
      <c r="BD116" s="12">
        <f>IF('Données projet'!$A$88&gt;35,BD115+BC116-BL115,IF(A116&lt;'Données projet'!$A$88,$BA$205^A116,IF(A116='Données projet'!$A$88,'Données projet'!$B$88,BD115+BC116-BL115)))</f>
        <v>228.91025641167988</v>
      </c>
      <c r="BE116" s="13">
        <f>BD116*VLOOKUP('Données projet'!$B$11,Paramètres!$A$1:$I$89,3,0)*VLOOKUP('Données projet'!$B$11,Paramètres!$A$1:$I$89,5,0)</f>
        <v>217.83100000135457</v>
      </c>
      <c r="BF116" s="13">
        <f t="shared" si="91"/>
        <v>53.64319278865878</v>
      </c>
      <c r="BG116" s="20">
        <f t="shared" si="61"/>
        <v>472.81755244260654</v>
      </c>
      <c r="BH116" s="59">
        <f t="shared" si="62"/>
        <v>766.15088577593986</v>
      </c>
      <c r="BI116" s="59">
        <f ca="1">AVERAGE(OFFSET($BH$3,0,0,'Données projet'!$E$11+1,1))-AVERAGE(OFFSET($H$3,0,0,'Données projet'!$E$11+1,1))</f>
        <v>351.6178679548006</v>
      </c>
      <c r="BJ116" s="59">
        <f t="shared" si="92"/>
        <v>244.7141066773861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6.1538461538532374E-2</v>
      </c>
      <c r="BZ116" s="13">
        <f>BY116*VLOOKUP('Données projet'!$B$12,Paramètres!$A$1:$I$89,3,0)*VLOOKUP('Données projet'!$B$12,Paramètres!$A$1:$I$89,5,0)</f>
        <v>2.880000000003315E-2</v>
      </c>
      <c r="CA116" s="13">
        <f t="shared" si="93"/>
        <v>2.0057244427106876E-2</v>
      </c>
      <c r="CB116" s="20">
        <f t="shared" si="64"/>
        <v>8.5093034043935534E-2</v>
      </c>
      <c r="CC116" s="59">
        <f t="shared" si="65"/>
        <v>293.41842636737726</v>
      </c>
      <c r="CD116" s="59">
        <f ca="1">AVERAGE(OFFSET($CC$3,0,0,'Données projet'!$E$12+1,1))-AVERAGE(OFFSET($H$3,0,0,'Données projet'!$E$12+1,1))</f>
        <v>246.66630850723385</v>
      </c>
      <c r="CE116" s="59">
        <f t="shared" si="94"/>
        <v>145.34368562171613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1.1368683772161603E-13</v>
      </c>
      <c r="CU116" s="17">
        <f>CT116*VLOOKUP('Données projet'!$B$13,Paramètres!$A$1:$I$89,3,0)*VLOOKUP('Données projet'!$B$13,Paramètres!$A$1:$I$89,5,0)</f>
        <v>8.8675733422860506E-14</v>
      </c>
      <c r="CV116" s="13">
        <f t="shared" si="95"/>
        <v>1.3509285393066301E-12</v>
      </c>
      <c r="CW116" s="20">
        <f t="shared" si="67"/>
        <v>2.5073107750038623E-12</v>
      </c>
      <c r="CX116" s="59">
        <f t="shared" si="68"/>
        <v>293.33333333333582</v>
      </c>
      <c r="CY116" s="59">
        <f ca="1">AVERAGE(OFFSET($CX$3,0,0,'Données projet'!$E$13+1,1))-AVERAGE(OFFSET($H$3,0,0,'Données projet'!$E$13+1,1))</f>
        <v>292.57482726862594</v>
      </c>
      <c r="CZ116" s="59">
        <f t="shared" si="96"/>
        <v>283.48738729114024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3.7</v>
      </c>
      <c r="DO116" s="12">
        <f>IF('Données projet'!$A$166&gt;35,DO115+DN116-DW115,IF(A116&lt;'Données projet'!$A$166,$DL$205^A116,IF(A116='Données projet'!$A$166,'Données projet'!$B$166,DO115+DN116-DW115)))</f>
        <v>277.09999999999957</v>
      </c>
      <c r="DP116" s="17">
        <f>DO116*VLOOKUP('Données projet'!$B$14,Paramètres!$A$1:$I$89,3,0)*VLOOKUP('Données projet'!$B$14,Paramètres!$A$1:$I$89,5,0)</f>
        <v>280.9793999999996</v>
      </c>
      <c r="DQ116" s="13">
        <f t="shared" si="97"/>
        <v>67.173942175199358</v>
      </c>
      <c r="DR116" s="20">
        <f t="shared" si="70"/>
        <v>606.36707095513827</v>
      </c>
      <c r="DS116" s="59">
        <f t="shared" si="71"/>
        <v>899.70040428847165</v>
      </c>
      <c r="DT116" s="59">
        <f ca="1">AVERAGE(OFFSET($DS$3,0,0,'Données projet'!$E$14+1,1))-AVERAGE(OFFSET($H$3,0,0,'Données projet'!$E$14+1,1))</f>
        <v>475.47920969424894</v>
      </c>
      <c r="DU116" s="59">
        <f t="shared" si="98"/>
        <v>271.73544012419364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3.7</v>
      </c>
      <c r="EJ116" s="12">
        <f>IF('Données projet'!$A$192&gt;35,EJ115+EI116-ER115,IF(A116&lt;'Données projet'!$A$192,$EG$205^A116,IF(A116='Données projet'!$A$192,'Données projet'!$B$192,EJ115+EI116-ER115)))</f>
        <v>277.09999999999957</v>
      </c>
      <c r="EK116" s="17">
        <f>EJ116*VLOOKUP('Données projet'!$B$15,Paramètres!$A$1:$I$89,3,0)*VLOOKUP('Données projet'!$B$15,Paramètres!$A$1:$I$89,5,0)</f>
        <v>250.7200799999996</v>
      </c>
      <c r="EL116" s="13">
        <f t="shared" si="99"/>
        <v>60.740109326032709</v>
      </c>
      <c r="EM116" s="20">
        <f t="shared" si="73"/>
        <v>542.45982974283959</v>
      </c>
      <c r="EN116" s="59">
        <f t="shared" si="74"/>
        <v>835.79316307617296</v>
      </c>
      <c r="EO116" s="59">
        <f ca="1">AVERAGE(OFFSET($EN$3,0,0,'Données projet'!$E$15+1,1))-AVERAGE(OFFSET($H$3,0,0,'Données projet'!$E$15+1,1))</f>
        <v>428.8489304403459</v>
      </c>
      <c r="EP116" s="59">
        <f t="shared" si="100"/>
        <v>247.01165577562966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245.25496369542458</v>
      </c>
      <c r="FK116" s="59">
        <f t="shared" si="102"/>
        <v>342.30266518164211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0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 t="e">
        <f>N117*VLOOKUP('Données projet'!$B$9,Paramètres!$A$1:$I$89,3,0)*VLOOKUP('Données projet'!$B$9,Paramètres!$A$1:$I$89,5,0)</f>
        <v>#N/A</v>
      </c>
      <c r="P117" s="13" t="e">
        <f t="shared" si="87"/>
        <v>#N/A</v>
      </c>
      <c r="Q117" s="20" t="e">
        <f t="shared" si="107"/>
        <v>#N/A</v>
      </c>
      <c r="R117" s="59" t="e">
        <f t="shared" si="55"/>
        <v>#N/A</v>
      </c>
      <c r="S117" s="59" t="e">
        <f ca="1">AVERAGE(OFFSET($R$3,0,0,'Données projet'!$E$9+1,1))-AVERAGE(OFFSET($H$3,0,0,'Données projet'!$E$9+1,1))</f>
        <v>#N/A</v>
      </c>
      <c r="T117" s="59" t="e">
        <f t="shared" si="88"/>
        <v>#N/A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 t="e">
        <f>EXP(-LN(2)/35)*Z116+(1-EXP(-LN(2)/35))/(LN(2)/35)*V117*W117*VLOOKUP('Données projet'!$B$9,Paramètres!$A$1:$I$89,3,0)*0.475*44/12</f>
        <v>#N/A</v>
      </c>
      <c r="AA117" s="21" t="e">
        <f>EXP(-LN(2)/25)*AA116+(1-EXP(-LN(2)/25))/(LN(2)/25)*Calculateur!V117*Calculateur!X117*VLOOKUP('Données projet'!$B$9,Paramètres!$A$1:$I$89,3,0)*0.475*44/12</f>
        <v>#N/A</v>
      </c>
      <c r="AB117" s="21" t="e">
        <f>EXP(-LN(2)/2)*AB116+(1-EXP(-LN(2)/2))/(LN(2)/2)*V117*Y117*VLOOKUP('Données projet'!$B$9,Paramètres!$A$1:$I$89,3,0)*0.475*44/12</f>
        <v>#N/A</v>
      </c>
      <c r="AC117" s="22" t="e">
        <f t="shared" si="57"/>
        <v>#N/A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-1.4897523215040567E-13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338.55719679154777</v>
      </c>
      <c r="AO117" s="59">
        <f t="shared" si="90"/>
        <v>371.26234252426531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1.73076923056</v>
      </c>
      <c r="BD117" s="12">
        <f>IF('Données projet'!$A$88&gt;35,BD116+BC117-BL116,IF(A117&lt;'Données projet'!$A$88,$BA$205^A117,IF(A117='Données projet'!$A$88,'Données projet'!$B$88,BD116+BC117-BL116)))</f>
        <v>230.64102564223987</v>
      </c>
      <c r="BE117" s="13">
        <f>BD117*VLOOKUP('Données projet'!$B$11,Paramètres!$A$1:$I$89,3,0)*VLOOKUP('Données projet'!$B$11,Paramètres!$A$1:$I$89,5,0)</f>
        <v>219.47800000115546</v>
      </c>
      <c r="BF117" s="13">
        <f t="shared" si="91"/>
        <v>54.001415918907767</v>
      </c>
      <c r="BG117" s="20">
        <f t="shared" si="61"/>
        <v>476.30998272744341</v>
      </c>
      <c r="BH117" s="59">
        <f t="shared" si="62"/>
        <v>769.64331606077667</v>
      </c>
      <c r="BI117" s="59">
        <f ca="1">AVERAGE(OFFSET($BH$3,0,0,'Données projet'!$E$11+1,1))-AVERAGE(OFFSET($H$3,0,0,'Données projet'!$E$11+1,1))</f>
        <v>351.6178679548006</v>
      </c>
      <c r="BJ117" s="59">
        <f t="shared" si="92"/>
        <v>244.7141066773861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6.1538461538532374E-2</v>
      </c>
      <c r="BZ117" s="13">
        <f>BY117*VLOOKUP('Données projet'!$B$12,Paramètres!$A$1:$I$89,3,0)*VLOOKUP('Données projet'!$B$12,Paramètres!$A$1:$I$89,5,0)</f>
        <v>2.880000000003315E-2</v>
      </c>
      <c r="CA117" s="13">
        <f t="shared" si="93"/>
        <v>2.0057244427106876E-2</v>
      </c>
      <c r="CB117" s="20">
        <f t="shared" si="64"/>
        <v>8.5093034043935534E-2</v>
      </c>
      <c r="CC117" s="59">
        <f t="shared" si="65"/>
        <v>293.41842636737726</v>
      </c>
      <c r="CD117" s="59">
        <f ca="1">AVERAGE(OFFSET($CC$3,0,0,'Données projet'!$E$12+1,1))-AVERAGE(OFFSET($H$3,0,0,'Données projet'!$E$12+1,1))</f>
        <v>246.66630850723385</v>
      </c>
      <c r="CE117" s="59">
        <f t="shared" si="94"/>
        <v>145.34368562171613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1.1368683772161603E-13</v>
      </c>
      <c r="CU117" s="17">
        <f>CT117*VLOOKUP('Données projet'!$B$13,Paramètres!$A$1:$I$89,3,0)*VLOOKUP('Données projet'!$B$13,Paramètres!$A$1:$I$89,5,0)</f>
        <v>8.8675733422860506E-14</v>
      </c>
      <c r="CV117" s="13">
        <f t="shared" si="95"/>
        <v>1.3509285393066301E-12</v>
      </c>
      <c r="CW117" s="20">
        <f t="shared" si="67"/>
        <v>2.5073107750038623E-12</v>
      </c>
      <c r="CX117" s="59">
        <f t="shared" si="68"/>
        <v>293.33333333333582</v>
      </c>
      <c r="CY117" s="59">
        <f ca="1">AVERAGE(OFFSET($CX$3,0,0,'Données projet'!$E$13+1,1))-AVERAGE(OFFSET($H$3,0,0,'Données projet'!$E$13+1,1))</f>
        <v>292.57482726862594</v>
      </c>
      <c r="CZ117" s="59">
        <f t="shared" si="96"/>
        <v>283.48738729114024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3.7</v>
      </c>
      <c r="DO117" s="12">
        <f>IF('Données projet'!$A$166&gt;35,DO116+DN117-DW116,IF(A117&lt;'Données projet'!$A$166,$DL$205^A117,IF(A117='Données projet'!$A$166,'Données projet'!$B$166,DO116+DN117-DW116)))</f>
        <v>280.79999999999956</v>
      </c>
      <c r="DP117" s="17">
        <f>DO117*VLOOKUP('Données projet'!$B$14,Paramètres!$A$1:$I$89,3,0)*VLOOKUP('Données projet'!$B$14,Paramètres!$A$1:$I$89,5,0)</f>
        <v>284.7311999999996</v>
      </c>
      <c r="DQ117" s="13">
        <f t="shared" si="97"/>
        <v>67.965870320050882</v>
      </c>
      <c r="DR117" s="20">
        <f t="shared" si="70"/>
        <v>614.28073080742126</v>
      </c>
      <c r="DS117" s="59">
        <f t="shared" si="71"/>
        <v>907.61406414075464</v>
      </c>
      <c r="DT117" s="59">
        <f ca="1">AVERAGE(OFFSET($DS$3,0,0,'Données projet'!$E$14+1,1))-AVERAGE(OFFSET($H$3,0,0,'Données projet'!$E$14+1,1))</f>
        <v>475.47920969424894</v>
      </c>
      <c r="DU117" s="59">
        <f t="shared" si="98"/>
        <v>271.73544012419364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3.7</v>
      </c>
      <c r="EJ117" s="12">
        <f>IF('Données projet'!$A$192&gt;35,EJ116+EI117-ER116,IF(A117&lt;'Données projet'!$A$192,$EG$205^A117,IF(A117='Données projet'!$A$192,'Données projet'!$B$192,EJ116+EI117-ER116)))</f>
        <v>280.79999999999956</v>
      </c>
      <c r="EK117" s="17">
        <f>EJ117*VLOOKUP('Données projet'!$B$15,Paramètres!$A$1:$I$89,3,0)*VLOOKUP('Données projet'!$B$15,Paramètres!$A$1:$I$89,5,0)</f>
        <v>254.06783999999956</v>
      </c>
      <c r="EL117" s="13">
        <f t="shared" si="99"/>
        <v>61.456187622750669</v>
      </c>
      <c r="EM117" s="20">
        <f t="shared" si="73"/>
        <v>549.53768144295657</v>
      </c>
      <c r="EN117" s="59">
        <f t="shared" si="74"/>
        <v>842.87101477628994</v>
      </c>
      <c r="EO117" s="59">
        <f ca="1">AVERAGE(OFFSET($EN$3,0,0,'Données projet'!$E$15+1,1))-AVERAGE(OFFSET($H$3,0,0,'Données projet'!$E$15+1,1))</f>
        <v>428.8489304403459</v>
      </c>
      <c r="EP117" s="59">
        <f t="shared" si="100"/>
        <v>247.01165577562966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245.25496369542458</v>
      </c>
      <c r="FK117" s="59">
        <f t="shared" si="102"/>
        <v>342.30266518164211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0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 t="e">
        <f>N118*VLOOKUP('Données projet'!$B$9,Paramètres!$A$1:$I$89,3,0)*VLOOKUP('Données projet'!$B$9,Paramètres!$A$1:$I$89,5,0)</f>
        <v>#N/A</v>
      </c>
      <c r="P118" s="13" t="e">
        <f t="shared" si="87"/>
        <v>#N/A</v>
      </c>
      <c r="Q118" s="20" t="e">
        <f t="shared" si="107"/>
        <v>#N/A</v>
      </c>
      <c r="R118" s="59" t="e">
        <f t="shared" si="55"/>
        <v>#N/A</v>
      </c>
      <c r="S118" s="59" t="e">
        <f ca="1">AVERAGE(OFFSET($R$3,0,0,'Données projet'!$E$9+1,1))-AVERAGE(OFFSET($H$3,0,0,'Données projet'!$E$9+1,1))</f>
        <v>#N/A</v>
      </c>
      <c r="T118" s="59" t="e">
        <f t="shared" si="88"/>
        <v>#N/A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 t="e">
        <f>EXP(-LN(2)/35)*Z117+(1-EXP(-LN(2)/35))/(LN(2)/35)*V118*W118*VLOOKUP('Données projet'!$B$9,Paramètres!$A$1:$I$89,3,0)*0.475*44/12</f>
        <v>#N/A</v>
      </c>
      <c r="AA118" s="21" t="e">
        <f>EXP(-LN(2)/25)*AA117+(1-EXP(-LN(2)/25))/(LN(2)/25)*Calculateur!V118*Calculateur!X118*VLOOKUP('Données projet'!$B$9,Paramètres!$A$1:$I$89,3,0)*0.475*44/12</f>
        <v>#N/A</v>
      </c>
      <c r="AB118" s="21" t="e">
        <f>EXP(-LN(2)/2)*AB117+(1-EXP(-LN(2)/2))/(LN(2)/2)*V118*Y118*VLOOKUP('Données projet'!$B$9,Paramètres!$A$1:$I$89,3,0)*0.475*44/12</f>
        <v>#N/A</v>
      </c>
      <c r="AC118" s="22" t="e">
        <f t="shared" si="57"/>
        <v>#N/A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-1.4897523215040567E-13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338.55719679154777</v>
      </c>
      <c r="AO118" s="59">
        <f t="shared" si="90"/>
        <v>371.26234252426531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1.73076923056</v>
      </c>
      <c r="BD118" s="12">
        <f>IF('Données projet'!$A$88&gt;35,BD117+BC118-BL117,IF(A118&lt;'Données projet'!$A$88,$BA$205^A118,IF(A118='Données projet'!$A$88,'Données projet'!$B$88,BD117+BC118-BL117)))</f>
        <v>232.37179487279985</v>
      </c>
      <c r="BE118" s="13">
        <f>BD118*VLOOKUP('Données projet'!$B$11,Paramètres!$A$1:$I$89,3,0)*VLOOKUP('Données projet'!$B$11,Paramètres!$A$1:$I$89,5,0)</f>
        <v>221.12500000095636</v>
      </c>
      <c r="BF118" s="13">
        <f t="shared" si="91"/>
        <v>54.359326280042474</v>
      </c>
      <c r="BG118" s="20">
        <f t="shared" si="61"/>
        <v>479.80186827273968</v>
      </c>
      <c r="BH118" s="59">
        <f t="shared" si="62"/>
        <v>773.135201606073</v>
      </c>
      <c r="BI118" s="59">
        <f ca="1">AVERAGE(OFFSET($BH$3,0,0,'Données projet'!$E$11+1,1))-AVERAGE(OFFSET($H$3,0,0,'Données projet'!$E$11+1,1))</f>
        <v>351.6178679548006</v>
      </c>
      <c r="BJ118" s="59">
        <f t="shared" si="92"/>
        <v>244.7141066773861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6.1538461538532374E-2</v>
      </c>
      <c r="BZ118" s="13">
        <f>BY118*VLOOKUP('Données projet'!$B$12,Paramètres!$A$1:$I$89,3,0)*VLOOKUP('Données projet'!$B$12,Paramètres!$A$1:$I$89,5,0)</f>
        <v>2.880000000003315E-2</v>
      </c>
      <c r="CA118" s="13">
        <f t="shared" si="93"/>
        <v>2.0057244427106876E-2</v>
      </c>
      <c r="CB118" s="20">
        <f t="shared" si="64"/>
        <v>8.5093034043935534E-2</v>
      </c>
      <c r="CC118" s="59">
        <f t="shared" si="65"/>
        <v>293.41842636737726</v>
      </c>
      <c r="CD118" s="59">
        <f ca="1">AVERAGE(OFFSET($CC$3,0,0,'Données projet'!$E$12+1,1))-AVERAGE(OFFSET($H$3,0,0,'Données projet'!$E$12+1,1))</f>
        <v>246.66630850723385</v>
      </c>
      <c r="CE118" s="59">
        <f t="shared" si="94"/>
        <v>145.34368562171613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1.1368683772161603E-13</v>
      </c>
      <c r="CU118" s="17">
        <f>CT118*VLOOKUP('Données projet'!$B$13,Paramètres!$A$1:$I$89,3,0)*VLOOKUP('Données projet'!$B$13,Paramètres!$A$1:$I$89,5,0)</f>
        <v>8.8675733422860506E-14</v>
      </c>
      <c r="CV118" s="13">
        <f t="shared" si="95"/>
        <v>1.3509285393066301E-12</v>
      </c>
      <c r="CW118" s="20">
        <f t="shared" si="67"/>
        <v>2.5073107750038623E-12</v>
      </c>
      <c r="CX118" s="59">
        <f t="shared" si="68"/>
        <v>293.33333333333582</v>
      </c>
      <c r="CY118" s="59">
        <f ca="1">AVERAGE(OFFSET($CX$3,0,0,'Données projet'!$E$13+1,1))-AVERAGE(OFFSET($H$3,0,0,'Données projet'!$E$13+1,1))</f>
        <v>292.57482726862594</v>
      </c>
      <c r="CZ118" s="59">
        <f t="shared" si="96"/>
        <v>283.48738729114024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3.7</v>
      </c>
      <c r="DO118" s="12">
        <f>IF('Données projet'!$A$166&gt;35,DO117+DN118-DW117,IF(A118&lt;'Données projet'!$A$166,$DL$205^A118,IF(A118='Données projet'!$A$166,'Données projet'!$B$166,DO117+DN118-DW117)))</f>
        <v>284.49999999999955</v>
      </c>
      <c r="DP118" s="17">
        <f>DO118*VLOOKUP('Données projet'!$B$14,Paramètres!$A$1:$I$89,3,0)*VLOOKUP('Données projet'!$B$14,Paramètres!$A$1:$I$89,5,0)</f>
        <v>288.48299999999955</v>
      </c>
      <c r="DQ118" s="13">
        <f t="shared" si="97"/>
        <v>68.756584730508635</v>
      </c>
      <c r="DR118" s="20">
        <f t="shared" si="70"/>
        <v>622.19227673896842</v>
      </c>
      <c r="DS118" s="59">
        <f t="shared" si="71"/>
        <v>915.52561007230179</v>
      </c>
      <c r="DT118" s="59">
        <f ca="1">AVERAGE(OFFSET($DS$3,0,0,'Données projet'!$E$14+1,1))-AVERAGE(OFFSET($H$3,0,0,'Données projet'!$E$14+1,1))</f>
        <v>475.47920969424894</v>
      </c>
      <c r="DU118" s="59">
        <f t="shared" si="98"/>
        <v>271.73544012419364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3.7</v>
      </c>
      <c r="EJ118" s="12">
        <f>IF('Données projet'!$A$192&gt;35,EJ117+EI118-ER117,IF(A118&lt;'Données projet'!$A$192,$EG$205^A118,IF(A118='Données projet'!$A$192,'Données projet'!$B$192,EJ117+EI118-ER117)))</f>
        <v>284.49999999999955</v>
      </c>
      <c r="EK118" s="17">
        <f>EJ118*VLOOKUP('Données projet'!$B$15,Paramètres!$A$1:$I$89,3,0)*VLOOKUP('Données projet'!$B$15,Paramètres!$A$1:$I$89,5,0)</f>
        <v>257.41559999999959</v>
      </c>
      <c r="EL118" s="13">
        <f t="shared" si="99"/>
        <v>62.171168434977062</v>
      </c>
      <c r="EM118" s="20">
        <f t="shared" si="73"/>
        <v>556.61362169091774</v>
      </c>
      <c r="EN118" s="59">
        <f t="shared" si="74"/>
        <v>849.94695502425111</v>
      </c>
      <c r="EO118" s="59">
        <f ca="1">AVERAGE(OFFSET($EN$3,0,0,'Données projet'!$E$15+1,1))-AVERAGE(OFFSET($H$3,0,0,'Données projet'!$E$15+1,1))</f>
        <v>428.8489304403459</v>
      </c>
      <c r="EP118" s="59">
        <f t="shared" si="100"/>
        <v>247.01165577562966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245.25496369542458</v>
      </c>
      <c r="FK118" s="59">
        <f t="shared" si="102"/>
        <v>342.30266518164211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0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 t="e">
        <f>N119*VLOOKUP('Données projet'!$B$9,Paramètres!$A$1:$I$89,3,0)*VLOOKUP('Données projet'!$B$9,Paramètres!$A$1:$I$89,5,0)</f>
        <v>#N/A</v>
      </c>
      <c r="P119" s="13" t="e">
        <f t="shared" si="87"/>
        <v>#N/A</v>
      </c>
      <c r="Q119" s="20" t="e">
        <f t="shared" si="107"/>
        <v>#N/A</v>
      </c>
      <c r="R119" s="59" t="e">
        <f t="shared" si="55"/>
        <v>#N/A</v>
      </c>
      <c r="S119" s="59" t="e">
        <f ca="1">AVERAGE(OFFSET($R$3,0,0,'Données projet'!$E$9+1,1))-AVERAGE(OFFSET($H$3,0,0,'Données projet'!$E$9+1,1))</f>
        <v>#N/A</v>
      </c>
      <c r="T119" s="59" t="e">
        <f t="shared" si="88"/>
        <v>#N/A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 t="e">
        <f>EXP(-LN(2)/35)*Z118+(1-EXP(-LN(2)/35))/(LN(2)/35)*V119*W119*VLOOKUP('Données projet'!$B$9,Paramètres!$A$1:$I$89,3,0)*0.475*44/12</f>
        <v>#N/A</v>
      </c>
      <c r="AA119" s="21" t="e">
        <f>EXP(-LN(2)/25)*AA118+(1-EXP(-LN(2)/25))/(LN(2)/25)*Calculateur!V119*Calculateur!X119*VLOOKUP('Données projet'!$B$9,Paramètres!$A$1:$I$89,3,0)*0.475*44/12</f>
        <v>#N/A</v>
      </c>
      <c r="AB119" s="21" t="e">
        <f>EXP(-LN(2)/2)*AB118+(1-EXP(-LN(2)/2))/(LN(2)/2)*V119*Y119*VLOOKUP('Données projet'!$B$9,Paramètres!$A$1:$I$89,3,0)*0.475*44/12</f>
        <v>#N/A</v>
      </c>
      <c r="AC119" s="22" t="e">
        <f t="shared" si="57"/>
        <v>#N/A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-1.4897523215040567E-13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338.55719679154777</v>
      </c>
      <c r="AO119" s="59">
        <f t="shared" si="90"/>
        <v>371.26234252426531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1.73076923056</v>
      </c>
      <c r="BD119" s="12">
        <f>IF('Données projet'!$A$88&gt;35,BD118+BC119-BL118,IF(A119&lt;'Données projet'!$A$88,$BA$205^A119,IF(A119='Données projet'!$A$88,'Données projet'!$B$88,BD118+BC119-BL118)))</f>
        <v>234.10256410335984</v>
      </c>
      <c r="BE119" s="13">
        <f>BD119*VLOOKUP('Données projet'!$B$11,Paramètres!$A$1:$I$89,3,0)*VLOOKUP('Données projet'!$B$11,Paramètres!$A$1:$I$89,5,0)</f>
        <v>222.7720000007572</v>
      </c>
      <c r="BF119" s="13">
        <f t="shared" si="91"/>
        <v>54.716926471738986</v>
      </c>
      <c r="BG119" s="20">
        <f t="shared" si="61"/>
        <v>483.29321360626426</v>
      </c>
      <c r="BH119" s="59">
        <f t="shared" si="62"/>
        <v>776.62654693959757</v>
      </c>
      <c r="BI119" s="59">
        <f ca="1">AVERAGE(OFFSET($BH$3,0,0,'Données projet'!$E$11+1,1))-AVERAGE(OFFSET($H$3,0,0,'Données projet'!$E$11+1,1))</f>
        <v>351.6178679548006</v>
      </c>
      <c r="BJ119" s="59">
        <f t="shared" si="92"/>
        <v>244.7141066773861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6.1538461538532374E-2</v>
      </c>
      <c r="BZ119" s="13">
        <f>BY119*VLOOKUP('Données projet'!$B$12,Paramètres!$A$1:$I$89,3,0)*VLOOKUP('Données projet'!$B$12,Paramètres!$A$1:$I$89,5,0)</f>
        <v>2.880000000003315E-2</v>
      </c>
      <c r="CA119" s="13">
        <f t="shared" si="93"/>
        <v>2.0057244427106876E-2</v>
      </c>
      <c r="CB119" s="20">
        <f t="shared" si="64"/>
        <v>8.5093034043935534E-2</v>
      </c>
      <c r="CC119" s="59">
        <f t="shared" si="65"/>
        <v>293.41842636737726</v>
      </c>
      <c r="CD119" s="59">
        <f ca="1">AVERAGE(OFFSET($CC$3,0,0,'Données projet'!$E$12+1,1))-AVERAGE(OFFSET($H$3,0,0,'Données projet'!$E$12+1,1))</f>
        <v>246.66630850723385</v>
      </c>
      <c r="CE119" s="59">
        <f t="shared" si="94"/>
        <v>145.34368562171613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1.1368683772161603E-13</v>
      </c>
      <c r="CU119" s="17">
        <f>CT119*VLOOKUP('Données projet'!$B$13,Paramètres!$A$1:$I$89,3,0)*VLOOKUP('Données projet'!$B$13,Paramètres!$A$1:$I$89,5,0)</f>
        <v>8.8675733422860506E-14</v>
      </c>
      <c r="CV119" s="13">
        <f t="shared" si="95"/>
        <v>1.3509285393066301E-12</v>
      </c>
      <c r="CW119" s="20">
        <f t="shared" si="67"/>
        <v>2.5073107750038623E-12</v>
      </c>
      <c r="CX119" s="59">
        <f t="shared" si="68"/>
        <v>293.33333333333582</v>
      </c>
      <c r="CY119" s="59">
        <f ca="1">AVERAGE(OFFSET($CX$3,0,0,'Données projet'!$E$13+1,1))-AVERAGE(OFFSET($H$3,0,0,'Données projet'!$E$13+1,1))</f>
        <v>292.57482726862594</v>
      </c>
      <c r="CZ119" s="59">
        <f t="shared" si="96"/>
        <v>283.48738729114024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3.7</v>
      </c>
      <c r="DO119" s="12">
        <f>IF('Données projet'!$A$166&gt;35,DO118+DN119-DW118,IF(A119&lt;'Données projet'!$A$166,$DL$205^A119,IF(A119='Données projet'!$A$166,'Données projet'!$B$166,DO118+DN119-DW118)))</f>
        <v>288.19999999999953</v>
      </c>
      <c r="DP119" s="17">
        <f>DO119*VLOOKUP('Données projet'!$B$14,Paramètres!$A$1:$I$89,3,0)*VLOOKUP('Données projet'!$B$14,Paramètres!$A$1:$I$89,5,0)</f>
        <v>292.23479999999955</v>
      </c>
      <c r="DQ119" s="13">
        <f t="shared" si="97"/>
        <v>69.546103016553644</v>
      </c>
      <c r="DR119" s="20">
        <f t="shared" si="70"/>
        <v>630.10173942049676</v>
      </c>
      <c r="DS119" s="59">
        <f t="shared" si="71"/>
        <v>923.43507275383013</v>
      </c>
      <c r="DT119" s="59">
        <f ca="1">AVERAGE(OFFSET($DS$3,0,0,'Données projet'!$E$14+1,1))-AVERAGE(OFFSET($H$3,0,0,'Données projet'!$E$14+1,1))</f>
        <v>475.47920969424894</v>
      </c>
      <c r="DU119" s="59">
        <f t="shared" si="98"/>
        <v>271.73544012419364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3.7</v>
      </c>
      <c r="EJ119" s="12">
        <f>IF('Données projet'!$A$192&gt;35,EJ118+EI119-ER118,IF(A119&lt;'Données projet'!$A$192,$EG$205^A119,IF(A119='Données projet'!$A$192,'Données projet'!$B$192,EJ118+EI119-ER118)))</f>
        <v>288.19999999999953</v>
      </c>
      <c r="EK119" s="17">
        <f>EJ119*VLOOKUP('Données projet'!$B$15,Paramètres!$A$1:$I$89,3,0)*VLOOKUP('Données projet'!$B$15,Paramètres!$A$1:$I$89,5,0)</f>
        <v>260.76335999999958</v>
      </c>
      <c r="EL119" s="13">
        <f t="shared" si="99"/>
        <v>62.885067686031896</v>
      </c>
      <c r="EM119" s="20">
        <f t="shared" si="73"/>
        <v>563.68767821983818</v>
      </c>
      <c r="EN119" s="59">
        <f t="shared" si="74"/>
        <v>857.02101155317155</v>
      </c>
      <c r="EO119" s="59">
        <f ca="1">AVERAGE(OFFSET($EN$3,0,0,'Données projet'!$E$15+1,1))-AVERAGE(OFFSET($H$3,0,0,'Données projet'!$E$15+1,1))</f>
        <v>428.8489304403459</v>
      </c>
      <c r="EP119" s="59">
        <f t="shared" si="100"/>
        <v>247.01165577562966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245.25496369542458</v>
      </c>
      <c r="FK119" s="59">
        <f t="shared" si="102"/>
        <v>342.30266518164211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0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 t="e">
        <f>N120*VLOOKUP('Données projet'!$B$9,Paramètres!$A$1:$I$89,3,0)*VLOOKUP('Données projet'!$B$9,Paramètres!$A$1:$I$89,5,0)</f>
        <v>#N/A</v>
      </c>
      <c r="P120" s="13" t="e">
        <f t="shared" si="87"/>
        <v>#N/A</v>
      </c>
      <c r="Q120" s="20" t="e">
        <f t="shared" si="107"/>
        <v>#N/A</v>
      </c>
      <c r="R120" s="59" t="e">
        <f t="shared" si="55"/>
        <v>#N/A</v>
      </c>
      <c r="S120" s="59" t="e">
        <f ca="1">AVERAGE(OFFSET($R$3,0,0,'Données projet'!$E$9+1,1))-AVERAGE(OFFSET($H$3,0,0,'Données projet'!$E$9+1,1))</f>
        <v>#N/A</v>
      </c>
      <c r="T120" s="59" t="e">
        <f t="shared" si="88"/>
        <v>#N/A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 t="e">
        <f>EXP(-LN(2)/35)*Z119+(1-EXP(-LN(2)/35))/(LN(2)/35)*V120*W120*VLOOKUP('Données projet'!$B$9,Paramètres!$A$1:$I$89,3,0)*0.475*44/12</f>
        <v>#N/A</v>
      </c>
      <c r="AA120" s="21" t="e">
        <f>EXP(-LN(2)/25)*AA119+(1-EXP(-LN(2)/25))/(LN(2)/25)*Calculateur!V120*Calculateur!X120*VLOOKUP('Données projet'!$B$9,Paramètres!$A$1:$I$89,3,0)*0.475*44/12</f>
        <v>#N/A</v>
      </c>
      <c r="AB120" s="21" t="e">
        <f>EXP(-LN(2)/2)*AB119+(1-EXP(-LN(2)/2))/(LN(2)/2)*V120*Y120*VLOOKUP('Données projet'!$B$9,Paramètres!$A$1:$I$89,3,0)*0.475*44/12</f>
        <v>#N/A</v>
      </c>
      <c r="AC120" s="22" t="e">
        <f t="shared" si="57"/>
        <v>#N/A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-1.4897523215040567E-13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338.55719679154777</v>
      </c>
      <c r="AO120" s="59">
        <f t="shared" si="90"/>
        <v>371.26234252426531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1.73076923056</v>
      </c>
      <c r="BD120" s="12">
        <f>IF('Données projet'!$A$88&gt;35,BD119+BC120-BL119,IF(A120&lt;'Données projet'!$A$88,$BA$205^A120,IF(A120='Données projet'!$A$88,'Données projet'!$B$88,BD119+BC120-BL119)))</f>
        <v>235.83333333391982</v>
      </c>
      <c r="BE120" s="13">
        <f>BD120*VLOOKUP('Données projet'!$B$11,Paramètres!$A$1:$I$89,3,0)*VLOOKUP('Données projet'!$B$11,Paramètres!$A$1:$I$89,5,0)</f>
        <v>224.4190000005581</v>
      </c>
      <c r="BF120" s="13">
        <f t="shared" si="91"/>
        <v>55.074219053012783</v>
      </c>
      <c r="BG120" s="20">
        <f t="shared" si="61"/>
        <v>486.78402318496927</v>
      </c>
      <c r="BH120" s="59">
        <f t="shared" si="62"/>
        <v>780.11735651830259</v>
      </c>
      <c r="BI120" s="59">
        <f ca="1">AVERAGE(OFFSET($BH$3,0,0,'Données projet'!$E$11+1,1))-AVERAGE(OFFSET($H$3,0,0,'Données projet'!$E$11+1,1))</f>
        <v>351.6178679548006</v>
      </c>
      <c r="BJ120" s="59">
        <f t="shared" si="92"/>
        <v>244.7141066773861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6.1538461538532374E-2</v>
      </c>
      <c r="BZ120" s="13">
        <f>BY120*VLOOKUP('Données projet'!$B$12,Paramètres!$A$1:$I$89,3,0)*VLOOKUP('Données projet'!$B$12,Paramètres!$A$1:$I$89,5,0)</f>
        <v>2.880000000003315E-2</v>
      </c>
      <c r="CA120" s="13">
        <f t="shared" si="93"/>
        <v>2.0057244427106876E-2</v>
      </c>
      <c r="CB120" s="20">
        <f t="shared" si="64"/>
        <v>8.5093034043935534E-2</v>
      </c>
      <c r="CC120" s="59">
        <f t="shared" si="65"/>
        <v>293.41842636737726</v>
      </c>
      <c r="CD120" s="59">
        <f ca="1">AVERAGE(OFFSET($CC$3,0,0,'Données projet'!$E$12+1,1))-AVERAGE(OFFSET($H$3,0,0,'Données projet'!$E$12+1,1))</f>
        <v>246.66630850723385</v>
      </c>
      <c r="CE120" s="59">
        <f t="shared" si="94"/>
        <v>145.34368562171613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1.1368683772161603E-13</v>
      </c>
      <c r="CU120" s="17">
        <f>CT120*VLOOKUP('Données projet'!$B$13,Paramètres!$A$1:$I$89,3,0)*VLOOKUP('Données projet'!$B$13,Paramètres!$A$1:$I$89,5,0)</f>
        <v>8.8675733422860506E-14</v>
      </c>
      <c r="CV120" s="13">
        <f t="shared" si="95"/>
        <v>1.3509285393066301E-12</v>
      </c>
      <c r="CW120" s="20">
        <f t="shared" si="67"/>
        <v>2.5073107750038623E-12</v>
      </c>
      <c r="CX120" s="59">
        <f t="shared" si="68"/>
        <v>293.33333333333582</v>
      </c>
      <c r="CY120" s="59">
        <f ca="1">AVERAGE(OFFSET($CX$3,0,0,'Données projet'!$E$13+1,1))-AVERAGE(OFFSET($H$3,0,0,'Données projet'!$E$13+1,1))</f>
        <v>292.57482726862594</v>
      </c>
      <c r="CZ120" s="59">
        <f t="shared" si="96"/>
        <v>283.48738729114024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3.7</v>
      </c>
      <c r="DO120" s="12">
        <f>IF('Données projet'!$A$166&gt;35,DO119+DN120-DW119,IF(A120&lt;'Données projet'!$A$166,$DL$205^A120,IF(A120='Données projet'!$A$166,'Données projet'!$B$166,DO119+DN120-DW119)))</f>
        <v>291.89999999999952</v>
      </c>
      <c r="DP120" s="17">
        <f>DO120*VLOOKUP('Données projet'!$B$14,Paramètres!$A$1:$I$89,3,0)*VLOOKUP('Données projet'!$B$14,Paramètres!$A$1:$I$89,5,0)</f>
        <v>295.98659999999956</v>
      </c>
      <c r="DQ120" s="13">
        <f t="shared" si="97"/>
        <v>70.334442310004661</v>
      </c>
      <c r="DR120" s="20">
        <f t="shared" si="70"/>
        <v>638.00914868992402</v>
      </c>
      <c r="DS120" s="59">
        <f t="shared" si="71"/>
        <v>931.34248202325739</v>
      </c>
      <c r="DT120" s="59">
        <f ca="1">AVERAGE(OFFSET($DS$3,0,0,'Données projet'!$E$14+1,1))-AVERAGE(OFFSET($H$3,0,0,'Données projet'!$E$14+1,1))</f>
        <v>475.47920969424894</v>
      </c>
      <c r="DU120" s="59">
        <f t="shared" si="98"/>
        <v>271.73544012419364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3.7</v>
      </c>
      <c r="EJ120" s="12">
        <f>IF('Données projet'!$A$192&gt;35,EJ119+EI120-ER119,IF(A120&lt;'Données projet'!$A$192,$EG$205^A120,IF(A120='Données projet'!$A$192,'Données projet'!$B$192,EJ119+EI120-ER119)))</f>
        <v>291.89999999999952</v>
      </c>
      <c r="EK120" s="17">
        <f>EJ120*VLOOKUP('Données projet'!$B$15,Paramètres!$A$1:$I$89,3,0)*VLOOKUP('Données projet'!$B$15,Paramètres!$A$1:$I$89,5,0)</f>
        <v>264.11111999999957</v>
      </c>
      <c r="EL120" s="13">
        <f t="shared" si="99"/>
        <v>63.597900866870546</v>
      </c>
      <c r="EM120" s="20">
        <f t="shared" si="73"/>
        <v>570.75987800979885</v>
      </c>
      <c r="EN120" s="59">
        <f t="shared" si="74"/>
        <v>864.09321134313223</v>
      </c>
      <c r="EO120" s="59">
        <f ca="1">AVERAGE(OFFSET($EN$3,0,0,'Données projet'!$E$15+1,1))-AVERAGE(OFFSET($H$3,0,0,'Données projet'!$E$15+1,1))</f>
        <v>428.8489304403459</v>
      </c>
      <c r="EP120" s="59">
        <f t="shared" si="100"/>
        <v>247.01165577562966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245.25496369542458</v>
      </c>
      <c r="FK120" s="59">
        <f t="shared" si="102"/>
        <v>342.30266518164211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0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 t="e">
        <f>N121*VLOOKUP('Données projet'!$B$9,Paramètres!$A$1:$I$89,3,0)*VLOOKUP('Données projet'!$B$9,Paramètres!$A$1:$I$89,5,0)</f>
        <v>#N/A</v>
      </c>
      <c r="P121" s="13" t="e">
        <f t="shared" si="87"/>
        <v>#N/A</v>
      </c>
      <c r="Q121" s="20" t="e">
        <f t="shared" si="107"/>
        <v>#N/A</v>
      </c>
      <c r="R121" s="59" t="e">
        <f t="shared" si="55"/>
        <v>#N/A</v>
      </c>
      <c r="S121" s="59" t="e">
        <f ca="1">AVERAGE(OFFSET($R$3,0,0,'Données projet'!$E$9+1,1))-AVERAGE(OFFSET($H$3,0,0,'Données projet'!$E$9+1,1))</f>
        <v>#N/A</v>
      </c>
      <c r="T121" s="59" t="e">
        <f t="shared" si="88"/>
        <v>#N/A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 t="e">
        <f>EXP(-LN(2)/35)*Z120+(1-EXP(-LN(2)/35))/(LN(2)/35)*V121*W121*VLOOKUP('Données projet'!$B$9,Paramètres!$A$1:$I$89,3,0)*0.475*44/12</f>
        <v>#N/A</v>
      </c>
      <c r="AA121" s="21" t="e">
        <f>EXP(-LN(2)/25)*AA120+(1-EXP(-LN(2)/25))/(LN(2)/25)*Calculateur!V121*Calculateur!X121*VLOOKUP('Données projet'!$B$9,Paramètres!$A$1:$I$89,3,0)*0.475*44/12</f>
        <v>#N/A</v>
      </c>
      <c r="AB121" s="21" t="e">
        <f>EXP(-LN(2)/2)*AB120+(1-EXP(-LN(2)/2))/(LN(2)/2)*V121*Y121*VLOOKUP('Données projet'!$B$9,Paramètres!$A$1:$I$89,3,0)*0.475*44/12</f>
        <v>#N/A</v>
      </c>
      <c r="AC121" s="22" t="e">
        <f t="shared" si="57"/>
        <v>#N/A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-1.4897523215040567E-13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338.55719679154777</v>
      </c>
      <c r="AO121" s="59">
        <f t="shared" si="90"/>
        <v>371.26234252426531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1.73076923056</v>
      </c>
      <c r="BD121" s="12">
        <f>IF('Données projet'!$A$88&gt;35,BD120+BC121-BL120,IF(A121&lt;'Données projet'!$A$88,$BA$205^A121,IF(A121='Données projet'!$A$88,'Données projet'!$B$88,BD120+BC121-BL120)))</f>
        <v>237.56410256447981</v>
      </c>
      <c r="BE121" s="13">
        <f>BD121*VLOOKUP('Données projet'!$B$11,Paramètres!$A$1:$I$89,3,0)*VLOOKUP('Données projet'!$B$11,Paramètres!$A$1:$I$89,5,0)</f>
        <v>226.066000000359</v>
      </c>
      <c r="BF121" s="13">
        <f t="shared" si="91"/>
        <v>55.431206543148249</v>
      </c>
      <c r="BG121" s="20">
        <f t="shared" si="61"/>
        <v>490.27430139660834</v>
      </c>
      <c r="BH121" s="59">
        <f t="shared" si="62"/>
        <v>783.60763472994165</v>
      </c>
      <c r="BI121" s="59">
        <f ca="1">AVERAGE(OFFSET($BH$3,0,0,'Données projet'!$E$11+1,1))-AVERAGE(OFFSET($H$3,0,0,'Données projet'!$E$11+1,1))</f>
        <v>351.6178679548006</v>
      </c>
      <c r="BJ121" s="59">
        <f t="shared" si="92"/>
        <v>244.7141066773861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6.1538461538532374E-2</v>
      </c>
      <c r="BZ121" s="13">
        <f>BY121*VLOOKUP('Données projet'!$B$12,Paramètres!$A$1:$I$89,3,0)*VLOOKUP('Données projet'!$B$12,Paramètres!$A$1:$I$89,5,0)</f>
        <v>2.880000000003315E-2</v>
      </c>
      <c r="CA121" s="13">
        <f t="shared" si="93"/>
        <v>2.0057244427106876E-2</v>
      </c>
      <c r="CB121" s="20">
        <f t="shared" si="64"/>
        <v>8.5093034043935534E-2</v>
      </c>
      <c r="CC121" s="59">
        <f t="shared" si="65"/>
        <v>293.41842636737726</v>
      </c>
      <c r="CD121" s="59">
        <f ca="1">AVERAGE(OFFSET($CC$3,0,0,'Données projet'!$E$12+1,1))-AVERAGE(OFFSET($H$3,0,0,'Données projet'!$E$12+1,1))</f>
        <v>246.66630850723385</v>
      </c>
      <c r="CE121" s="59">
        <f t="shared" si="94"/>
        <v>145.34368562171613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1.1368683772161603E-13</v>
      </c>
      <c r="CU121" s="17">
        <f>CT121*VLOOKUP('Données projet'!$B$13,Paramètres!$A$1:$I$89,3,0)*VLOOKUP('Données projet'!$B$13,Paramètres!$A$1:$I$89,5,0)</f>
        <v>8.8675733422860506E-14</v>
      </c>
      <c r="CV121" s="13">
        <f t="shared" si="95"/>
        <v>1.3509285393066301E-12</v>
      </c>
      <c r="CW121" s="20">
        <f t="shared" si="67"/>
        <v>2.5073107750038623E-12</v>
      </c>
      <c r="CX121" s="59">
        <f t="shared" si="68"/>
        <v>293.33333333333582</v>
      </c>
      <c r="CY121" s="59">
        <f ca="1">AVERAGE(OFFSET($CX$3,0,0,'Données projet'!$E$13+1,1))-AVERAGE(OFFSET($H$3,0,0,'Données projet'!$E$13+1,1))</f>
        <v>292.57482726862594</v>
      </c>
      <c r="CZ121" s="59">
        <f t="shared" si="96"/>
        <v>283.48738729114024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3.7</v>
      </c>
      <c r="DO121" s="12">
        <f>IF('Données projet'!$A$166&gt;35,DO120+DN121-DW120,IF(A121&lt;'Données projet'!$A$166,$DL$205^A121,IF(A121='Données projet'!$A$166,'Données projet'!$B$166,DO120+DN121-DW120)))</f>
        <v>295.59999999999951</v>
      </c>
      <c r="DP121" s="17">
        <f>DO121*VLOOKUP('Données projet'!$B$14,Paramètres!$A$1:$I$89,3,0)*VLOOKUP('Données projet'!$B$14,Paramètres!$A$1:$I$89,5,0)</f>
        <v>299.73839999999956</v>
      </c>
      <c r="DQ121" s="13">
        <f t="shared" si="97"/>
        <v>71.121619283394352</v>
      </c>
      <c r="DR121" s="20">
        <f t="shared" si="70"/>
        <v>645.91453358524438</v>
      </c>
      <c r="DS121" s="59">
        <f t="shared" si="71"/>
        <v>939.24786691857776</v>
      </c>
      <c r="DT121" s="59">
        <f ca="1">AVERAGE(OFFSET($DS$3,0,0,'Données projet'!$E$14+1,1))-AVERAGE(OFFSET($H$3,0,0,'Données projet'!$E$14+1,1))</f>
        <v>475.47920969424894</v>
      </c>
      <c r="DU121" s="59">
        <f t="shared" si="98"/>
        <v>271.73544012419364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3.7</v>
      </c>
      <c r="EJ121" s="12">
        <f>IF('Données projet'!$A$192&gt;35,EJ120+EI121-ER120,IF(A121&lt;'Données projet'!$A$192,$EG$205^A121,IF(A121='Données projet'!$A$192,'Données projet'!$B$192,EJ120+EI121-ER120)))</f>
        <v>295.59999999999951</v>
      </c>
      <c r="EK121" s="17">
        <f>EJ121*VLOOKUP('Données projet'!$B$15,Paramètres!$A$1:$I$89,3,0)*VLOOKUP('Données projet'!$B$15,Paramètres!$A$1:$I$89,5,0)</f>
        <v>267.45887999999951</v>
      </c>
      <c r="EL121" s="13">
        <f t="shared" si="99"/>
        <v>64.309683053152327</v>
      </c>
      <c r="EM121" s="20">
        <f t="shared" si="73"/>
        <v>577.8302473175728</v>
      </c>
      <c r="EN121" s="59">
        <f t="shared" si="74"/>
        <v>871.16358065090617</v>
      </c>
      <c r="EO121" s="59">
        <f ca="1">AVERAGE(OFFSET($EN$3,0,0,'Données projet'!$E$15+1,1))-AVERAGE(OFFSET($H$3,0,0,'Données projet'!$E$15+1,1))</f>
        <v>428.8489304403459</v>
      </c>
      <c r="EP121" s="59">
        <f t="shared" si="100"/>
        <v>247.01165577562966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245.25496369542458</v>
      </c>
      <c r="FK121" s="59">
        <f t="shared" si="102"/>
        <v>342.30266518164211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0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 t="e">
        <f>N122*VLOOKUP('Données projet'!$B$9,Paramètres!$A$1:$I$89,3,0)*VLOOKUP('Données projet'!$B$9,Paramètres!$A$1:$I$89,5,0)</f>
        <v>#N/A</v>
      </c>
      <c r="P122" s="13" t="e">
        <f t="shared" si="87"/>
        <v>#N/A</v>
      </c>
      <c r="Q122" s="20" t="e">
        <f t="shared" si="107"/>
        <v>#N/A</v>
      </c>
      <c r="R122" s="59" t="e">
        <f t="shared" si="55"/>
        <v>#N/A</v>
      </c>
      <c r="S122" s="59" t="e">
        <f ca="1">AVERAGE(OFFSET($R$3,0,0,'Données projet'!$E$9+1,1))-AVERAGE(OFFSET($H$3,0,0,'Données projet'!$E$9+1,1))</f>
        <v>#N/A</v>
      </c>
      <c r="T122" s="59" t="e">
        <f t="shared" si="88"/>
        <v>#N/A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 t="e">
        <f>EXP(-LN(2)/35)*Z121+(1-EXP(-LN(2)/35))/(LN(2)/35)*V122*W122*VLOOKUP('Données projet'!$B$9,Paramètres!$A$1:$I$89,3,0)*0.475*44/12</f>
        <v>#N/A</v>
      </c>
      <c r="AA122" s="21" t="e">
        <f>EXP(-LN(2)/25)*AA121+(1-EXP(-LN(2)/25))/(LN(2)/25)*Calculateur!V122*Calculateur!X122*VLOOKUP('Données projet'!$B$9,Paramètres!$A$1:$I$89,3,0)*0.475*44/12</f>
        <v>#N/A</v>
      </c>
      <c r="AB122" s="21" t="e">
        <f>EXP(-LN(2)/2)*AB121+(1-EXP(-LN(2)/2))/(LN(2)/2)*V122*Y122*VLOOKUP('Données projet'!$B$9,Paramètres!$A$1:$I$89,3,0)*0.475*44/12</f>
        <v>#N/A</v>
      </c>
      <c r="AC122" s="22" t="e">
        <f t="shared" si="57"/>
        <v>#N/A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-1.4897523215040567E-13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338.55719679154777</v>
      </c>
      <c r="AO122" s="59">
        <f t="shared" si="90"/>
        <v>371.26234252426531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1.73076923056</v>
      </c>
      <c r="BD122" s="12">
        <f>IF('Données projet'!$A$88&gt;35,BD121+BC122-BL121,IF(A122&lt;'Données projet'!$A$88,$BA$205^A122,IF(A122='Données projet'!$A$88,'Données projet'!$B$88,BD121+BC122-BL121)))</f>
        <v>239.2948717950398</v>
      </c>
      <c r="BE122" s="13">
        <f>BD122*VLOOKUP('Données projet'!$B$11,Paramètres!$A$1:$I$89,3,0)*VLOOKUP('Données projet'!$B$11,Paramètres!$A$1:$I$89,5,0)</f>
        <v>227.71300000015987</v>
      </c>
      <c r="BF122" s="13">
        <f t="shared" si="91"/>
        <v>55.787891422600232</v>
      </c>
      <c r="BG122" s="20">
        <f t="shared" si="61"/>
        <v>493.76405256130715</v>
      </c>
      <c r="BH122" s="59">
        <f t="shared" si="62"/>
        <v>787.09738589464041</v>
      </c>
      <c r="BI122" s="59">
        <f ca="1">AVERAGE(OFFSET($BH$3,0,0,'Données projet'!$E$11+1,1))-AVERAGE(OFFSET($H$3,0,0,'Données projet'!$E$11+1,1))</f>
        <v>351.6178679548006</v>
      </c>
      <c r="BJ122" s="59">
        <f t="shared" si="92"/>
        <v>244.7141066773861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6.1538461538532374E-2</v>
      </c>
      <c r="BZ122" s="13">
        <f>BY122*VLOOKUP('Données projet'!$B$12,Paramètres!$A$1:$I$89,3,0)*VLOOKUP('Données projet'!$B$12,Paramètres!$A$1:$I$89,5,0)</f>
        <v>2.880000000003315E-2</v>
      </c>
      <c r="CA122" s="13">
        <f t="shared" si="93"/>
        <v>2.0057244427106876E-2</v>
      </c>
      <c r="CB122" s="20">
        <f t="shared" si="64"/>
        <v>8.5093034043935534E-2</v>
      </c>
      <c r="CC122" s="59">
        <f t="shared" si="65"/>
        <v>293.41842636737726</v>
      </c>
      <c r="CD122" s="59">
        <f ca="1">AVERAGE(OFFSET($CC$3,0,0,'Données projet'!$E$12+1,1))-AVERAGE(OFFSET($H$3,0,0,'Données projet'!$E$12+1,1))</f>
        <v>246.66630850723385</v>
      </c>
      <c r="CE122" s="59">
        <f t="shared" si="94"/>
        <v>145.34368562171613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1.1368683772161603E-13</v>
      </c>
      <c r="CU122" s="17">
        <f>CT122*VLOOKUP('Données projet'!$B$13,Paramètres!$A$1:$I$89,3,0)*VLOOKUP('Données projet'!$B$13,Paramètres!$A$1:$I$89,5,0)</f>
        <v>8.8675733422860506E-14</v>
      </c>
      <c r="CV122" s="13">
        <f t="shared" si="95"/>
        <v>1.3509285393066301E-12</v>
      </c>
      <c r="CW122" s="20">
        <f t="shared" si="67"/>
        <v>2.5073107750038623E-12</v>
      </c>
      <c r="CX122" s="59">
        <f t="shared" si="68"/>
        <v>293.33333333333582</v>
      </c>
      <c r="CY122" s="59">
        <f ca="1">AVERAGE(OFFSET($CX$3,0,0,'Données projet'!$E$13+1,1))-AVERAGE(OFFSET($H$3,0,0,'Données projet'!$E$13+1,1))</f>
        <v>292.57482726862594</v>
      </c>
      <c r="CZ122" s="59">
        <f t="shared" si="96"/>
        <v>283.48738729114024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3.7</v>
      </c>
      <c r="DO122" s="12">
        <f>IF('Données projet'!$A$166&gt;35,DO121+DN122-DW121,IF(A122&lt;'Données projet'!$A$166,$DL$205^A122,IF(A122='Données projet'!$A$166,'Données projet'!$B$166,DO121+DN122-DW121)))</f>
        <v>299.2999999999995</v>
      </c>
      <c r="DP122" s="17">
        <f>DO122*VLOOKUP('Données projet'!$B$14,Paramètres!$A$1:$I$89,3,0)*VLOOKUP('Données projet'!$B$14,Paramètres!$A$1:$I$89,5,0)</f>
        <v>303.4901999999995</v>
      </c>
      <c r="DQ122" s="13">
        <f t="shared" si="97"/>
        <v>71.907650167874138</v>
      </c>
      <c r="DR122" s="20">
        <f t="shared" si="70"/>
        <v>653.81792237571324</v>
      </c>
      <c r="DS122" s="59">
        <f t="shared" si="71"/>
        <v>947.15125570904661</v>
      </c>
      <c r="DT122" s="59">
        <f ca="1">AVERAGE(OFFSET($DS$3,0,0,'Données projet'!$E$14+1,1))-AVERAGE(OFFSET($H$3,0,0,'Données projet'!$E$14+1,1))</f>
        <v>475.47920969424894</v>
      </c>
      <c r="DU122" s="59">
        <f t="shared" si="98"/>
        <v>271.73544012419364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3.7</v>
      </c>
      <c r="EJ122" s="12">
        <f>IF('Données projet'!$A$192&gt;35,EJ121+EI122-ER121,IF(A122&lt;'Données projet'!$A$192,$EG$205^A122,IF(A122='Données projet'!$A$192,'Données projet'!$B$192,EJ121+EI122-ER121)))</f>
        <v>299.2999999999995</v>
      </c>
      <c r="EK122" s="17">
        <f>EJ122*VLOOKUP('Données projet'!$B$15,Paramètres!$A$1:$I$89,3,0)*VLOOKUP('Données projet'!$B$15,Paramètres!$A$1:$I$89,5,0)</f>
        <v>270.80663999999956</v>
      </c>
      <c r="EL122" s="13">
        <f t="shared" si="99"/>
        <v>65.020428921429911</v>
      </c>
      <c r="EM122" s="20">
        <f t="shared" si="73"/>
        <v>584.89881170482306</v>
      </c>
      <c r="EN122" s="59">
        <f t="shared" si="74"/>
        <v>878.23214503815643</v>
      </c>
      <c r="EO122" s="59">
        <f ca="1">AVERAGE(OFFSET($EN$3,0,0,'Données projet'!$E$15+1,1))-AVERAGE(OFFSET($H$3,0,0,'Données projet'!$E$15+1,1))</f>
        <v>428.8489304403459</v>
      </c>
      <c r="EP122" s="59">
        <f t="shared" si="100"/>
        <v>247.01165577562966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245.25496369542458</v>
      </c>
      <c r="FK122" s="59">
        <f t="shared" si="102"/>
        <v>342.30266518164211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0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 t="e">
        <f>N123*VLOOKUP('Données projet'!$B$9,Paramètres!$A$1:$I$89,3,0)*VLOOKUP('Données projet'!$B$9,Paramètres!$A$1:$I$89,5,0)</f>
        <v>#N/A</v>
      </c>
      <c r="P123" s="13" t="e">
        <f t="shared" si="87"/>
        <v>#N/A</v>
      </c>
      <c r="Q123" s="20" t="e">
        <f t="shared" si="107"/>
        <v>#N/A</v>
      </c>
      <c r="R123" s="59" t="e">
        <f t="shared" si="55"/>
        <v>#N/A</v>
      </c>
      <c r="S123" s="59" t="e">
        <f ca="1">AVERAGE(OFFSET($R$3,0,0,'Données projet'!$E$9+1,1))-AVERAGE(OFFSET($H$3,0,0,'Données projet'!$E$9+1,1))</f>
        <v>#N/A</v>
      </c>
      <c r="T123" s="59" t="e">
        <f t="shared" si="88"/>
        <v>#N/A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 t="e">
        <f>EXP(-LN(2)/35)*Z122+(1-EXP(-LN(2)/35))/(LN(2)/35)*V123*W123*VLOOKUP('Données projet'!$B$9,Paramètres!$A$1:$I$89,3,0)*0.475*44/12</f>
        <v>#N/A</v>
      </c>
      <c r="AA123" s="21" t="e">
        <f>EXP(-LN(2)/25)*AA122+(1-EXP(-LN(2)/25))/(LN(2)/25)*Calculateur!V123*Calculateur!X123*VLOOKUP('Données projet'!$B$9,Paramètres!$A$1:$I$89,3,0)*0.475*44/12</f>
        <v>#N/A</v>
      </c>
      <c r="AB123" s="21" t="e">
        <f>EXP(-LN(2)/2)*AB122+(1-EXP(-LN(2)/2))/(LN(2)/2)*V123*Y123*VLOOKUP('Données projet'!$B$9,Paramètres!$A$1:$I$89,3,0)*0.475*44/12</f>
        <v>#N/A</v>
      </c>
      <c r="AC123" s="22" t="e">
        <f t="shared" si="57"/>
        <v>#N/A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-1.4897523215040567E-13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338.55719679154777</v>
      </c>
      <c r="AO123" s="59">
        <f t="shared" si="90"/>
        <v>371.26234252426531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241.02564102560001</v>
      </c>
      <c r="BB123" s="12">
        <f>VLOOKUP(A123,'Données projet'!$A$87:$I$107,9,0)</f>
        <v>1.73076923056</v>
      </c>
      <c r="BC123" s="12">
        <f t="array" ref="BC123">INDEX(BB:BB,MIN(IF(ISNUMBER(BB123:BB319),ROW(BB123:BB319),"")))</f>
        <v>1.73076923056</v>
      </c>
      <c r="BD123" s="12">
        <f>IF('Données projet'!$A$88&gt;35,BD122+BC123-BL122,IF(A123&lt;'Données projet'!$A$88,$BA$205^A123,IF(A123='Données projet'!$A$88,'Données projet'!$B$88,BD122+BC123-BL122)))</f>
        <v>241.02564102559978</v>
      </c>
      <c r="BE123" s="13">
        <f>BD123*VLOOKUP('Données projet'!$B$11,Paramètres!$A$1:$I$89,3,0)*VLOOKUP('Données projet'!$B$11,Paramètres!$A$1:$I$89,5,0)</f>
        <v>229.35999999996076</v>
      </c>
      <c r="BF123" s="13">
        <f t="shared" si="91"/>
        <v>56.144276133869276</v>
      </c>
      <c r="BG123" s="20">
        <f t="shared" si="61"/>
        <v>497.25328093308735</v>
      </c>
      <c r="BH123" s="59">
        <f t="shared" si="62"/>
        <v>790.58661426642061</v>
      </c>
      <c r="BI123" s="59">
        <f ca="1">AVERAGE(OFFSET($BH$3,0,0,'Données projet'!$E$11+1,1))-AVERAGE(OFFSET($H$3,0,0,'Données projet'!$E$11+1,1))</f>
        <v>351.6178679548006</v>
      </c>
      <c r="BJ123" s="59">
        <f t="shared" si="92"/>
        <v>244.7141066773861</v>
      </c>
      <c r="BK123" s="15">
        <f>IF(ISNA(VLOOKUP(A123,'Données projet'!$A$87:$I$107,3,0)),0,VLOOKUP(A123,'Données projet'!$A$87:$I$107,3,0))</f>
        <v>10</v>
      </c>
      <c r="BL123" s="15">
        <f>IF(ISNA(VLOOKUP(A123,'Données projet'!$A$87:$I$107,4,0)),0,VLOOKUP(A123,'Données projet'!$A$87:$I$107,4,0))</f>
        <v>241.02564102560001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6.1538461538532374E-2</v>
      </c>
      <c r="BZ123" s="13">
        <f>BY123*VLOOKUP('Données projet'!$B$12,Paramètres!$A$1:$I$89,3,0)*VLOOKUP('Données projet'!$B$12,Paramètres!$A$1:$I$89,5,0)</f>
        <v>2.880000000003315E-2</v>
      </c>
      <c r="CA123" s="13">
        <f t="shared" si="93"/>
        <v>2.0057244427106876E-2</v>
      </c>
      <c r="CB123" s="20">
        <f t="shared" si="64"/>
        <v>8.5093034043935534E-2</v>
      </c>
      <c r="CC123" s="59">
        <f t="shared" si="65"/>
        <v>293.41842636737726</v>
      </c>
      <c r="CD123" s="59">
        <f ca="1">AVERAGE(OFFSET($CC$3,0,0,'Données projet'!$E$12+1,1))-AVERAGE(OFFSET($H$3,0,0,'Données projet'!$E$12+1,1))</f>
        <v>246.66630850723385</v>
      </c>
      <c r="CE123" s="59">
        <f t="shared" si="94"/>
        <v>145.34368562171613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1.1368683772161603E-13</v>
      </c>
      <c r="CU123" s="17">
        <f>CT123*VLOOKUP('Données projet'!$B$13,Paramètres!$A$1:$I$89,3,0)*VLOOKUP('Données projet'!$B$13,Paramètres!$A$1:$I$89,5,0)</f>
        <v>8.8675733422860506E-14</v>
      </c>
      <c r="CV123" s="13">
        <f t="shared" si="95"/>
        <v>1.3509285393066301E-12</v>
      </c>
      <c r="CW123" s="20">
        <f t="shared" si="67"/>
        <v>2.5073107750038623E-12</v>
      </c>
      <c r="CX123" s="59">
        <f t="shared" si="68"/>
        <v>293.33333333333582</v>
      </c>
      <c r="CY123" s="59">
        <f ca="1">AVERAGE(OFFSET($CX$3,0,0,'Données projet'!$E$13+1,1))-AVERAGE(OFFSET($H$3,0,0,'Données projet'!$E$13+1,1))</f>
        <v>292.57482726862594</v>
      </c>
      <c r="CZ123" s="59">
        <f t="shared" si="96"/>
        <v>283.48738729114024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303</v>
      </c>
      <c r="DM123" s="12">
        <f>VLOOKUP(A123,'Données projet'!$A$165:$I$185,9,0)</f>
        <v>3.7</v>
      </c>
      <c r="DN123" s="12">
        <f t="array" ref="DN123">INDEX(DM:DM,MIN(IF(ISNUMBER(DM123:DM319),ROW(DM123:DM319),"")))</f>
        <v>3.7</v>
      </c>
      <c r="DO123" s="12">
        <f>IF('Données projet'!$A$166&gt;35,DO122+DN123-DW122,IF(A123&lt;'Données projet'!$A$166,$DL$205^A123,IF(A123='Données projet'!$A$166,'Données projet'!$B$166,DO122+DN123-DW122)))</f>
        <v>302.99999999999949</v>
      </c>
      <c r="DP123" s="17">
        <f>DO123*VLOOKUP('Données projet'!$B$14,Paramètres!$A$1:$I$89,3,0)*VLOOKUP('Données projet'!$B$14,Paramètres!$A$1:$I$89,5,0)</f>
        <v>307.24199999999951</v>
      </c>
      <c r="DQ123" s="13">
        <f t="shared" si="97"/>
        <v>72.692550770207717</v>
      </c>
      <c r="DR123" s="20">
        <f t="shared" si="70"/>
        <v>661.71934259144427</v>
      </c>
      <c r="DS123" s="59">
        <f t="shared" si="71"/>
        <v>955.05267592477753</v>
      </c>
      <c r="DT123" s="59">
        <f ca="1">AVERAGE(OFFSET($DS$3,0,0,'Données projet'!$E$14+1,1))-AVERAGE(OFFSET($H$3,0,0,'Données projet'!$E$14+1,1))</f>
        <v>475.47920969424894</v>
      </c>
      <c r="DU123" s="59">
        <f t="shared" si="98"/>
        <v>271.73544012419364</v>
      </c>
      <c r="DV123" s="15">
        <f>IF(ISNA(VLOOKUP(A123,'Données projet'!$A$165:$I$185,3,0)),0,VLOOKUP(A123,'Données projet'!$A$165:$I$185,3,0))</f>
        <v>10</v>
      </c>
      <c r="DW123" s="15">
        <f>IF(ISNA(VLOOKUP(A123,'Données projet'!$A$165:$I$185,4,0)),0,VLOOKUP(A123,'Données projet'!$A$165:$I$185,4,0))</f>
        <v>35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303</v>
      </c>
      <c r="EH123" s="12">
        <f>VLOOKUP(A123,'Données projet'!$A$191:$I$211,9,0)</f>
        <v>3.7</v>
      </c>
      <c r="EI123" s="12">
        <f t="array" ref="EI123">INDEX(EH:EH,MIN(IF(ISNUMBER(EH123:EH319),ROW(EH123:EH319),"")))</f>
        <v>3.7</v>
      </c>
      <c r="EJ123" s="12">
        <f>IF('Données projet'!$A$192&gt;35,EJ122+EI123-ER122,IF(A123&lt;'Données projet'!$A$192,$EG$205^A123,IF(A123='Données projet'!$A$192,'Données projet'!$B$192,EJ122+EI123-ER122)))</f>
        <v>302.99999999999949</v>
      </c>
      <c r="EK123" s="17">
        <f>EJ123*VLOOKUP('Données projet'!$B$15,Paramètres!$A$1:$I$89,3,0)*VLOOKUP('Données projet'!$B$15,Paramètres!$A$1:$I$89,5,0)</f>
        <v>274.15439999999955</v>
      </c>
      <c r="EL123" s="13">
        <f t="shared" si="99"/>
        <v>65.730152764515779</v>
      </c>
      <c r="EM123" s="20">
        <f t="shared" si="73"/>
        <v>591.96559606486414</v>
      </c>
      <c r="EN123" s="59">
        <f t="shared" si="74"/>
        <v>885.29892939819752</v>
      </c>
      <c r="EO123" s="59">
        <f ca="1">AVERAGE(OFFSET($EN$3,0,0,'Données projet'!$E$15+1,1))-AVERAGE(OFFSET($H$3,0,0,'Données projet'!$E$15+1,1))</f>
        <v>428.8489304403459</v>
      </c>
      <c r="EP123" s="59">
        <f t="shared" si="100"/>
        <v>247.01165577562966</v>
      </c>
      <c r="EQ123" s="15">
        <f>IF(ISNA(VLOOKUP(A123,'Données projet'!$A$191:$I$211,3,0)),0,VLOOKUP(A123,'Données projet'!$A$191:$I$211,3,0))</f>
        <v>10</v>
      </c>
      <c r="ER123" s="15">
        <f>IF(ISNA(VLOOKUP(A123,'Données projet'!$A$191:$I$211,4,0)),0,VLOOKUP(A123,'Données projet'!$A$191:$I$211,4,0))</f>
        <v>35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245.25496369542458</v>
      </c>
      <c r="FK123" s="59">
        <f t="shared" si="102"/>
        <v>342.30266518164211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0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 t="e">
        <f>N124*VLOOKUP('Données projet'!$B$9,Paramètres!$A$1:$I$89,3,0)*VLOOKUP('Données projet'!$B$9,Paramètres!$A$1:$I$89,5,0)</f>
        <v>#N/A</v>
      </c>
      <c r="P124" s="13" t="e">
        <f t="shared" si="87"/>
        <v>#N/A</v>
      </c>
      <c r="Q124" s="20" t="e">
        <f t="shared" si="107"/>
        <v>#N/A</v>
      </c>
      <c r="R124" s="59" t="e">
        <f t="shared" si="55"/>
        <v>#N/A</v>
      </c>
      <c r="S124" s="59" t="e">
        <f ca="1">AVERAGE(OFFSET($R$3,0,0,'Données projet'!$E$9+1,1))-AVERAGE(OFFSET($H$3,0,0,'Données projet'!$E$9+1,1))</f>
        <v>#N/A</v>
      </c>
      <c r="T124" s="59" t="e">
        <f t="shared" si="88"/>
        <v>#N/A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 t="e">
        <f>EXP(-LN(2)/35)*Z123+(1-EXP(-LN(2)/35))/(LN(2)/35)*V124*W124*VLOOKUP('Données projet'!$B$9,Paramètres!$A$1:$I$89,3,0)*0.475*44/12</f>
        <v>#N/A</v>
      </c>
      <c r="AA124" s="21" t="e">
        <f>EXP(-LN(2)/25)*AA123+(1-EXP(-LN(2)/25))/(LN(2)/25)*Calculateur!V124*Calculateur!X124*VLOOKUP('Données projet'!$B$9,Paramètres!$A$1:$I$89,3,0)*0.475*44/12</f>
        <v>#N/A</v>
      </c>
      <c r="AB124" s="21" t="e">
        <f>EXP(-LN(2)/2)*AB123+(1-EXP(-LN(2)/2))/(LN(2)/2)*V124*Y124*VLOOKUP('Données projet'!$B$9,Paramètres!$A$1:$I$89,3,0)*0.475*44/12</f>
        <v>#N/A</v>
      </c>
      <c r="AC124" s="22" t="e">
        <f t="shared" si="57"/>
        <v>#N/A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-1.4897523215040567E-13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338.55719679154777</v>
      </c>
      <c r="AO124" s="59">
        <f t="shared" si="90"/>
        <v>371.26234252426531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-2.1636878955177963E-13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351.6178679548006</v>
      </c>
      <c r="BJ124" s="59">
        <f t="shared" si="92"/>
        <v>244.7141066773861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6.1538461538532374E-2</v>
      </c>
      <c r="BZ124" s="13">
        <f>BY124*VLOOKUP('Données projet'!$B$12,Paramètres!$A$1:$I$89,3,0)*VLOOKUP('Données projet'!$B$12,Paramètres!$A$1:$I$89,5,0)</f>
        <v>2.880000000003315E-2</v>
      </c>
      <c r="CA124" s="13">
        <f t="shared" si="93"/>
        <v>2.0057244427106876E-2</v>
      </c>
      <c r="CB124" s="20">
        <f t="shared" si="64"/>
        <v>8.5093034043935534E-2</v>
      </c>
      <c r="CC124" s="59">
        <f t="shared" si="65"/>
        <v>293.41842636737726</v>
      </c>
      <c r="CD124" s="59">
        <f ca="1">AVERAGE(OFFSET($CC$3,0,0,'Données projet'!$E$12+1,1))-AVERAGE(OFFSET($H$3,0,0,'Données projet'!$E$12+1,1))</f>
        <v>246.66630850723385</v>
      </c>
      <c r="CE124" s="59">
        <f t="shared" si="94"/>
        <v>145.34368562171613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1.1368683772161603E-13</v>
      </c>
      <c r="CU124" s="17">
        <f>CT124*VLOOKUP('Données projet'!$B$13,Paramètres!$A$1:$I$89,3,0)*VLOOKUP('Données projet'!$B$13,Paramètres!$A$1:$I$89,5,0)</f>
        <v>8.8675733422860506E-14</v>
      </c>
      <c r="CV124" s="13">
        <f t="shared" si="95"/>
        <v>1.3509285393066301E-12</v>
      </c>
      <c r="CW124" s="20">
        <f t="shared" si="67"/>
        <v>2.5073107750038623E-12</v>
      </c>
      <c r="CX124" s="59">
        <f t="shared" si="68"/>
        <v>293.33333333333582</v>
      </c>
      <c r="CY124" s="59">
        <f ca="1">AVERAGE(OFFSET($CX$3,0,0,'Données projet'!$E$13+1,1))-AVERAGE(OFFSET($H$3,0,0,'Données projet'!$E$13+1,1))</f>
        <v>292.57482726862594</v>
      </c>
      <c r="CZ124" s="59">
        <f t="shared" si="96"/>
        <v>283.48738729114024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3.2</v>
      </c>
      <c r="DO124" s="12">
        <f>IF('Données projet'!$A$166&gt;35,DO123+DN124-DW123,IF(A124&lt;'Données projet'!$A$166,$DL$205^A124,IF(A124='Données projet'!$A$166,'Données projet'!$B$166,DO123+DN124-DW123)))</f>
        <v>271.19999999999948</v>
      </c>
      <c r="DP124" s="17">
        <f>DO124*VLOOKUP('Données projet'!$B$14,Paramètres!$A$1:$I$89,3,0)*VLOOKUP('Données projet'!$B$14,Paramètres!$A$1:$I$89,5,0)</f>
        <v>274.9967999999995</v>
      </c>
      <c r="DQ124" s="13">
        <f t="shared" si="97"/>
        <v>65.908581953881495</v>
      </c>
      <c r="DR124" s="20">
        <f t="shared" si="70"/>
        <v>593.74354023634271</v>
      </c>
      <c r="DS124" s="59">
        <f t="shared" si="71"/>
        <v>887.07687356967608</v>
      </c>
      <c r="DT124" s="59">
        <f ca="1">AVERAGE(OFFSET($DS$3,0,0,'Données projet'!$E$14+1,1))-AVERAGE(OFFSET($H$3,0,0,'Données projet'!$E$14+1,1))</f>
        <v>475.47920969424894</v>
      </c>
      <c r="DU124" s="59">
        <f t="shared" si="98"/>
        <v>271.73544012419364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3.2</v>
      </c>
      <c r="EJ124" s="12">
        <f>IF('Données projet'!$A$192&gt;35,EJ123+EI124-ER123,IF(A124&lt;'Données projet'!$A$192,$EG$205^A124,IF(A124='Données projet'!$A$192,'Données projet'!$B$192,EJ123+EI124-ER123)))</f>
        <v>271.19999999999948</v>
      </c>
      <c r="EK124" s="17">
        <f>EJ124*VLOOKUP('Données projet'!$B$15,Paramètres!$A$1:$I$89,3,0)*VLOOKUP('Données projet'!$B$15,Paramètres!$A$1:$I$89,5,0)</f>
        <v>245.3817599999995</v>
      </c>
      <c r="EL124" s="13">
        <f t="shared" si="99"/>
        <v>59.595943661626663</v>
      </c>
      <c r="EM124" s="20">
        <f t="shared" si="73"/>
        <v>531.16950054399888</v>
      </c>
      <c r="EN124" s="59">
        <f t="shared" si="74"/>
        <v>824.50283387733225</v>
      </c>
      <c r="EO124" s="59">
        <f ca="1">AVERAGE(OFFSET($EN$3,0,0,'Données projet'!$E$15+1,1))-AVERAGE(OFFSET($H$3,0,0,'Données projet'!$E$15+1,1))</f>
        <v>428.8489304403459</v>
      </c>
      <c r="EP124" s="59">
        <f t="shared" si="100"/>
        <v>247.01165577562966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245.25496369542458</v>
      </c>
      <c r="FK124" s="59">
        <f t="shared" si="102"/>
        <v>342.30266518164211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0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 t="e">
        <f>N125*VLOOKUP('Données projet'!$B$9,Paramètres!$A$1:$I$89,3,0)*VLOOKUP('Données projet'!$B$9,Paramètres!$A$1:$I$89,5,0)</f>
        <v>#N/A</v>
      </c>
      <c r="P125" s="13" t="e">
        <f t="shared" si="87"/>
        <v>#N/A</v>
      </c>
      <c r="Q125" s="20" t="e">
        <f t="shared" si="107"/>
        <v>#N/A</v>
      </c>
      <c r="R125" s="59" t="e">
        <f t="shared" si="55"/>
        <v>#N/A</v>
      </c>
      <c r="S125" s="59" t="e">
        <f ca="1">AVERAGE(OFFSET($R$3,0,0,'Données projet'!$E$9+1,1))-AVERAGE(OFFSET($H$3,0,0,'Données projet'!$E$9+1,1))</f>
        <v>#N/A</v>
      </c>
      <c r="T125" s="59" t="e">
        <f t="shared" si="88"/>
        <v>#N/A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 t="e">
        <f>EXP(-LN(2)/35)*Z124+(1-EXP(-LN(2)/35))/(LN(2)/35)*V125*W125*VLOOKUP('Données projet'!$B$9,Paramètres!$A$1:$I$89,3,0)*0.475*44/12</f>
        <v>#N/A</v>
      </c>
      <c r="AA125" s="21" t="e">
        <f>EXP(-LN(2)/25)*AA124+(1-EXP(-LN(2)/25))/(LN(2)/25)*Calculateur!V125*Calculateur!X125*VLOOKUP('Données projet'!$B$9,Paramètres!$A$1:$I$89,3,0)*0.475*44/12</f>
        <v>#N/A</v>
      </c>
      <c r="AB125" s="21" t="e">
        <f>EXP(-LN(2)/2)*AB124+(1-EXP(-LN(2)/2))/(LN(2)/2)*V125*Y125*VLOOKUP('Données projet'!$B$9,Paramètres!$A$1:$I$89,3,0)*0.475*44/12</f>
        <v>#N/A</v>
      </c>
      <c r="AC125" s="22" t="e">
        <f t="shared" si="57"/>
        <v>#N/A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-1.4897523215040567E-13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338.55719679154777</v>
      </c>
      <c r="AO125" s="59">
        <f t="shared" si="90"/>
        <v>371.26234252426531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-2.1636878955177963E-13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351.6178679548006</v>
      </c>
      <c r="BJ125" s="59">
        <f t="shared" si="92"/>
        <v>244.7141066773861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6.1538461538532374E-2</v>
      </c>
      <c r="BZ125" s="13">
        <f>BY125*VLOOKUP('Données projet'!$B$12,Paramètres!$A$1:$I$89,3,0)*VLOOKUP('Données projet'!$B$12,Paramètres!$A$1:$I$89,5,0)</f>
        <v>2.880000000003315E-2</v>
      </c>
      <c r="CA125" s="13">
        <f t="shared" si="93"/>
        <v>2.0057244427106876E-2</v>
      </c>
      <c r="CB125" s="20">
        <f t="shared" si="64"/>
        <v>8.5093034043935534E-2</v>
      </c>
      <c r="CC125" s="59">
        <f t="shared" si="65"/>
        <v>293.41842636737726</v>
      </c>
      <c r="CD125" s="59">
        <f ca="1">AVERAGE(OFFSET($CC$3,0,0,'Données projet'!$E$12+1,1))-AVERAGE(OFFSET($H$3,0,0,'Données projet'!$E$12+1,1))</f>
        <v>246.66630850723385</v>
      </c>
      <c r="CE125" s="59">
        <f t="shared" si="94"/>
        <v>145.34368562171613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1.1368683772161603E-13</v>
      </c>
      <c r="CU125" s="17">
        <f>CT125*VLOOKUP('Données projet'!$B$13,Paramètres!$A$1:$I$89,3,0)*VLOOKUP('Données projet'!$B$13,Paramètres!$A$1:$I$89,5,0)</f>
        <v>8.8675733422860506E-14</v>
      </c>
      <c r="CV125" s="13">
        <f t="shared" si="95"/>
        <v>1.3509285393066301E-12</v>
      </c>
      <c r="CW125" s="20">
        <f t="shared" si="67"/>
        <v>2.5073107750038623E-12</v>
      </c>
      <c r="CX125" s="59">
        <f t="shared" si="68"/>
        <v>293.33333333333582</v>
      </c>
      <c r="CY125" s="59">
        <f ca="1">AVERAGE(OFFSET($CX$3,0,0,'Données projet'!$E$13+1,1))-AVERAGE(OFFSET($H$3,0,0,'Données projet'!$E$13+1,1))</f>
        <v>292.57482726862594</v>
      </c>
      <c r="CZ125" s="59">
        <f t="shared" si="96"/>
        <v>283.48738729114024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3.2</v>
      </c>
      <c r="DO125" s="12">
        <f>IF('Données projet'!$A$166&gt;35,DO124+DN125-DW124,IF(A125&lt;'Données projet'!$A$166,$DL$205^A125,IF(A125='Données projet'!$A$166,'Données projet'!$B$166,DO124+DN125-DW124)))</f>
        <v>274.39999999999947</v>
      </c>
      <c r="DP125" s="17">
        <f>DO125*VLOOKUP('Données projet'!$B$14,Paramètres!$A$1:$I$89,3,0)*VLOOKUP('Données projet'!$B$14,Paramètres!$A$1:$I$89,5,0)</f>
        <v>278.24159999999949</v>
      </c>
      <c r="DQ125" s="13">
        <f t="shared" si="97"/>
        <v>66.595272276139681</v>
      </c>
      <c r="DR125" s="20">
        <f t="shared" si="70"/>
        <v>600.59088588094244</v>
      </c>
      <c r="DS125" s="59">
        <f t="shared" si="71"/>
        <v>893.92421921427581</v>
      </c>
      <c r="DT125" s="59">
        <f ca="1">AVERAGE(OFFSET($DS$3,0,0,'Données projet'!$E$14+1,1))-AVERAGE(OFFSET($H$3,0,0,'Données projet'!$E$14+1,1))</f>
        <v>475.47920969424894</v>
      </c>
      <c r="DU125" s="59">
        <f t="shared" si="98"/>
        <v>271.73544012419364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3.2</v>
      </c>
      <c r="EJ125" s="12">
        <f>IF('Données projet'!$A$192&gt;35,EJ124+EI125-ER124,IF(A125&lt;'Données projet'!$A$192,$EG$205^A125,IF(A125='Données projet'!$A$192,'Données projet'!$B$192,EJ124+EI125-ER124)))</f>
        <v>274.39999999999947</v>
      </c>
      <c r="EK125" s="17">
        <f>EJ125*VLOOKUP('Données projet'!$B$15,Paramètres!$A$1:$I$89,3,0)*VLOOKUP('Données projet'!$B$15,Paramètres!$A$1:$I$89,5,0)</f>
        <v>248.27711999999951</v>
      </c>
      <c r="EL125" s="13">
        <f t="shared" si="99"/>
        <v>60.216863677580257</v>
      </c>
      <c r="EM125" s="20">
        <f t="shared" si="73"/>
        <v>537.29368823845141</v>
      </c>
      <c r="EN125" s="59">
        <f t="shared" si="74"/>
        <v>830.62702157178478</v>
      </c>
      <c r="EO125" s="59">
        <f ca="1">AVERAGE(OFFSET($EN$3,0,0,'Données projet'!$E$15+1,1))-AVERAGE(OFFSET($H$3,0,0,'Données projet'!$E$15+1,1))</f>
        <v>428.8489304403459</v>
      </c>
      <c r="EP125" s="59">
        <f t="shared" si="100"/>
        <v>247.01165577562966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245.25496369542458</v>
      </c>
      <c r="FK125" s="59">
        <f t="shared" si="102"/>
        <v>342.30266518164211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0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 t="e">
        <f>N126*VLOOKUP('Données projet'!$B$9,Paramètres!$A$1:$I$89,3,0)*VLOOKUP('Données projet'!$B$9,Paramètres!$A$1:$I$89,5,0)</f>
        <v>#N/A</v>
      </c>
      <c r="P126" s="13" t="e">
        <f t="shared" si="87"/>
        <v>#N/A</v>
      </c>
      <c r="Q126" s="20" t="e">
        <f t="shared" si="107"/>
        <v>#N/A</v>
      </c>
      <c r="R126" s="59" t="e">
        <f t="shared" si="55"/>
        <v>#N/A</v>
      </c>
      <c r="S126" s="59" t="e">
        <f ca="1">AVERAGE(OFFSET($R$3,0,0,'Données projet'!$E$9+1,1))-AVERAGE(OFFSET($H$3,0,0,'Données projet'!$E$9+1,1))</f>
        <v>#N/A</v>
      </c>
      <c r="T126" s="59" t="e">
        <f t="shared" si="88"/>
        <v>#N/A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 t="e">
        <f>EXP(-LN(2)/35)*Z125+(1-EXP(-LN(2)/35))/(LN(2)/35)*V126*W126*VLOOKUP('Données projet'!$B$9,Paramètres!$A$1:$I$89,3,0)*0.475*44/12</f>
        <v>#N/A</v>
      </c>
      <c r="AA126" s="21" t="e">
        <f>EXP(-LN(2)/25)*AA125+(1-EXP(-LN(2)/25))/(LN(2)/25)*Calculateur!V126*Calculateur!X126*VLOOKUP('Données projet'!$B$9,Paramètres!$A$1:$I$89,3,0)*0.475*44/12</f>
        <v>#N/A</v>
      </c>
      <c r="AB126" s="21" t="e">
        <f>EXP(-LN(2)/2)*AB125+(1-EXP(-LN(2)/2))/(LN(2)/2)*V126*Y126*VLOOKUP('Données projet'!$B$9,Paramètres!$A$1:$I$89,3,0)*0.475*44/12</f>
        <v>#N/A</v>
      </c>
      <c r="AC126" s="22" t="e">
        <f t="shared" si="57"/>
        <v>#N/A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-1.4897523215040567E-13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338.55719679154777</v>
      </c>
      <c r="AO126" s="59">
        <f t="shared" si="90"/>
        <v>371.26234252426531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-2.1636878955177963E-13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351.6178679548006</v>
      </c>
      <c r="BJ126" s="59">
        <f t="shared" si="92"/>
        <v>244.7141066773861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6.1538461538532374E-2</v>
      </c>
      <c r="BZ126" s="13">
        <f>BY126*VLOOKUP('Données projet'!$B$12,Paramètres!$A$1:$I$89,3,0)*VLOOKUP('Données projet'!$B$12,Paramètres!$A$1:$I$89,5,0)</f>
        <v>2.880000000003315E-2</v>
      </c>
      <c r="CA126" s="13">
        <f t="shared" si="93"/>
        <v>2.0057244427106876E-2</v>
      </c>
      <c r="CB126" s="20">
        <f t="shared" si="64"/>
        <v>8.5093034043935534E-2</v>
      </c>
      <c r="CC126" s="59">
        <f t="shared" si="65"/>
        <v>293.41842636737726</v>
      </c>
      <c r="CD126" s="59">
        <f ca="1">AVERAGE(OFFSET($CC$3,0,0,'Données projet'!$E$12+1,1))-AVERAGE(OFFSET($H$3,0,0,'Données projet'!$E$12+1,1))</f>
        <v>246.66630850723385</v>
      </c>
      <c r="CE126" s="59">
        <f t="shared" si="94"/>
        <v>145.34368562171613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1.1368683772161603E-13</v>
      </c>
      <c r="CU126" s="17">
        <f>CT126*VLOOKUP('Données projet'!$B$13,Paramètres!$A$1:$I$89,3,0)*VLOOKUP('Données projet'!$B$13,Paramètres!$A$1:$I$89,5,0)</f>
        <v>8.8675733422860506E-14</v>
      </c>
      <c r="CV126" s="13">
        <f t="shared" si="95"/>
        <v>1.3509285393066301E-12</v>
      </c>
      <c r="CW126" s="20">
        <f t="shared" si="67"/>
        <v>2.5073107750038623E-12</v>
      </c>
      <c r="CX126" s="59">
        <f t="shared" si="68"/>
        <v>293.33333333333582</v>
      </c>
      <c r="CY126" s="59">
        <f ca="1">AVERAGE(OFFSET($CX$3,0,0,'Données projet'!$E$13+1,1))-AVERAGE(OFFSET($H$3,0,0,'Données projet'!$E$13+1,1))</f>
        <v>292.57482726862594</v>
      </c>
      <c r="CZ126" s="59">
        <f t="shared" si="96"/>
        <v>283.48738729114024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3.2</v>
      </c>
      <c r="DO126" s="12">
        <f>IF('Données projet'!$A$166&gt;35,DO125+DN126-DW125,IF(A126&lt;'Données projet'!$A$166,$DL$205^A126,IF(A126='Données projet'!$A$166,'Données projet'!$B$166,DO125+DN126-DW125)))</f>
        <v>277.59999999999945</v>
      </c>
      <c r="DP126" s="17">
        <f>DO126*VLOOKUP('Données projet'!$B$14,Paramètres!$A$1:$I$89,3,0)*VLOOKUP('Données projet'!$B$14,Paramètres!$A$1:$I$89,5,0)</f>
        <v>281.48639999999949</v>
      </c>
      <c r="DQ126" s="13">
        <f t="shared" si="97"/>
        <v>67.281031071373235</v>
      </c>
      <c r="DR126" s="20">
        <f t="shared" si="70"/>
        <v>607.43660911597419</v>
      </c>
      <c r="DS126" s="59">
        <f t="shared" si="71"/>
        <v>900.76994244930756</v>
      </c>
      <c r="DT126" s="59">
        <f ca="1">AVERAGE(OFFSET($DS$3,0,0,'Données projet'!$E$14+1,1))-AVERAGE(OFFSET($H$3,0,0,'Données projet'!$E$14+1,1))</f>
        <v>475.47920969424894</v>
      </c>
      <c r="DU126" s="59">
        <f t="shared" si="98"/>
        <v>271.73544012419364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3.2</v>
      </c>
      <c r="EJ126" s="12">
        <f>IF('Données projet'!$A$192&gt;35,EJ125+EI126-ER125,IF(A126&lt;'Données projet'!$A$192,$EG$205^A126,IF(A126='Données projet'!$A$192,'Données projet'!$B$192,EJ125+EI126-ER125)))</f>
        <v>277.59999999999945</v>
      </c>
      <c r="EK126" s="17">
        <f>EJ126*VLOOKUP('Données projet'!$B$15,Paramètres!$A$1:$I$89,3,0)*VLOOKUP('Données projet'!$B$15,Paramètres!$A$1:$I$89,5,0)</f>
        <v>251.1724799999995</v>
      </c>
      <c r="EL126" s="13">
        <f t="shared" si="99"/>
        <v>60.836941386956575</v>
      </c>
      <c r="EM126" s="20">
        <f t="shared" si="73"/>
        <v>543.41640891561519</v>
      </c>
      <c r="EN126" s="59">
        <f t="shared" si="74"/>
        <v>836.74974224894845</v>
      </c>
      <c r="EO126" s="59">
        <f ca="1">AVERAGE(OFFSET($EN$3,0,0,'Données projet'!$E$15+1,1))-AVERAGE(OFFSET($H$3,0,0,'Données projet'!$E$15+1,1))</f>
        <v>428.8489304403459</v>
      </c>
      <c r="EP126" s="59">
        <f t="shared" si="100"/>
        <v>247.01165577562966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245.25496369542458</v>
      </c>
      <c r="FK126" s="59">
        <f t="shared" si="102"/>
        <v>342.30266518164211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0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 t="e">
        <f>N127*VLOOKUP('Données projet'!$B$9,Paramètres!$A$1:$I$89,3,0)*VLOOKUP('Données projet'!$B$9,Paramètres!$A$1:$I$89,5,0)</f>
        <v>#N/A</v>
      </c>
      <c r="P127" s="13" t="e">
        <f t="shared" si="87"/>
        <v>#N/A</v>
      </c>
      <c r="Q127" s="20" t="e">
        <f t="shared" si="107"/>
        <v>#N/A</v>
      </c>
      <c r="R127" s="59" t="e">
        <f t="shared" si="55"/>
        <v>#N/A</v>
      </c>
      <c r="S127" s="59" t="e">
        <f ca="1">AVERAGE(OFFSET($R$3,0,0,'Données projet'!$E$9+1,1))-AVERAGE(OFFSET($H$3,0,0,'Données projet'!$E$9+1,1))</f>
        <v>#N/A</v>
      </c>
      <c r="T127" s="59" t="e">
        <f t="shared" si="88"/>
        <v>#N/A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 t="e">
        <f>EXP(-LN(2)/35)*Z126+(1-EXP(-LN(2)/35))/(LN(2)/35)*V127*W127*VLOOKUP('Données projet'!$B$9,Paramètres!$A$1:$I$89,3,0)*0.475*44/12</f>
        <v>#N/A</v>
      </c>
      <c r="AA127" s="21" t="e">
        <f>EXP(-LN(2)/25)*AA126+(1-EXP(-LN(2)/25))/(LN(2)/25)*Calculateur!V127*Calculateur!X127*VLOOKUP('Données projet'!$B$9,Paramètres!$A$1:$I$89,3,0)*0.475*44/12</f>
        <v>#N/A</v>
      </c>
      <c r="AB127" s="21" t="e">
        <f>EXP(-LN(2)/2)*AB126+(1-EXP(-LN(2)/2))/(LN(2)/2)*V127*Y127*VLOOKUP('Données projet'!$B$9,Paramètres!$A$1:$I$89,3,0)*0.475*44/12</f>
        <v>#N/A</v>
      </c>
      <c r="AC127" s="22" t="e">
        <f t="shared" si="57"/>
        <v>#N/A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-1.4897523215040567E-13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338.55719679154777</v>
      </c>
      <c r="AO127" s="59">
        <f t="shared" si="90"/>
        <v>371.26234252426531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-2.1636878955177963E-13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351.6178679548006</v>
      </c>
      <c r="BJ127" s="59">
        <f t="shared" si="92"/>
        <v>244.7141066773861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6.1538461538532374E-2</v>
      </c>
      <c r="BZ127" s="13">
        <f>BY127*VLOOKUP('Données projet'!$B$12,Paramètres!$A$1:$I$89,3,0)*VLOOKUP('Données projet'!$B$12,Paramètres!$A$1:$I$89,5,0)</f>
        <v>2.880000000003315E-2</v>
      </c>
      <c r="CA127" s="13">
        <f t="shared" si="93"/>
        <v>2.0057244427106876E-2</v>
      </c>
      <c r="CB127" s="20">
        <f t="shared" si="64"/>
        <v>8.5093034043935534E-2</v>
      </c>
      <c r="CC127" s="59">
        <f t="shared" si="65"/>
        <v>293.41842636737726</v>
      </c>
      <c r="CD127" s="59">
        <f ca="1">AVERAGE(OFFSET($CC$3,0,0,'Données projet'!$E$12+1,1))-AVERAGE(OFFSET($H$3,0,0,'Données projet'!$E$12+1,1))</f>
        <v>246.66630850723385</v>
      </c>
      <c r="CE127" s="59">
        <f t="shared" si="94"/>
        <v>145.34368562171613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1.1368683772161603E-13</v>
      </c>
      <c r="CU127" s="17">
        <f>CT127*VLOOKUP('Données projet'!$B$13,Paramètres!$A$1:$I$89,3,0)*VLOOKUP('Données projet'!$B$13,Paramètres!$A$1:$I$89,5,0)</f>
        <v>8.8675733422860506E-14</v>
      </c>
      <c r="CV127" s="13">
        <f t="shared" si="95"/>
        <v>1.3509285393066301E-12</v>
      </c>
      <c r="CW127" s="20">
        <f t="shared" si="67"/>
        <v>2.5073107750038623E-12</v>
      </c>
      <c r="CX127" s="59">
        <f t="shared" si="68"/>
        <v>293.33333333333582</v>
      </c>
      <c r="CY127" s="59">
        <f ca="1">AVERAGE(OFFSET($CX$3,0,0,'Données projet'!$E$13+1,1))-AVERAGE(OFFSET($H$3,0,0,'Données projet'!$E$13+1,1))</f>
        <v>292.57482726862594</v>
      </c>
      <c r="CZ127" s="59">
        <f t="shared" si="96"/>
        <v>283.48738729114024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3.2</v>
      </c>
      <c r="DO127" s="12">
        <f>IF('Données projet'!$A$166&gt;35,DO126+DN127-DW126,IF(A127&lt;'Données projet'!$A$166,$DL$205^A127,IF(A127='Données projet'!$A$166,'Données projet'!$B$166,DO126+DN127-DW126)))</f>
        <v>280.79999999999944</v>
      </c>
      <c r="DP127" s="17">
        <f>DO127*VLOOKUP('Données projet'!$B$14,Paramètres!$A$1:$I$89,3,0)*VLOOKUP('Données projet'!$B$14,Paramètres!$A$1:$I$89,5,0)</f>
        <v>284.73119999999943</v>
      </c>
      <c r="DQ127" s="13">
        <f t="shared" si="97"/>
        <v>67.965870320050826</v>
      </c>
      <c r="DR127" s="20">
        <f t="shared" si="70"/>
        <v>614.28073080742081</v>
      </c>
      <c r="DS127" s="59">
        <f t="shared" si="71"/>
        <v>907.61406414075418</v>
      </c>
      <c r="DT127" s="59">
        <f ca="1">AVERAGE(OFFSET($DS$3,0,0,'Données projet'!$E$14+1,1))-AVERAGE(OFFSET($H$3,0,0,'Données projet'!$E$14+1,1))</f>
        <v>475.47920969424894</v>
      </c>
      <c r="DU127" s="59">
        <f t="shared" si="98"/>
        <v>271.73544012419364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3.2</v>
      </c>
      <c r="EJ127" s="12">
        <f>IF('Données projet'!$A$192&gt;35,EJ126+EI127-ER126,IF(A127&lt;'Données projet'!$A$192,$EG$205^A127,IF(A127='Données projet'!$A$192,'Données projet'!$B$192,EJ126+EI127-ER126)))</f>
        <v>280.79999999999944</v>
      </c>
      <c r="EK127" s="17">
        <f>EJ127*VLOOKUP('Données projet'!$B$15,Paramètres!$A$1:$I$89,3,0)*VLOOKUP('Données projet'!$B$15,Paramètres!$A$1:$I$89,5,0)</f>
        <v>254.06783999999948</v>
      </c>
      <c r="EL127" s="13">
        <f t="shared" si="99"/>
        <v>61.456187622750612</v>
      </c>
      <c r="EM127" s="20">
        <f t="shared" si="73"/>
        <v>549.53768144295634</v>
      </c>
      <c r="EN127" s="59">
        <f t="shared" si="74"/>
        <v>842.87101477628971</v>
      </c>
      <c r="EO127" s="59">
        <f ca="1">AVERAGE(OFFSET($EN$3,0,0,'Données projet'!$E$15+1,1))-AVERAGE(OFFSET($H$3,0,0,'Données projet'!$E$15+1,1))</f>
        <v>428.8489304403459</v>
      </c>
      <c r="EP127" s="59">
        <f t="shared" si="100"/>
        <v>247.01165577562966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245.25496369542458</v>
      </c>
      <c r="FK127" s="59">
        <f t="shared" si="102"/>
        <v>342.30266518164211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0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 t="e">
        <f>N128*VLOOKUP('Données projet'!$B$9,Paramètres!$A$1:$I$89,3,0)*VLOOKUP('Données projet'!$B$9,Paramètres!$A$1:$I$89,5,0)</f>
        <v>#N/A</v>
      </c>
      <c r="P128" s="13" t="e">
        <f t="shared" si="87"/>
        <v>#N/A</v>
      </c>
      <c r="Q128" s="20" t="e">
        <f t="shared" si="107"/>
        <v>#N/A</v>
      </c>
      <c r="R128" s="59" t="e">
        <f t="shared" si="55"/>
        <v>#N/A</v>
      </c>
      <c r="S128" s="59" t="e">
        <f ca="1">AVERAGE(OFFSET($R$3,0,0,'Données projet'!$E$9+1,1))-AVERAGE(OFFSET($H$3,0,0,'Données projet'!$E$9+1,1))</f>
        <v>#N/A</v>
      </c>
      <c r="T128" s="59" t="e">
        <f t="shared" si="88"/>
        <v>#N/A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 t="e">
        <f>EXP(-LN(2)/35)*Z127+(1-EXP(-LN(2)/35))/(LN(2)/35)*V128*W128*VLOOKUP('Données projet'!$B$9,Paramètres!$A$1:$I$89,3,0)*0.475*44/12</f>
        <v>#N/A</v>
      </c>
      <c r="AA128" s="21" t="e">
        <f>EXP(-LN(2)/25)*AA127+(1-EXP(-LN(2)/25))/(LN(2)/25)*Calculateur!V128*Calculateur!X128*VLOOKUP('Données projet'!$B$9,Paramètres!$A$1:$I$89,3,0)*0.475*44/12</f>
        <v>#N/A</v>
      </c>
      <c r="AB128" s="21" t="e">
        <f>EXP(-LN(2)/2)*AB127+(1-EXP(-LN(2)/2))/(LN(2)/2)*V128*Y128*VLOOKUP('Données projet'!$B$9,Paramètres!$A$1:$I$89,3,0)*0.475*44/12</f>
        <v>#N/A</v>
      </c>
      <c r="AC128" s="22" t="e">
        <f t="shared" si="57"/>
        <v>#N/A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-1.4897523215040567E-13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338.55719679154777</v>
      </c>
      <c r="AO128" s="59">
        <f t="shared" si="90"/>
        <v>371.26234252426531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-2.1636878955177963E-13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351.6178679548006</v>
      </c>
      <c r="BJ128" s="59">
        <f t="shared" si="92"/>
        <v>244.7141066773861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6.1538461538532374E-2</v>
      </c>
      <c r="BZ128" s="13">
        <f>BY128*VLOOKUP('Données projet'!$B$12,Paramètres!$A$1:$I$89,3,0)*VLOOKUP('Données projet'!$B$12,Paramètres!$A$1:$I$89,5,0)</f>
        <v>2.880000000003315E-2</v>
      </c>
      <c r="CA128" s="13">
        <f t="shared" si="93"/>
        <v>2.0057244427106876E-2</v>
      </c>
      <c r="CB128" s="20">
        <f t="shared" si="64"/>
        <v>8.5093034043935534E-2</v>
      </c>
      <c r="CC128" s="59">
        <f t="shared" si="65"/>
        <v>293.41842636737726</v>
      </c>
      <c r="CD128" s="59">
        <f ca="1">AVERAGE(OFFSET($CC$3,0,0,'Données projet'!$E$12+1,1))-AVERAGE(OFFSET($H$3,0,0,'Données projet'!$E$12+1,1))</f>
        <v>246.66630850723385</v>
      </c>
      <c r="CE128" s="59">
        <f t="shared" si="94"/>
        <v>145.34368562171613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1.1368683772161603E-13</v>
      </c>
      <c r="CU128" s="17">
        <f>CT128*VLOOKUP('Données projet'!$B$13,Paramètres!$A$1:$I$89,3,0)*VLOOKUP('Données projet'!$B$13,Paramètres!$A$1:$I$89,5,0)</f>
        <v>8.8675733422860506E-14</v>
      </c>
      <c r="CV128" s="13">
        <f t="shared" si="95"/>
        <v>1.3509285393066301E-12</v>
      </c>
      <c r="CW128" s="20">
        <f t="shared" si="67"/>
        <v>2.5073107750038623E-12</v>
      </c>
      <c r="CX128" s="59">
        <f t="shared" si="68"/>
        <v>293.33333333333582</v>
      </c>
      <c r="CY128" s="59">
        <f ca="1">AVERAGE(OFFSET($CX$3,0,0,'Données projet'!$E$13+1,1))-AVERAGE(OFFSET($H$3,0,0,'Données projet'!$E$13+1,1))</f>
        <v>292.57482726862594</v>
      </c>
      <c r="CZ128" s="59">
        <f t="shared" si="96"/>
        <v>283.48738729114024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3.2</v>
      </c>
      <c r="DO128" s="12">
        <f>IF('Données projet'!$A$166&gt;35,DO127+DN128-DW127,IF(A128&lt;'Données projet'!$A$166,$DL$205^A128,IF(A128='Données projet'!$A$166,'Données projet'!$B$166,DO127+DN128-DW127)))</f>
        <v>283.99999999999943</v>
      </c>
      <c r="DP128" s="17">
        <f>DO128*VLOOKUP('Données projet'!$B$14,Paramètres!$A$1:$I$89,3,0)*VLOOKUP('Données projet'!$B$14,Paramètres!$A$1:$I$89,5,0)</f>
        <v>287.97599999999943</v>
      </c>
      <c r="DQ128" s="13">
        <f t="shared" si="97"/>
        <v>68.649801713863027</v>
      </c>
      <c r="DR128" s="20">
        <f t="shared" si="70"/>
        <v>621.12327131831046</v>
      </c>
      <c r="DS128" s="59">
        <f t="shared" si="71"/>
        <v>914.45660465164383</v>
      </c>
      <c r="DT128" s="59">
        <f ca="1">AVERAGE(OFFSET($DS$3,0,0,'Données projet'!$E$14+1,1))-AVERAGE(OFFSET($H$3,0,0,'Données projet'!$E$14+1,1))</f>
        <v>475.47920969424894</v>
      </c>
      <c r="DU128" s="59">
        <f t="shared" si="98"/>
        <v>271.73544012419364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3.2</v>
      </c>
      <c r="EJ128" s="12">
        <f>IF('Données projet'!$A$192&gt;35,EJ127+EI128-ER127,IF(A128&lt;'Données projet'!$A$192,$EG$205^A128,IF(A128='Données projet'!$A$192,'Données projet'!$B$192,EJ127+EI128-ER127)))</f>
        <v>283.99999999999943</v>
      </c>
      <c r="EK128" s="17">
        <f>EJ128*VLOOKUP('Données projet'!$B$15,Paramètres!$A$1:$I$89,3,0)*VLOOKUP('Données projet'!$B$15,Paramètres!$A$1:$I$89,5,0)</f>
        <v>256.96319999999946</v>
      </c>
      <c r="EL128" s="13">
        <f t="shared" si="99"/>
        <v>62.07461295683791</v>
      </c>
      <c r="EM128" s="20">
        <f t="shared" si="73"/>
        <v>555.65752423315837</v>
      </c>
      <c r="EN128" s="59">
        <f t="shared" si="74"/>
        <v>848.99085756649174</v>
      </c>
      <c r="EO128" s="59">
        <f ca="1">AVERAGE(OFFSET($EN$3,0,0,'Données projet'!$E$15+1,1))-AVERAGE(OFFSET($H$3,0,0,'Données projet'!$E$15+1,1))</f>
        <v>428.8489304403459</v>
      </c>
      <c r="EP128" s="59">
        <f t="shared" si="100"/>
        <v>247.01165577562966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245.25496369542458</v>
      </c>
      <c r="FK128" s="59">
        <f t="shared" si="102"/>
        <v>342.30266518164211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0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 t="e">
        <f>N129*VLOOKUP('Données projet'!$B$9,Paramètres!$A$1:$I$89,3,0)*VLOOKUP('Données projet'!$B$9,Paramètres!$A$1:$I$89,5,0)</f>
        <v>#N/A</v>
      </c>
      <c r="P129" s="13" t="e">
        <f t="shared" si="87"/>
        <v>#N/A</v>
      </c>
      <c r="Q129" s="20" t="e">
        <f t="shared" si="107"/>
        <v>#N/A</v>
      </c>
      <c r="R129" s="59" t="e">
        <f t="shared" si="55"/>
        <v>#N/A</v>
      </c>
      <c r="S129" s="59" t="e">
        <f ca="1">AVERAGE(OFFSET($R$3,0,0,'Données projet'!$E$9+1,1))-AVERAGE(OFFSET($H$3,0,0,'Données projet'!$E$9+1,1))</f>
        <v>#N/A</v>
      </c>
      <c r="T129" s="59" t="e">
        <f t="shared" si="88"/>
        <v>#N/A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 t="e">
        <f>EXP(-LN(2)/35)*Z128+(1-EXP(-LN(2)/35))/(LN(2)/35)*V129*W129*VLOOKUP('Données projet'!$B$9,Paramètres!$A$1:$I$89,3,0)*0.475*44/12</f>
        <v>#N/A</v>
      </c>
      <c r="AA129" s="21" t="e">
        <f>EXP(-LN(2)/25)*AA128+(1-EXP(-LN(2)/25))/(LN(2)/25)*Calculateur!V129*Calculateur!X129*VLOOKUP('Données projet'!$B$9,Paramètres!$A$1:$I$89,3,0)*0.475*44/12</f>
        <v>#N/A</v>
      </c>
      <c r="AB129" s="21" t="e">
        <f>EXP(-LN(2)/2)*AB128+(1-EXP(-LN(2)/2))/(LN(2)/2)*V129*Y129*VLOOKUP('Données projet'!$B$9,Paramètres!$A$1:$I$89,3,0)*0.475*44/12</f>
        <v>#N/A</v>
      </c>
      <c r="AC129" s="22" t="e">
        <f t="shared" si="57"/>
        <v>#N/A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-1.4897523215040567E-13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338.55719679154777</v>
      </c>
      <c r="AO129" s="59">
        <f t="shared" si="90"/>
        <v>371.26234252426531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-2.1636878955177963E-13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351.6178679548006</v>
      </c>
      <c r="BJ129" s="59">
        <f t="shared" si="92"/>
        <v>244.7141066773861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6.1538461538532374E-2</v>
      </c>
      <c r="BZ129" s="13">
        <f>BY129*VLOOKUP('Données projet'!$B$12,Paramètres!$A$1:$I$89,3,0)*VLOOKUP('Données projet'!$B$12,Paramètres!$A$1:$I$89,5,0)</f>
        <v>2.880000000003315E-2</v>
      </c>
      <c r="CA129" s="13">
        <f t="shared" si="93"/>
        <v>2.0057244427106876E-2</v>
      </c>
      <c r="CB129" s="20">
        <f t="shared" si="64"/>
        <v>8.5093034043935534E-2</v>
      </c>
      <c r="CC129" s="59">
        <f t="shared" si="65"/>
        <v>293.41842636737726</v>
      </c>
      <c r="CD129" s="59">
        <f ca="1">AVERAGE(OFFSET($CC$3,0,0,'Données projet'!$E$12+1,1))-AVERAGE(OFFSET($H$3,0,0,'Données projet'!$E$12+1,1))</f>
        <v>246.66630850723385</v>
      </c>
      <c r="CE129" s="59">
        <f t="shared" si="94"/>
        <v>145.34368562171613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1.1368683772161603E-13</v>
      </c>
      <c r="CU129" s="17">
        <f>CT129*VLOOKUP('Données projet'!$B$13,Paramètres!$A$1:$I$89,3,0)*VLOOKUP('Données projet'!$B$13,Paramètres!$A$1:$I$89,5,0)</f>
        <v>8.8675733422860506E-14</v>
      </c>
      <c r="CV129" s="13">
        <f t="shared" si="95"/>
        <v>1.3509285393066301E-12</v>
      </c>
      <c r="CW129" s="20">
        <f t="shared" si="67"/>
        <v>2.5073107750038623E-12</v>
      </c>
      <c r="CX129" s="59">
        <f t="shared" si="68"/>
        <v>293.33333333333582</v>
      </c>
      <c r="CY129" s="59">
        <f ca="1">AVERAGE(OFFSET($CX$3,0,0,'Données projet'!$E$13+1,1))-AVERAGE(OFFSET($H$3,0,0,'Données projet'!$E$13+1,1))</f>
        <v>292.57482726862594</v>
      </c>
      <c r="CZ129" s="59">
        <f t="shared" si="96"/>
        <v>283.48738729114024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3.2</v>
      </c>
      <c r="DO129" s="12">
        <f>IF('Données projet'!$A$166&gt;35,DO128+DN129-DW128,IF(A129&lt;'Données projet'!$A$166,$DL$205^A129,IF(A129='Données projet'!$A$166,'Données projet'!$B$166,DO128+DN129-DW128)))</f>
        <v>287.19999999999942</v>
      </c>
      <c r="DP129" s="17">
        <f>DO129*VLOOKUP('Données projet'!$B$14,Paramètres!$A$1:$I$89,3,0)*VLOOKUP('Données projet'!$B$14,Paramètres!$A$1:$I$89,5,0)</f>
        <v>291.22079999999943</v>
      </c>
      <c r="DQ129" s="13">
        <f t="shared" si="97"/>
        <v>69.33283666585649</v>
      </c>
      <c r="DR129" s="20">
        <f t="shared" si="70"/>
        <v>627.96425052636573</v>
      </c>
      <c r="DS129" s="59">
        <f t="shared" si="71"/>
        <v>921.29758385969899</v>
      </c>
      <c r="DT129" s="59">
        <f ca="1">AVERAGE(OFFSET($DS$3,0,0,'Données projet'!$E$14+1,1))-AVERAGE(OFFSET($H$3,0,0,'Données projet'!$E$14+1,1))</f>
        <v>475.47920969424894</v>
      </c>
      <c r="DU129" s="59">
        <f t="shared" si="98"/>
        <v>271.73544012419364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3.2</v>
      </c>
      <c r="EJ129" s="12">
        <f>IF('Données projet'!$A$192&gt;35,EJ128+EI129-ER128,IF(A129&lt;'Données projet'!$A$192,$EG$205^A129,IF(A129='Données projet'!$A$192,'Données projet'!$B$192,EJ128+EI129-ER128)))</f>
        <v>287.19999999999942</v>
      </c>
      <c r="EK129" s="17">
        <f>EJ129*VLOOKUP('Données projet'!$B$15,Paramètres!$A$1:$I$89,3,0)*VLOOKUP('Données projet'!$B$15,Paramètres!$A$1:$I$89,5,0)</f>
        <v>259.85855999999944</v>
      </c>
      <c r="EL129" s="13">
        <f t="shared" si="99"/>
        <v>62.692227709138365</v>
      </c>
      <c r="EM129" s="20">
        <f t="shared" si="73"/>
        <v>561.77595526008167</v>
      </c>
      <c r="EN129" s="59">
        <f t="shared" si="74"/>
        <v>855.10928859341493</v>
      </c>
      <c r="EO129" s="59">
        <f ca="1">AVERAGE(OFFSET($EN$3,0,0,'Données projet'!$E$15+1,1))-AVERAGE(OFFSET($H$3,0,0,'Données projet'!$E$15+1,1))</f>
        <v>428.8489304403459</v>
      </c>
      <c r="EP129" s="59">
        <f t="shared" si="100"/>
        <v>247.01165577562966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245.25496369542458</v>
      </c>
      <c r="FK129" s="59">
        <f t="shared" si="102"/>
        <v>342.30266518164211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0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 t="e">
        <f>N130*VLOOKUP('Données projet'!$B$9,Paramètres!$A$1:$I$89,3,0)*VLOOKUP('Données projet'!$B$9,Paramètres!$A$1:$I$89,5,0)</f>
        <v>#N/A</v>
      </c>
      <c r="P130" s="13" t="e">
        <f t="shared" si="87"/>
        <v>#N/A</v>
      </c>
      <c r="Q130" s="20" t="e">
        <f t="shared" si="107"/>
        <v>#N/A</v>
      </c>
      <c r="R130" s="59" t="e">
        <f t="shared" si="55"/>
        <v>#N/A</v>
      </c>
      <c r="S130" s="59" t="e">
        <f ca="1">AVERAGE(OFFSET($R$3,0,0,'Données projet'!$E$9+1,1))-AVERAGE(OFFSET($H$3,0,0,'Données projet'!$E$9+1,1))</f>
        <v>#N/A</v>
      </c>
      <c r="T130" s="59" t="e">
        <f t="shared" si="88"/>
        <v>#N/A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 t="e">
        <f>EXP(-LN(2)/35)*Z129+(1-EXP(-LN(2)/35))/(LN(2)/35)*V130*W130*VLOOKUP('Données projet'!$B$9,Paramètres!$A$1:$I$89,3,0)*0.475*44/12</f>
        <v>#N/A</v>
      </c>
      <c r="AA130" s="21" t="e">
        <f>EXP(-LN(2)/25)*AA129+(1-EXP(-LN(2)/25))/(LN(2)/25)*Calculateur!V130*Calculateur!X130*VLOOKUP('Données projet'!$B$9,Paramètres!$A$1:$I$89,3,0)*0.475*44/12</f>
        <v>#N/A</v>
      </c>
      <c r="AB130" s="21" t="e">
        <f>EXP(-LN(2)/2)*AB129+(1-EXP(-LN(2)/2))/(LN(2)/2)*V130*Y130*VLOOKUP('Données projet'!$B$9,Paramètres!$A$1:$I$89,3,0)*0.475*44/12</f>
        <v>#N/A</v>
      </c>
      <c r="AC130" s="22" t="e">
        <f t="shared" si="57"/>
        <v>#N/A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-1.4897523215040567E-13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338.55719679154777</v>
      </c>
      <c r="AO130" s="59">
        <f t="shared" si="90"/>
        <v>371.26234252426531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-2.1636878955177963E-13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351.6178679548006</v>
      </c>
      <c r="BJ130" s="59">
        <f t="shared" si="92"/>
        <v>244.7141066773861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6.1538461538532374E-2</v>
      </c>
      <c r="BZ130" s="13">
        <f>BY130*VLOOKUP('Données projet'!$B$12,Paramètres!$A$1:$I$89,3,0)*VLOOKUP('Données projet'!$B$12,Paramètres!$A$1:$I$89,5,0)</f>
        <v>2.880000000003315E-2</v>
      </c>
      <c r="CA130" s="13">
        <f t="shared" si="93"/>
        <v>2.0057244427106876E-2</v>
      </c>
      <c r="CB130" s="20">
        <f t="shared" si="64"/>
        <v>8.5093034043935534E-2</v>
      </c>
      <c r="CC130" s="59">
        <f t="shared" si="65"/>
        <v>293.41842636737726</v>
      </c>
      <c r="CD130" s="59">
        <f ca="1">AVERAGE(OFFSET($CC$3,0,0,'Données projet'!$E$12+1,1))-AVERAGE(OFFSET($H$3,0,0,'Données projet'!$E$12+1,1))</f>
        <v>246.66630850723385</v>
      </c>
      <c r="CE130" s="59">
        <f t="shared" si="94"/>
        <v>145.34368562171613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1.1368683772161603E-13</v>
      </c>
      <c r="CU130" s="17">
        <f>CT130*VLOOKUP('Données projet'!$B$13,Paramètres!$A$1:$I$89,3,0)*VLOOKUP('Données projet'!$B$13,Paramètres!$A$1:$I$89,5,0)</f>
        <v>8.8675733422860506E-14</v>
      </c>
      <c r="CV130" s="13">
        <f t="shared" si="95"/>
        <v>1.3509285393066301E-12</v>
      </c>
      <c r="CW130" s="20">
        <f t="shared" si="67"/>
        <v>2.5073107750038623E-12</v>
      </c>
      <c r="CX130" s="59">
        <f t="shared" si="68"/>
        <v>293.33333333333582</v>
      </c>
      <c r="CY130" s="59">
        <f ca="1">AVERAGE(OFFSET($CX$3,0,0,'Données projet'!$E$13+1,1))-AVERAGE(OFFSET($H$3,0,0,'Données projet'!$E$13+1,1))</f>
        <v>292.57482726862594</v>
      </c>
      <c r="CZ130" s="59">
        <f t="shared" si="96"/>
        <v>283.48738729114024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3.2</v>
      </c>
      <c r="DO130" s="12">
        <f>IF('Données projet'!$A$166&gt;35,DO129+DN130-DW129,IF(A130&lt;'Données projet'!$A$166,$DL$205^A130,IF(A130='Données projet'!$A$166,'Données projet'!$B$166,DO129+DN130-DW129)))</f>
        <v>290.39999999999941</v>
      </c>
      <c r="DP130" s="17">
        <f>DO130*VLOOKUP('Données projet'!$B$14,Paramètres!$A$1:$I$89,3,0)*VLOOKUP('Données projet'!$B$14,Paramètres!$A$1:$I$89,5,0)</f>
        <v>294.46559999999943</v>
      </c>
      <c r="DQ130" s="13">
        <f t="shared" si="97"/>
        <v>70.0149863201041</v>
      </c>
      <c r="DR130" s="20">
        <f t="shared" si="70"/>
        <v>634.80368784084692</v>
      </c>
      <c r="DS130" s="59">
        <f t="shared" si="71"/>
        <v>928.13702117418029</v>
      </c>
      <c r="DT130" s="59">
        <f ca="1">AVERAGE(OFFSET($DS$3,0,0,'Données projet'!$E$14+1,1))-AVERAGE(OFFSET($H$3,0,0,'Données projet'!$E$14+1,1))</f>
        <v>475.47920969424894</v>
      </c>
      <c r="DU130" s="59">
        <f t="shared" si="98"/>
        <v>271.73544012419364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3.2</v>
      </c>
      <c r="EJ130" s="12">
        <f>IF('Données projet'!$A$192&gt;35,EJ129+EI130-ER129,IF(A130&lt;'Données projet'!$A$192,$EG$205^A130,IF(A130='Données projet'!$A$192,'Données projet'!$B$192,EJ129+EI130-ER129)))</f>
        <v>290.39999999999941</v>
      </c>
      <c r="EK130" s="17">
        <f>EJ130*VLOOKUP('Données projet'!$B$15,Paramètres!$A$1:$I$89,3,0)*VLOOKUP('Données projet'!$B$15,Paramètres!$A$1:$I$89,5,0)</f>
        <v>262.75391999999948</v>
      </c>
      <c r="EL130" s="13">
        <f t="shared" si="99"/>
        <v>63.309041956360211</v>
      </c>
      <c r="EM130" s="20">
        <f t="shared" si="73"/>
        <v>567.89299207399313</v>
      </c>
      <c r="EN130" s="59">
        <f t="shared" si="74"/>
        <v>861.22632540732639</v>
      </c>
      <c r="EO130" s="59">
        <f ca="1">AVERAGE(OFFSET($EN$3,0,0,'Données projet'!$E$15+1,1))-AVERAGE(OFFSET($H$3,0,0,'Données projet'!$E$15+1,1))</f>
        <v>428.8489304403459</v>
      </c>
      <c r="EP130" s="59">
        <f t="shared" si="100"/>
        <v>247.01165577562966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245.25496369542458</v>
      </c>
      <c r="FK130" s="59">
        <f t="shared" si="102"/>
        <v>342.30266518164211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0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 t="e">
        <f>N131*VLOOKUP('Données projet'!$B$9,Paramètres!$A$1:$I$89,3,0)*VLOOKUP('Données projet'!$B$9,Paramètres!$A$1:$I$89,5,0)</f>
        <v>#N/A</v>
      </c>
      <c r="P131" s="13" t="e">
        <f t="shared" si="87"/>
        <v>#N/A</v>
      </c>
      <c r="Q131" s="20" t="e">
        <f t="shared" ref="Q131:Q153" si="108">(O131+P131)*0.475*44/12</f>
        <v>#N/A</v>
      </c>
      <c r="R131" s="59" t="e">
        <f t="shared" ref="R131:R194" si="109">Q131+(I131+J131)*44/12</f>
        <v>#N/A</v>
      </c>
      <c r="S131" s="59" t="e">
        <f ca="1">AVERAGE(OFFSET($R$3,0,0,'Données projet'!$E$9+1,1))-AVERAGE(OFFSET($H$3,0,0,'Données projet'!$E$9+1,1))</f>
        <v>#N/A</v>
      </c>
      <c r="T131" s="59" t="e">
        <f t="shared" si="88"/>
        <v>#N/A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 t="e">
        <f>EXP(-LN(2)/35)*Z130+(1-EXP(-LN(2)/35))/(LN(2)/35)*V131*W131*VLOOKUP('Données projet'!$B$9,Paramètres!$A$1:$I$89,3,0)*0.475*44/12</f>
        <v>#N/A</v>
      </c>
      <c r="AA131" s="21" t="e">
        <f>EXP(-LN(2)/25)*AA130+(1-EXP(-LN(2)/25))/(LN(2)/25)*Calculateur!V131*Calculateur!X131*VLOOKUP('Données projet'!$B$9,Paramètres!$A$1:$I$89,3,0)*0.475*44/12</f>
        <v>#N/A</v>
      </c>
      <c r="AB131" s="21" t="e">
        <f>EXP(-LN(2)/2)*AB130+(1-EXP(-LN(2)/2))/(LN(2)/2)*V131*Y131*VLOOKUP('Données projet'!$B$9,Paramètres!$A$1:$I$89,3,0)*0.475*44/12</f>
        <v>#N/A</v>
      </c>
      <c r="AC131" s="22" t="e">
        <f t="shared" si="57"/>
        <v>#N/A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-1.4897523215040567E-13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338.55719679154777</v>
      </c>
      <c r="AO131" s="59">
        <f t="shared" si="90"/>
        <v>371.26234252426531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-2.1636878955177963E-13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351.6178679548006</v>
      </c>
      <c r="BJ131" s="59">
        <f t="shared" si="92"/>
        <v>244.7141066773861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6.1538461538532374E-2</v>
      </c>
      <c r="BZ131" s="13">
        <f>BY131*VLOOKUP('Données projet'!$B$12,Paramètres!$A$1:$I$89,3,0)*VLOOKUP('Données projet'!$B$12,Paramètres!$A$1:$I$89,5,0)</f>
        <v>2.880000000003315E-2</v>
      </c>
      <c r="CA131" s="13">
        <f t="shared" si="93"/>
        <v>2.0057244427106876E-2</v>
      </c>
      <c r="CB131" s="20">
        <f t="shared" si="64"/>
        <v>8.5093034043935534E-2</v>
      </c>
      <c r="CC131" s="59">
        <f t="shared" si="65"/>
        <v>293.41842636737726</v>
      </c>
      <c r="CD131" s="59">
        <f ca="1">AVERAGE(OFFSET($CC$3,0,0,'Données projet'!$E$12+1,1))-AVERAGE(OFFSET($H$3,0,0,'Données projet'!$E$12+1,1))</f>
        <v>246.66630850723385</v>
      </c>
      <c r="CE131" s="59">
        <f t="shared" si="94"/>
        <v>145.34368562171613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1.1368683772161603E-13</v>
      </c>
      <c r="CU131" s="17">
        <f>CT131*VLOOKUP('Données projet'!$B$13,Paramètres!$A$1:$I$89,3,0)*VLOOKUP('Données projet'!$B$13,Paramètres!$A$1:$I$89,5,0)</f>
        <v>8.8675733422860506E-14</v>
      </c>
      <c r="CV131" s="13">
        <f t="shared" si="95"/>
        <v>1.3509285393066301E-12</v>
      </c>
      <c r="CW131" s="20">
        <f t="shared" si="67"/>
        <v>2.5073107750038623E-12</v>
      </c>
      <c r="CX131" s="59">
        <f t="shared" si="68"/>
        <v>293.33333333333582</v>
      </c>
      <c r="CY131" s="59">
        <f ca="1">AVERAGE(OFFSET($CX$3,0,0,'Données projet'!$E$13+1,1))-AVERAGE(OFFSET($H$3,0,0,'Données projet'!$E$13+1,1))</f>
        <v>292.57482726862594</v>
      </c>
      <c r="CZ131" s="59">
        <f t="shared" si="96"/>
        <v>283.48738729114024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3.2</v>
      </c>
      <c r="DO131" s="12">
        <f>IF('Données projet'!$A$166&gt;35,DO130+DN131-DW130,IF(A131&lt;'Données projet'!$A$166,$DL$205^A131,IF(A131='Données projet'!$A$166,'Données projet'!$B$166,DO130+DN131-DW130)))</f>
        <v>293.5999999999994</v>
      </c>
      <c r="DP131" s="17">
        <f>DO131*VLOOKUP('Données projet'!$B$14,Paramètres!$A$1:$I$89,3,0)*VLOOKUP('Données projet'!$B$14,Paramètres!$A$1:$I$89,5,0)</f>
        <v>297.71039999999937</v>
      </c>
      <c r="DQ131" s="13">
        <f t="shared" si="97"/>
        <v>70.696261560936534</v>
      </c>
      <c r="DR131" s="20">
        <f t="shared" si="70"/>
        <v>641.64160221862994</v>
      </c>
      <c r="DS131" s="59">
        <f t="shared" si="71"/>
        <v>934.9749355519632</v>
      </c>
      <c r="DT131" s="59">
        <f ca="1">AVERAGE(OFFSET($DS$3,0,0,'Données projet'!$E$14+1,1))-AVERAGE(OFFSET($H$3,0,0,'Données projet'!$E$14+1,1))</f>
        <v>475.47920969424894</v>
      </c>
      <c r="DU131" s="59">
        <f t="shared" si="98"/>
        <v>271.73544012419364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3.2</v>
      </c>
      <c r="EJ131" s="12">
        <f>IF('Données projet'!$A$192&gt;35,EJ130+EI131-ER130,IF(A131&lt;'Données projet'!$A$192,$EG$205^A131,IF(A131='Données projet'!$A$192,'Données projet'!$B$192,EJ130+EI131-ER130)))</f>
        <v>293.5999999999994</v>
      </c>
      <c r="EK131" s="17">
        <f>EJ131*VLOOKUP('Données projet'!$B$15,Paramètres!$A$1:$I$89,3,0)*VLOOKUP('Données projet'!$B$15,Paramètres!$A$1:$I$89,5,0)</f>
        <v>265.64927999999946</v>
      </c>
      <c r="EL131" s="13">
        <f t="shared" si="99"/>
        <v>63.925065540346907</v>
      </c>
      <c r="EM131" s="20">
        <f t="shared" si="73"/>
        <v>574.00865181610322</v>
      </c>
      <c r="EN131" s="59">
        <f t="shared" si="74"/>
        <v>867.3419851494366</v>
      </c>
      <c r="EO131" s="59">
        <f ca="1">AVERAGE(OFFSET($EN$3,0,0,'Données projet'!$E$15+1,1))-AVERAGE(OFFSET($H$3,0,0,'Données projet'!$E$15+1,1))</f>
        <v>428.8489304403459</v>
      </c>
      <c r="EP131" s="59">
        <f t="shared" si="100"/>
        <v>247.01165577562966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245.25496369542458</v>
      </c>
      <c r="FK131" s="59">
        <f t="shared" si="102"/>
        <v>342.30266518164211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0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 t="e">
        <f>N132*VLOOKUP('Données projet'!$B$9,Paramètres!$A$1:$I$89,3,0)*VLOOKUP('Données projet'!$B$9,Paramètres!$A$1:$I$89,5,0)</f>
        <v>#N/A</v>
      </c>
      <c r="P132" s="13" t="e">
        <f t="shared" si="87"/>
        <v>#N/A</v>
      </c>
      <c r="Q132" s="20" t="e">
        <f t="shared" si="108"/>
        <v>#N/A</v>
      </c>
      <c r="R132" s="59" t="e">
        <f t="shared" si="109"/>
        <v>#N/A</v>
      </c>
      <c r="S132" s="59" t="e">
        <f ca="1">AVERAGE(OFFSET($R$3,0,0,'Données projet'!$E$9+1,1))-AVERAGE(OFFSET($H$3,0,0,'Données projet'!$E$9+1,1))</f>
        <v>#N/A</v>
      </c>
      <c r="T132" s="59" t="e">
        <f t="shared" si="88"/>
        <v>#N/A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 t="e">
        <f>EXP(-LN(2)/35)*Z131+(1-EXP(-LN(2)/35))/(LN(2)/35)*V132*W132*VLOOKUP('Données projet'!$B$9,Paramètres!$A$1:$I$89,3,0)*0.475*44/12</f>
        <v>#N/A</v>
      </c>
      <c r="AA132" s="21" t="e">
        <f>EXP(-LN(2)/25)*AA131+(1-EXP(-LN(2)/25))/(LN(2)/25)*Calculateur!V132*Calculateur!X132*VLOOKUP('Données projet'!$B$9,Paramètres!$A$1:$I$89,3,0)*0.475*44/12</f>
        <v>#N/A</v>
      </c>
      <c r="AB132" s="21" t="e">
        <f>EXP(-LN(2)/2)*AB131+(1-EXP(-LN(2)/2))/(LN(2)/2)*V132*Y132*VLOOKUP('Données projet'!$B$9,Paramètres!$A$1:$I$89,3,0)*0.475*44/12</f>
        <v>#N/A</v>
      </c>
      <c r="AC132" s="22" t="e">
        <f t="shared" ref="AC132:AC153" si="111">SUM(Z132:AB132)</f>
        <v>#N/A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-1.4897523215040567E-13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338.55719679154777</v>
      </c>
      <c r="AO132" s="59">
        <f t="shared" si="90"/>
        <v>371.26234252426531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-2.1636878955177963E-13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351.6178679548006</v>
      </c>
      <c r="BJ132" s="59">
        <f t="shared" si="92"/>
        <v>244.7141066773861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6.1538461538532374E-2</v>
      </c>
      <c r="BZ132" s="13">
        <f>BY132*VLOOKUP('Données projet'!$B$12,Paramètres!$A$1:$I$89,3,0)*VLOOKUP('Données projet'!$B$12,Paramètres!$A$1:$I$89,5,0)</f>
        <v>2.880000000003315E-2</v>
      </c>
      <c r="CA132" s="13">
        <f t="shared" si="93"/>
        <v>2.0057244427106876E-2</v>
      </c>
      <c r="CB132" s="20">
        <f t="shared" ref="CB132:CB153" si="118">(BZ132+CA132)*0.475*44/12</f>
        <v>8.5093034043935534E-2</v>
      </c>
      <c r="CC132" s="59">
        <f t="shared" ref="CC132:CC195" si="119">CB132+(BT132+BU132)*44/12</f>
        <v>293.41842636737726</v>
      </c>
      <c r="CD132" s="59">
        <f ca="1">AVERAGE(OFFSET($CC$3,0,0,'Données projet'!$E$12+1,1))-AVERAGE(OFFSET($H$3,0,0,'Données projet'!$E$12+1,1))</f>
        <v>246.66630850723385</v>
      </c>
      <c r="CE132" s="59">
        <f t="shared" si="94"/>
        <v>145.34368562171613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1.1368683772161603E-13</v>
      </c>
      <c r="CU132" s="17">
        <f>CT132*VLOOKUP('Données projet'!$B$13,Paramètres!$A$1:$I$89,3,0)*VLOOKUP('Données projet'!$B$13,Paramètres!$A$1:$I$89,5,0)</f>
        <v>8.8675733422860506E-14</v>
      </c>
      <c r="CV132" s="13">
        <f t="shared" si="95"/>
        <v>1.3509285393066301E-12</v>
      </c>
      <c r="CW132" s="20">
        <f t="shared" ref="CW132:CW153" si="121">(CU132+CV132)*0.475*44/12</f>
        <v>2.5073107750038623E-12</v>
      </c>
      <c r="CX132" s="59">
        <f t="shared" ref="CX132:CX195" si="122">CW132+(CO132+CP132)*44/12</f>
        <v>293.33333333333582</v>
      </c>
      <c r="CY132" s="59">
        <f ca="1">AVERAGE(OFFSET($CX$3,0,0,'Données projet'!$E$13+1,1))-AVERAGE(OFFSET($H$3,0,0,'Données projet'!$E$13+1,1))</f>
        <v>292.57482726862594</v>
      </c>
      <c r="CZ132" s="59">
        <f t="shared" si="96"/>
        <v>283.48738729114024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3.2</v>
      </c>
      <c r="DO132" s="12">
        <f>IF('Données projet'!$A$166&gt;35,DO131+DN132-DW131,IF(A132&lt;'Données projet'!$A$166,$DL$205^A132,IF(A132='Données projet'!$A$166,'Données projet'!$B$166,DO131+DN132-DW131)))</f>
        <v>296.79999999999939</v>
      </c>
      <c r="DP132" s="17">
        <f>DO132*VLOOKUP('Données projet'!$B$14,Paramètres!$A$1:$I$89,3,0)*VLOOKUP('Données projet'!$B$14,Paramètres!$A$1:$I$89,5,0)</f>
        <v>300.95519999999942</v>
      </c>
      <c r="DQ132" s="13">
        <f t="shared" si="97"/>
        <v>71.376673021759657</v>
      </c>
      <c r="DR132" s="20">
        <f t="shared" ref="DR132:DR153" si="124">(DP132+DQ132)*0.475*44/12</f>
        <v>648.47801217956373</v>
      </c>
      <c r="DS132" s="59">
        <f t="shared" ref="DS132:DS195" si="125">DR132+(DJ132+DK132)*44/12</f>
        <v>941.81134551289711</v>
      </c>
      <c r="DT132" s="59">
        <f ca="1">AVERAGE(OFFSET($DS$3,0,0,'Données projet'!$E$14+1,1))-AVERAGE(OFFSET($H$3,0,0,'Données projet'!$E$14+1,1))</f>
        <v>475.47920969424894</v>
      </c>
      <c r="DU132" s="59">
        <f t="shared" si="98"/>
        <v>271.73544012419364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3.2</v>
      </c>
      <c r="EJ132" s="12">
        <f>IF('Données projet'!$A$192&gt;35,EJ131+EI132-ER131,IF(A132&lt;'Données projet'!$A$192,$EG$205^A132,IF(A132='Données projet'!$A$192,'Données projet'!$B$192,EJ131+EI132-ER131)))</f>
        <v>296.79999999999939</v>
      </c>
      <c r="EK132" s="17">
        <f>EJ132*VLOOKUP('Données projet'!$B$15,Paramètres!$A$1:$I$89,3,0)*VLOOKUP('Données projet'!$B$15,Paramètres!$A$1:$I$89,5,0)</f>
        <v>268.54463999999945</v>
      </c>
      <c r="EL132" s="13">
        <f t="shared" si="99"/>
        <v>64.540308076050593</v>
      </c>
      <c r="EM132" s="20">
        <f t="shared" ref="EM132:EM153" si="127">(EK132+EL132)*0.475*44/12</f>
        <v>580.12295123245383</v>
      </c>
      <c r="EN132" s="59">
        <f t="shared" ref="EN132:EN195" si="128">EM132+(EE132+EF132)*44/12</f>
        <v>873.4562845657872</v>
      </c>
      <c r="EO132" s="59">
        <f ca="1">AVERAGE(OFFSET($EN$3,0,0,'Données projet'!$E$15+1,1))-AVERAGE(OFFSET($H$3,0,0,'Données projet'!$E$15+1,1))</f>
        <v>428.8489304403459</v>
      </c>
      <c r="EP132" s="59">
        <f t="shared" si="100"/>
        <v>247.01165577562966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245.25496369542458</v>
      </c>
      <c r="FK132" s="59">
        <f t="shared" si="102"/>
        <v>342.30266518164211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0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 t="e">
        <f>N133*VLOOKUP('Données projet'!$B$9,Paramètres!$A$1:$I$89,3,0)*VLOOKUP('Données projet'!$B$9,Paramètres!$A$1:$I$89,5,0)</f>
        <v>#N/A</v>
      </c>
      <c r="P133" s="13" t="e">
        <f t="shared" ref="P133:P196" si="141">EXP(-1.0587+0.8836*LN(O133)+0.284)</f>
        <v>#N/A</v>
      </c>
      <c r="Q133" s="20" t="e">
        <f t="shared" si="108"/>
        <v>#N/A</v>
      </c>
      <c r="R133" s="59" t="e">
        <f t="shared" si="109"/>
        <v>#N/A</v>
      </c>
      <c r="S133" s="59" t="e">
        <f ca="1">AVERAGE(OFFSET($R$3,0,0,'Données projet'!$E$9+1,1))-AVERAGE(OFFSET($H$3,0,0,'Données projet'!$E$9+1,1))</f>
        <v>#N/A</v>
      </c>
      <c r="T133" s="59" t="e">
        <f t="shared" ref="T133:T196" si="142">$T$3</f>
        <v>#N/A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 t="e">
        <f>EXP(-LN(2)/35)*Z132+(1-EXP(-LN(2)/35))/(LN(2)/35)*V133*W133*VLOOKUP('Données projet'!$B$9,Paramètres!$A$1:$I$89,3,0)*0.475*44/12</f>
        <v>#N/A</v>
      </c>
      <c r="AA133" s="21" t="e">
        <f>EXP(-LN(2)/25)*AA132+(1-EXP(-LN(2)/25))/(LN(2)/25)*Calculateur!V133*Calculateur!X133*VLOOKUP('Données projet'!$B$9,Paramètres!$A$1:$I$89,3,0)*0.475*44/12</f>
        <v>#N/A</v>
      </c>
      <c r="AB133" s="21" t="e">
        <f>EXP(-LN(2)/2)*AB132+(1-EXP(-LN(2)/2))/(LN(2)/2)*V133*Y133*VLOOKUP('Données projet'!$B$9,Paramètres!$A$1:$I$89,3,0)*0.475*44/12</f>
        <v>#N/A</v>
      </c>
      <c r="AC133" s="22" t="e">
        <f t="shared" si="111"/>
        <v>#N/A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-1.4897523215040567E-13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338.55719679154777</v>
      </c>
      <c r="AO133" s="59">
        <f t="shared" ref="AO133:AO196" si="144">$AO$3</f>
        <v>371.26234252426531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-2.1636878955177963E-13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351.6178679548006</v>
      </c>
      <c r="BJ133" s="59">
        <f t="shared" ref="BJ133:BJ196" si="146">$BJ$3</f>
        <v>244.7141066773861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6.1538461538532374E-2</v>
      </c>
      <c r="BZ133" s="13">
        <f>BY133*VLOOKUP('Données projet'!$B$12,Paramètres!$A$1:$I$89,3,0)*VLOOKUP('Données projet'!$B$12,Paramètres!$A$1:$I$89,5,0)</f>
        <v>2.880000000003315E-2</v>
      </c>
      <c r="CA133" s="13">
        <f t="shared" ref="CA133:CA153" si="147">EXP(-1.0587+0.8836*LN(BZ133)+0.284)</f>
        <v>2.0057244427106876E-2</v>
      </c>
      <c r="CB133" s="20">
        <f t="shared" si="118"/>
        <v>8.5093034043935534E-2</v>
      </c>
      <c r="CC133" s="59">
        <f t="shared" si="119"/>
        <v>293.41842636737726</v>
      </c>
      <c r="CD133" s="59">
        <f ca="1">AVERAGE(OFFSET($CC$3,0,0,'Données projet'!$E$12+1,1))-AVERAGE(OFFSET($H$3,0,0,'Données projet'!$E$12+1,1))</f>
        <v>246.66630850723385</v>
      </c>
      <c r="CE133" s="59">
        <f t="shared" ref="CE133:CE196" si="148">$CE$3</f>
        <v>145.34368562171613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1.1368683772161603E-13</v>
      </c>
      <c r="CU133" s="17">
        <f>CT133*VLOOKUP('Données projet'!$B$13,Paramètres!$A$1:$I$89,3,0)*VLOOKUP('Données projet'!$B$13,Paramètres!$A$1:$I$89,5,0)</f>
        <v>8.8675733422860506E-14</v>
      </c>
      <c r="CV133" s="13">
        <f t="shared" ref="CV133:CV153" si="149">EXP(-1.0587+0.8836*LN(CU133)+0.284)</f>
        <v>1.3509285393066301E-12</v>
      </c>
      <c r="CW133" s="20">
        <f t="shared" si="121"/>
        <v>2.5073107750038623E-12</v>
      </c>
      <c r="CX133" s="59">
        <f t="shared" si="122"/>
        <v>293.33333333333582</v>
      </c>
      <c r="CY133" s="59">
        <f ca="1">AVERAGE(OFFSET($CX$3,0,0,'Données projet'!$E$13+1,1))-AVERAGE(OFFSET($H$3,0,0,'Données projet'!$E$13+1,1))</f>
        <v>292.57482726862594</v>
      </c>
      <c r="CZ133" s="59">
        <f t="shared" ref="CZ133:CZ196" si="150">$CZ$3</f>
        <v>283.48738729114024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>
        <f>VLOOKUP(A133,'Données projet'!$A$165:$I$185,2,0)</f>
        <v>300</v>
      </c>
      <c r="DM133" s="12">
        <f>VLOOKUP(A133,'Données projet'!$A$165:$I$185,9,0)</f>
        <v>3.2</v>
      </c>
      <c r="DN133" s="12">
        <f t="array" ref="DN133">INDEX(DM:DM,MIN(IF(ISNUMBER(DM133:DM329),ROW(DM133:DM329),"")))</f>
        <v>3.2</v>
      </c>
      <c r="DO133" s="12">
        <f>IF('Données projet'!$A$166&gt;35,DO132+DN133-DW132,IF(A133&lt;'Données projet'!$A$166,$DL$205^A133,IF(A133='Données projet'!$A$166,'Données projet'!$B$166,DO132+DN133-DW132)))</f>
        <v>299.99999999999937</v>
      </c>
      <c r="DP133" s="17">
        <f>DO133*VLOOKUP('Données projet'!$B$14,Paramètres!$A$1:$I$89,3,0)*VLOOKUP('Données projet'!$B$14,Paramètres!$A$1:$I$89,5,0)</f>
        <v>304.19999999999936</v>
      </c>
      <c r="DQ133" s="13">
        <f t="shared" ref="DQ133:DQ153" si="151">EXP(-1.0587+0.8836*LN(DP133)+0.284)</f>
        <v>72.056231093480946</v>
      </c>
      <c r="DR133" s="20">
        <f t="shared" si="124"/>
        <v>655.31293582114483</v>
      </c>
      <c r="DS133" s="59">
        <f t="shared" si="125"/>
        <v>948.6462691544782</v>
      </c>
      <c r="DT133" s="59">
        <f ca="1">AVERAGE(OFFSET($DS$3,0,0,'Données projet'!$E$14+1,1))-AVERAGE(OFFSET($H$3,0,0,'Données projet'!$E$14+1,1))</f>
        <v>475.47920969424894</v>
      </c>
      <c r="DU133" s="59">
        <f t="shared" ref="DU133:DU196" si="152">$DU$3</f>
        <v>271.73544012419364</v>
      </c>
      <c r="DV133" s="15">
        <f>IF(ISNA(VLOOKUP(A133,'Données projet'!$A$165:$I$185,3,0)),0,VLOOKUP(A133,'Données projet'!$A$165:$I$185,3,0))</f>
        <v>11</v>
      </c>
      <c r="DW133" s="15">
        <f>IF(ISNA(VLOOKUP(A133,'Données projet'!$A$165:$I$185,4,0)),0,VLOOKUP(A133,'Données projet'!$A$165:$I$185,4,0))</f>
        <v>31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>
        <f>VLOOKUP(A133,'Données projet'!$A$191:$I$211,2,0)</f>
        <v>300</v>
      </c>
      <c r="EH133" s="12">
        <f>VLOOKUP(A133,'Données projet'!$A$191:$I$211,9,0)</f>
        <v>3.2</v>
      </c>
      <c r="EI133" s="12">
        <f t="array" ref="EI133">INDEX(EH:EH,MIN(IF(ISNUMBER(EH133:EH329),ROW(EH133:EH329),"")))</f>
        <v>3.2</v>
      </c>
      <c r="EJ133" s="12">
        <f>IF('Données projet'!$A$192&gt;35,EJ132+EI133-ER132,IF(A133&lt;'Données projet'!$A$192,$EG$205^A133,IF(A133='Données projet'!$A$192,'Données projet'!$B$192,EJ132+EI133-ER132)))</f>
        <v>299.99999999999937</v>
      </c>
      <c r="EK133" s="17">
        <f>EJ133*VLOOKUP('Données projet'!$B$15,Paramètres!$A$1:$I$89,3,0)*VLOOKUP('Données projet'!$B$15,Paramètres!$A$1:$I$89,5,0)</f>
        <v>271.43999999999943</v>
      </c>
      <c r="EL133" s="13">
        <f t="shared" ref="EL133:EL153" si="153">EXP(-1.0587+0.8836*LN(EK133)+0.284)</f>
        <v>65.154778959151116</v>
      </c>
      <c r="EM133" s="20">
        <f t="shared" si="127"/>
        <v>586.23590668718714</v>
      </c>
      <c r="EN133" s="59">
        <f t="shared" si="128"/>
        <v>879.56924002052051</v>
      </c>
      <c r="EO133" s="59">
        <f ca="1">AVERAGE(OFFSET($EN$3,0,0,'Données projet'!$E$15+1,1))-AVERAGE(OFFSET($H$3,0,0,'Données projet'!$E$15+1,1))</f>
        <v>428.8489304403459</v>
      </c>
      <c r="EP133" s="59">
        <f t="shared" ref="EP133:EP196" si="154">$EP$3</f>
        <v>247.01165577562966</v>
      </c>
      <c r="EQ133" s="15">
        <f>IF(ISNA(VLOOKUP(A133,'Données projet'!$A$191:$I$211,3,0)),0,VLOOKUP(A133,'Données projet'!$A$191:$I$211,3,0))</f>
        <v>11</v>
      </c>
      <c r="ER133" s="15">
        <f>IF(ISNA(VLOOKUP(A133,'Données projet'!$A$191:$I$211,4,0)),0,VLOOKUP(A133,'Données projet'!$A$191:$I$211,4,0))</f>
        <v>31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245.25496369542458</v>
      </c>
      <c r="FK133" s="59">
        <f t="shared" ref="FK133:FK196" si="156">$FK$3</f>
        <v>342.30266518164211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0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 t="e">
        <f>N134*VLOOKUP('Données projet'!$B$9,Paramètres!$A$1:$I$89,3,0)*VLOOKUP('Données projet'!$B$9,Paramètres!$A$1:$I$89,5,0)</f>
        <v>#N/A</v>
      </c>
      <c r="P134" s="13" t="e">
        <f t="shared" si="141"/>
        <v>#N/A</v>
      </c>
      <c r="Q134" s="20" t="e">
        <f t="shared" si="108"/>
        <v>#N/A</v>
      </c>
      <c r="R134" s="59" t="e">
        <f t="shared" si="109"/>
        <v>#N/A</v>
      </c>
      <c r="S134" s="59" t="e">
        <f ca="1">AVERAGE(OFFSET($R$3,0,0,'Données projet'!$E$9+1,1))-AVERAGE(OFFSET($H$3,0,0,'Données projet'!$E$9+1,1))</f>
        <v>#N/A</v>
      </c>
      <c r="T134" s="59" t="e">
        <f t="shared" si="142"/>
        <v>#N/A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 t="e">
        <f>EXP(-LN(2)/35)*Z133+(1-EXP(-LN(2)/35))/(LN(2)/35)*V134*W134*VLOOKUP('Données projet'!$B$9,Paramètres!$A$1:$I$89,3,0)*0.475*44/12</f>
        <v>#N/A</v>
      </c>
      <c r="AA134" s="21" t="e">
        <f>EXP(-LN(2)/25)*AA133+(1-EXP(-LN(2)/25))/(LN(2)/25)*Calculateur!V134*Calculateur!X134*VLOOKUP('Données projet'!$B$9,Paramètres!$A$1:$I$89,3,0)*0.475*44/12</f>
        <v>#N/A</v>
      </c>
      <c r="AB134" s="21" t="e">
        <f>EXP(-LN(2)/2)*AB133+(1-EXP(-LN(2)/2))/(LN(2)/2)*V134*Y134*VLOOKUP('Données projet'!$B$9,Paramètres!$A$1:$I$89,3,0)*0.475*44/12</f>
        <v>#N/A</v>
      </c>
      <c r="AC134" s="22" t="e">
        <f t="shared" si="111"/>
        <v>#N/A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-1.4897523215040567E-13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338.55719679154777</v>
      </c>
      <c r="AO134" s="59">
        <f t="shared" si="144"/>
        <v>371.26234252426531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-2.1636878955177963E-13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351.6178679548006</v>
      </c>
      <c r="BJ134" s="59">
        <f t="shared" si="146"/>
        <v>244.7141066773861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6.1538461538532374E-2</v>
      </c>
      <c r="BZ134" s="13">
        <f>BY134*VLOOKUP('Données projet'!$B$12,Paramètres!$A$1:$I$89,3,0)*VLOOKUP('Données projet'!$B$12,Paramètres!$A$1:$I$89,5,0)</f>
        <v>2.880000000003315E-2</v>
      </c>
      <c r="CA134" s="13">
        <f t="shared" si="147"/>
        <v>2.0057244427106876E-2</v>
      </c>
      <c r="CB134" s="20">
        <f t="shared" si="118"/>
        <v>8.5093034043935534E-2</v>
      </c>
      <c r="CC134" s="59">
        <f t="shared" si="119"/>
        <v>293.41842636737726</v>
      </c>
      <c r="CD134" s="59">
        <f ca="1">AVERAGE(OFFSET($CC$3,0,0,'Données projet'!$E$12+1,1))-AVERAGE(OFFSET($H$3,0,0,'Données projet'!$E$12+1,1))</f>
        <v>246.66630850723385</v>
      </c>
      <c r="CE134" s="59">
        <f t="shared" si="148"/>
        <v>145.34368562171613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1.1368683772161603E-13</v>
      </c>
      <c r="CU134" s="17">
        <f>CT134*VLOOKUP('Données projet'!$B$13,Paramètres!$A$1:$I$89,3,0)*VLOOKUP('Données projet'!$B$13,Paramètres!$A$1:$I$89,5,0)</f>
        <v>8.8675733422860506E-14</v>
      </c>
      <c r="CV134" s="13">
        <f t="shared" si="149"/>
        <v>1.3509285393066301E-12</v>
      </c>
      <c r="CW134" s="20">
        <f t="shared" si="121"/>
        <v>2.5073107750038623E-12</v>
      </c>
      <c r="CX134" s="59">
        <f t="shared" si="122"/>
        <v>293.33333333333582</v>
      </c>
      <c r="CY134" s="59">
        <f ca="1">AVERAGE(OFFSET($CX$3,0,0,'Données projet'!$E$13+1,1))-AVERAGE(OFFSET($H$3,0,0,'Données projet'!$E$13+1,1))</f>
        <v>292.57482726862594</v>
      </c>
      <c r="CZ134" s="59">
        <f t="shared" si="150"/>
        <v>283.48738729114024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2.7</v>
      </c>
      <c r="DO134" s="12">
        <f>IF('Données projet'!$A$166&gt;35,DO133+DN134-DW133,IF(A134&lt;'Données projet'!$A$166,$DL$205^A134,IF(A134='Données projet'!$A$166,'Données projet'!$B$166,DO133+DN134-DW133)))</f>
        <v>271.69999999999936</v>
      </c>
      <c r="DP134" s="17">
        <f>DO134*VLOOKUP('Données projet'!$B$14,Paramètres!$A$1:$I$89,3,0)*VLOOKUP('Données projet'!$B$14,Paramètres!$A$1:$I$89,5,0)</f>
        <v>275.50379999999939</v>
      </c>
      <c r="DQ134" s="13">
        <f t="shared" si="151"/>
        <v>66.015939215007748</v>
      </c>
      <c r="DR134" s="20">
        <f t="shared" si="124"/>
        <v>594.81354579947072</v>
      </c>
      <c r="DS134" s="59">
        <f t="shared" si="125"/>
        <v>888.14687913280409</v>
      </c>
      <c r="DT134" s="59">
        <f ca="1">AVERAGE(OFFSET($DS$3,0,0,'Données projet'!$E$14+1,1))-AVERAGE(OFFSET($H$3,0,0,'Données projet'!$E$14+1,1))</f>
        <v>475.47920969424894</v>
      </c>
      <c r="DU134" s="59">
        <f t="shared" si="152"/>
        <v>271.73544012419364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2.7</v>
      </c>
      <c r="EJ134" s="12">
        <f>IF('Données projet'!$A$192&gt;35,EJ133+EI134-ER133,IF(A134&lt;'Données projet'!$A$192,$EG$205^A134,IF(A134='Données projet'!$A$192,'Données projet'!$B$192,EJ133+EI134-ER133)))</f>
        <v>271.69999999999936</v>
      </c>
      <c r="EK134" s="17">
        <f>EJ134*VLOOKUP('Données projet'!$B$15,Paramètres!$A$1:$I$89,3,0)*VLOOKUP('Données projet'!$B$15,Paramètres!$A$1:$I$89,5,0)</f>
        <v>245.8341599999994</v>
      </c>
      <c r="EL134" s="13">
        <f t="shared" si="153"/>
        <v>59.693018383856675</v>
      </c>
      <c r="EM134" s="20">
        <f t="shared" si="127"/>
        <v>532.12650235188266</v>
      </c>
      <c r="EN134" s="59">
        <f t="shared" si="128"/>
        <v>825.45983568521592</v>
      </c>
      <c r="EO134" s="59">
        <f ca="1">AVERAGE(OFFSET($EN$3,0,0,'Données projet'!$E$15+1,1))-AVERAGE(OFFSET($H$3,0,0,'Données projet'!$E$15+1,1))</f>
        <v>428.8489304403459</v>
      </c>
      <c r="EP134" s="59">
        <f t="shared" si="154"/>
        <v>247.01165577562966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245.25496369542458</v>
      </c>
      <c r="FK134" s="59">
        <f t="shared" si="156"/>
        <v>342.30266518164211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0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 t="e">
        <f>N135*VLOOKUP('Données projet'!$B$9,Paramètres!$A$1:$I$89,3,0)*VLOOKUP('Données projet'!$B$9,Paramètres!$A$1:$I$89,5,0)</f>
        <v>#N/A</v>
      </c>
      <c r="P135" s="13" t="e">
        <f t="shared" si="141"/>
        <v>#N/A</v>
      </c>
      <c r="Q135" s="20" t="e">
        <f t="shared" si="108"/>
        <v>#N/A</v>
      </c>
      <c r="R135" s="59" t="e">
        <f t="shared" si="109"/>
        <v>#N/A</v>
      </c>
      <c r="S135" s="59" t="e">
        <f ca="1">AVERAGE(OFFSET($R$3,0,0,'Données projet'!$E$9+1,1))-AVERAGE(OFFSET($H$3,0,0,'Données projet'!$E$9+1,1))</f>
        <v>#N/A</v>
      </c>
      <c r="T135" s="59" t="e">
        <f t="shared" si="142"/>
        <v>#N/A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 t="e">
        <f>EXP(-LN(2)/35)*Z134+(1-EXP(-LN(2)/35))/(LN(2)/35)*V135*W135*VLOOKUP('Données projet'!$B$9,Paramètres!$A$1:$I$89,3,0)*0.475*44/12</f>
        <v>#N/A</v>
      </c>
      <c r="AA135" s="21" t="e">
        <f>EXP(-LN(2)/25)*AA134+(1-EXP(-LN(2)/25))/(LN(2)/25)*Calculateur!V135*Calculateur!X135*VLOOKUP('Données projet'!$B$9,Paramètres!$A$1:$I$89,3,0)*0.475*44/12</f>
        <v>#N/A</v>
      </c>
      <c r="AB135" s="21" t="e">
        <f>EXP(-LN(2)/2)*AB134+(1-EXP(-LN(2)/2))/(LN(2)/2)*V135*Y135*VLOOKUP('Données projet'!$B$9,Paramètres!$A$1:$I$89,3,0)*0.475*44/12</f>
        <v>#N/A</v>
      </c>
      <c r="AC135" s="22" t="e">
        <f t="shared" si="111"/>
        <v>#N/A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-1.4897523215040567E-13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338.55719679154777</v>
      </c>
      <c r="AO135" s="59">
        <f t="shared" si="144"/>
        <v>371.26234252426531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-2.1636878955177963E-13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351.6178679548006</v>
      </c>
      <c r="BJ135" s="59">
        <f t="shared" si="146"/>
        <v>244.7141066773861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6.1538461538532374E-2</v>
      </c>
      <c r="BZ135" s="13">
        <f>BY135*VLOOKUP('Données projet'!$B$12,Paramètres!$A$1:$I$89,3,0)*VLOOKUP('Données projet'!$B$12,Paramètres!$A$1:$I$89,5,0)</f>
        <v>2.880000000003315E-2</v>
      </c>
      <c r="CA135" s="13">
        <f t="shared" si="147"/>
        <v>2.0057244427106876E-2</v>
      </c>
      <c r="CB135" s="20">
        <f t="shared" si="118"/>
        <v>8.5093034043935534E-2</v>
      </c>
      <c r="CC135" s="59">
        <f t="shared" si="119"/>
        <v>293.41842636737726</v>
      </c>
      <c r="CD135" s="59">
        <f ca="1">AVERAGE(OFFSET($CC$3,0,0,'Données projet'!$E$12+1,1))-AVERAGE(OFFSET($H$3,0,0,'Données projet'!$E$12+1,1))</f>
        <v>246.66630850723385</v>
      </c>
      <c r="CE135" s="59">
        <f t="shared" si="148"/>
        <v>145.34368562171613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1.1368683772161603E-13</v>
      </c>
      <c r="CU135" s="17">
        <f>CT135*VLOOKUP('Données projet'!$B$13,Paramètres!$A$1:$I$89,3,0)*VLOOKUP('Données projet'!$B$13,Paramètres!$A$1:$I$89,5,0)</f>
        <v>8.8675733422860506E-14</v>
      </c>
      <c r="CV135" s="13">
        <f t="shared" si="149"/>
        <v>1.3509285393066301E-12</v>
      </c>
      <c r="CW135" s="20">
        <f t="shared" si="121"/>
        <v>2.5073107750038623E-12</v>
      </c>
      <c r="CX135" s="59">
        <f t="shared" si="122"/>
        <v>293.33333333333582</v>
      </c>
      <c r="CY135" s="59">
        <f ca="1">AVERAGE(OFFSET($CX$3,0,0,'Données projet'!$E$13+1,1))-AVERAGE(OFFSET($H$3,0,0,'Données projet'!$E$13+1,1))</f>
        <v>292.57482726862594</v>
      </c>
      <c r="CZ135" s="59">
        <f t="shared" si="150"/>
        <v>283.48738729114024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2.7</v>
      </c>
      <c r="DO135" s="12">
        <f>IF('Données projet'!$A$166&gt;35,DO134+DN135-DW134,IF(A135&lt;'Données projet'!$A$166,$DL$205^A135,IF(A135='Données projet'!$A$166,'Données projet'!$B$166,DO134+DN135-DW134)))</f>
        <v>274.39999999999935</v>
      </c>
      <c r="DP135" s="17">
        <f>DO135*VLOOKUP('Données projet'!$B$14,Paramètres!$A$1:$I$89,3,0)*VLOOKUP('Données projet'!$B$14,Paramètres!$A$1:$I$89,5,0)</f>
        <v>278.24159999999938</v>
      </c>
      <c r="DQ135" s="13">
        <f t="shared" si="151"/>
        <v>66.595272276139625</v>
      </c>
      <c r="DR135" s="20">
        <f t="shared" si="124"/>
        <v>600.59088588094198</v>
      </c>
      <c r="DS135" s="59">
        <f t="shared" si="125"/>
        <v>893.92421921427535</v>
      </c>
      <c r="DT135" s="59">
        <f ca="1">AVERAGE(OFFSET($DS$3,0,0,'Données projet'!$E$14+1,1))-AVERAGE(OFFSET($H$3,0,0,'Données projet'!$E$14+1,1))</f>
        <v>475.47920969424894</v>
      </c>
      <c r="DU135" s="59">
        <f t="shared" si="152"/>
        <v>271.73544012419364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2.7</v>
      </c>
      <c r="EJ135" s="12">
        <f>IF('Données projet'!$A$192&gt;35,EJ134+EI135-ER134,IF(A135&lt;'Données projet'!$A$192,$EG$205^A135,IF(A135='Données projet'!$A$192,'Données projet'!$B$192,EJ134+EI135-ER134)))</f>
        <v>274.39999999999935</v>
      </c>
      <c r="EK135" s="17">
        <f>EJ135*VLOOKUP('Données projet'!$B$15,Paramètres!$A$1:$I$89,3,0)*VLOOKUP('Données projet'!$B$15,Paramètres!$A$1:$I$89,5,0)</f>
        <v>248.2771199999994</v>
      </c>
      <c r="EL135" s="13">
        <f t="shared" si="153"/>
        <v>60.216863677580257</v>
      </c>
      <c r="EM135" s="20">
        <f t="shared" si="127"/>
        <v>537.29368823845118</v>
      </c>
      <c r="EN135" s="59">
        <f t="shared" si="128"/>
        <v>830.62702157178455</v>
      </c>
      <c r="EO135" s="59">
        <f ca="1">AVERAGE(OFFSET($EN$3,0,0,'Données projet'!$E$15+1,1))-AVERAGE(OFFSET($H$3,0,0,'Données projet'!$E$15+1,1))</f>
        <v>428.8489304403459</v>
      </c>
      <c r="EP135" s="59">
        <f t="shared" si="154"/>
        <v>247.01165577562966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245.25496369542458</v>
      </c>
      <c r="FK135" s="59">
        <f t="shared" si="156"/>
        <v>342.30266518164211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0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 t="e">
        <f>N136*VLOOKUP('Données projet'!$B$9,Paramètres!$A$1:$I$89,3,0)*VLOOKUP('Données projet'!$B$9,Paramètres!$A$1:$I$89,5,0)</f>
        <v>#N/A</v>
      </c>
      <c r="P136" s="13" t="e">
        <f t="shared" si="141"/>
        <v>#N/A</v>
      </c>
      <c r="Q136" s="20" t="e">
        <f t="shared" si="108"/>
        <v>#N/A</v>
      </c>
      <c r="R136" s="59" t="e">
        <f t="shared" si="109"/>
        <v>#N/A</v>
      </c>
      <c r="S136" s="59" t="e">
        <f ca="1">AVERAGE(OFFSET($R$3,0,0,'Données projet'!$E$9+1,1))-AVERAGE(OFFSET($H$3,0,0,'Données projet'!$E$9+1,1))</f>
        <v>#N/A</v>
      </c>
      <c r="T136" s="59" t="e">
        <f t="shared" si="142"/>
        <v>#N/A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 t="e">
        <f>EXP(-LN(2)/35)*Z135+(1-EXP(-LN(2)/35))/(LN(2)/35)*V136*W136*VLOOKUP('Données projet'!$B$9,Paramètres!$A$1:$I$89,3,0)*0.475*44/12</f>
        <v>#N/A</v>
      </c>
      <c r="AA136" s="21" t="e">
        <f>EXP(-LN(2)/25)*AA135+(1-EXP(-LN(2)/25))/(LN(2)/25)*Calculateur!V136*Calculateur!X136*VLOOKUP('Données projet'!$B$9,Paramètres!$A$1:$I$89,3,0)*0.475*44/12</f>
        <v>#N/A</v>
      </c>
      <c r="AB136" s="21" t="e">
        <f>EXP(-LN(2)/2)*AB135+(1-EXP(-LN(2)/2))/(LN(2)/2)*V136*Y136*VLOOKUP('Données projet'!$B$9,Paramètres!$A$1:$I$89,3,0)*0.475*44/12</f>
        <v>#N/A</v>
      </c>
      <c r="AC136" s="22" t="e">
        <f t="shared" si="111"/>
        <v>#N/A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-1.4897523215040567E-13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338.55719679154777</v>
      </c>
      <c r="AO136" s="59">
        <f t="shared" si="144"/>
        <v>371.26234252426531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-2.1636878955177963E-13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351.6178679548006</v>
      </c>
      <c r="BJ136" s="59">
        <f t="shared" si="146"/>
        <v>244.7141066773861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6.1538461538532374E-2</v>
      </c>
      <c r="BZ136" s="13">
        <f>BY136*VLOOKUP('Données projet'!$B$12,Paramètres!$A$1:$I$89,3,0)*VLOOKUP('Données projet'!$B$12,Paramètres!$A$1:$I$89,5,0)</f>
        <v>2.880000000003315E-2</v>
      </c>
      <c r="CA136" s="13">
        <f t="shared" si="147"/>
        <v>2.0057244427106876E-2</v>
      </c>
      <c r="CB136" s="20">
        <f t="shared" si="118"/>
        <v>8.5093034043935534E-2</v>
      </c>
      <c r="CC136" s="59">
        <f t="shared" si="119"/>
        <v>293.41842636737726</v>
      </c>
      <c r="CD136" s="59">
        <f ca="1">AVERAGE(OFFSET($CC$3,0,0,'Données projet'!$E$12+1,1))-AVERAGE(OFFSET($H$3,0,0,'Données projet'!$E$12+1,1))</f>
        <v>246.66630850723385</v>
      </c>
      <c r="CE136" s="59">
        <f t="shared" si="148"/>
        <v>145.34368562171613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1.1368683772161603E-13</v>
      </c>
      <c r="CU136" s="17">
        <f>CT136*VLOOKUP('Données projet'!$B$13,Paramètres!$A$1:$I$89,3,0)*VLOOKUP('Données projet'!$B$13,Paramètres!$A$1:$I$89,5,0)</f>
        <v>8.8675733422860506E-14</v>
      </c>
      <c r="CV136" s="13">
        <f t="shared" si="149"/>
        <v>1.3509285393066301E-12</v>
      </c>
      <c r="CW136" s="20">
        <f t="shared" si="121"/>
        <v>2.5073107750038623E-12</v>
      </c>
      <c r="CX136" s="59">
        <f t="shared" si="122"/>
        <v>293.33333333333582</v>
      </c>
      <c r="CY136" s="59">
        <f ca="1">AVERAGE(OFFSET($CX$3,0,0,'Données projet'!$E$13+1,1))-AVERAGE(OFFSET($H$3,0,0,'Données projet'!$E$13+1,1))</f>
        <v>292.57482726862594</v>
      </c>
      <c r="CZ136" s="59">
        <f t="shared" si="150"/>
        <v>283.48738729114024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2.7</v>
      </c>
      <c r="DO136" s="12">
        <f>IF('Données projet'!$A$166&gt;35,DO135+DN136-DW135,IF(A136&lt;'Données projet'!$A$166,$DL$205^A136,IF(A136='Données projet'!$A$166,'Données projet'!$B$166,DO135+DN136-DW135)))</f>
        <v>277.09999999999934</v>
      </c>
      <c r="DP136" s="17">
        <f>DO136*VLOOKUP('Données projet'!$B$14,Paramètres!$A$1:$I$89,3,0)*VLOOKUP('Données projet'!$B$14,Paramètres!$A$1:$I$89,5,0)</f>
        <v>280.97939999999937</v>
      </c>
      <c r="DQ136" s="13">
        <f t="shared" si="151"/>
        <v>67.173942175199301</v>
      </c>
      <c r="DR136" s="20">
        <f t="shared" si="124"/>
        <v>606.36707095513759</v>
      </c>
      <c r="DS136" s="59">
        <f t="shared" si="125"/>
        <v>899.70040428847096</v>
      </c>
      <c r="DT136" s="59">
        <f ca="1">AVERAGE(OFFSET($DS$3,0,0,'Données projet'!$E$14+1,1))-AVERAGE(OFFSET($H$3,0,0,'Données projet'!$E$14+1,1))</f>
        <v>475.47920969424894</v>
      </c>
      <c r="DU136" s="59">
        <f t="shared" si="152"/>
        <v>271.73544012419364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2.7</v>
      </c>
      <c r="EJ136" s="12">
        <f>IF('Données projet'!$A$192&gt;35,EJ135+EI136-ER135,IF(A136&lt;'Données projet'!$A$192,$EG$205^A136,IF(A136='Données projet'!$A$192,'Données projet'!$B$192,EJ135+EI136-ER135)))</f>
        <v>277.09999999999934</v>
      </c>
      <c r="EK136" s="17">
        <f>EJ136*VLOOKUP('Données projet'!$B$15,Paramètres!$A$1:$I$89,3,0)*VLOOKUP('Données projet'!$B$15,Paramètres!$A$1:$I$89,5,0)</f>
        <v>250.72007999999943</v>
      </c>
      <c r="EL136" s="13">
        <f t="shared" si="153"/>
        <v>60.740109326032709</v>
      </c>
      <c r="EM136" s="20">
        <f t="shared" si="127"/>
        <v>542.45982974283925</v>
      </c>
      <c r="EN136" s="59">
        <f t="shared" si="128"/>
        <v>835.7931630761725</v>
      </c>
      <c r="EO136" s="59">
        <f ca="1">AVERAGE(OFFSET($EN$3,0,0,'Données projet'!$E$15+1,1))-AVERAGE(OFFSET($H$3,0,0,'Données projet'!$E$15+1,1))</f>
        <v>428.8489304403459</v>
      </c>
      <c r="EP136" s="59">
        <f t="shared" si="154"/>
        <v>247.01165577562966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245.25496369542458</v>
      </c>
      <c r="FK136" s="59">
        <f t="shared" si="156"/>
        <v>342.30266518164211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0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 t="e">
        <f>N137*VLOOKUP('Données projet'!$B$9,Paramètres!$A$1:$I$89,3,0)*VLOOKUP('Données projet'!$B$9,Paramètres!$A$1:$I$89,5,0)</f>
        <v>#N/A</v>
      </c>
      <c r="P137" s="13" t="e">
        <f t="shared" si="141"/>
        <v>#N/A</v>
      </c>
      <c r="Q137" s="20" t="e">
        <f t="shared" si="108"/>
        <v>#N/A</v>
      </c>
      <c r="R137" s="59" t="e">
        <f t="shared" si="109"/>
        <v>#N/A</v>
      </c>
      <c r="S137" s="59" t="e">
        <f ca="1">AVERAGE(OFFSET($R$3,0,0,'Données projet'!$E$9+1,1))-AVERAGE(OFFSET($H$3,0,0,'Données projet'!$E$9+1,1))</f>
        <v>#N/A</v>
      </c>
      <c r="T137" s="59" t="e">
        <f t="shared" si="142"/>
        <v>#N/A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 t="e">
        <f>EXP(-LN(2)/35)*Z136+(1-EXP(-LN(2)/35))/(LN(2)/35)*V137*W137*VLOOKUP('Données projet'!$B$9,Paramètres!$A$1:$I$89,3,0)*0.475*44/12</f>
        <v>#N/A</v>
      </c>
      <c r="AA137" s="21" t="e">
        <f>EXP(-LN(2)/25)*AA136+(1-EXP(-LN(2)/25))/(LN(2)/25)*Calculateur!V137*Calculateur!X137*VLOOKUP('Données projet'!$B$9,Paramètres!$A$1:$I$89,3,0)*0.475*44/12</f>
        <v>#N/A</v>
      </c>
      <c r="AB137" s="21" t="e">
        <f>EXP(-LN(2)/2)*AB136+(1-EXP(-LN(2)/2))/(LN(2)/2)*V137*Y137*VLOOKUP('Données projet'!$B$9,Paramètres!$A$1:$I$89,3,0)*0.475*44/12</f>
        <v>#N/A</v>
      </c>
      <c r="AC137" s="22" t="e">
        <f t="shared" si="111"/>
        <v>#N/A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-1.4897523215040567E-13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338.55719679154777</v>
      </c>
      <c r="AO137" s="59">
        <f t="shared" si="144"/>
        <v>371.26234252426531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-2.1636878955177963E-13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351.6178679548006</v>
      </c>
      <c r="BJ137" s="59">
        <f t="shared" si="146"/>
        <v>244.7141066773861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6.1538461538532374E-2</v>
      </c>
      <c r="BZ137" s="13">
        <f>BY137*VLOOKUP('Données projet'!$B$12,Paramètres!$A$1:$I$89,3,0)*VLOOKUP('Données projet'!$B$12,Paramètres!$A$1:$I$89,5,0)</f>
        <v>2.880000000003315E-2</v>
      </c>
      <c r="CA137" s="13">
        <f t="shared" si="147"/>
        <v>2.0057244427106876E-2</v>
      </c>
      <c r="CB137" s="20">
        <f t="shared" si="118"/>
        <v>8.5093034043935534E-2</v>
      </c>
      <c r="CC137" s="59">
        <f t="shared" si="119"/>
        <v>293.41842636737726</v>
      </c>
      <c r="CD137" s="59">
        <f ca="1">AVERAGE(OFFSET($CC$3,0,0,'Données projet'!$E$12+1,1))-AVERAGE(OFFSET($H$3,0,0,'Données projet'!$E$12+1,1))</f>
        <v>246.66630850723385</v>
      </c>
      <c r="CE137" s="59">
        <f t="shared" si="148"/>
        <v>145.34368562171613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1.1368683772161603E-13</v>
      </c>
      <c r="CU137" s="17">
        <f>CT137*VLOOKUP('Données projet'!$B$13,Paramètres!$A$1:$I$89,3,0)*VLOOKUP('Données projet'!$B$13,Paramètres!$A$1:$I$89,5,0)</f>
        <v>8.8675733422860506E-14</v>
      </c>
      <c r="CV137" s="13">
        <f t="shared" si="149"/>
        <v>1.3509285393066301E-12</v>
      </c>
      <c r="CW137" s="20">
        <f t="shared" si="121"/>
        <v>2.5073107750038623E-12</v>
      </c>
      <c r="CX137" s="59">
        <f t="shared" si="122"/>
        <v>293.33333333333582</v>
      </c>
      <c r="CY137" s="59">
        <f ca="1">AVERAGE(OFFSET($CX$3,0,0,'Données projet'!$E$13+1,1))-AVERAGE(OFFSET($H$3,0,0,'Données projet'!$E$13+1,1))</f>
        <v>292.57482726862594</v>
      </c>
      <c r="CZ137" s="59">
        <f t="shared" si="150"/>
        <v>283.48738729114024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2.7</v>
      </c>
      <c r="DO137" s="12">
        <f>IF('Données projet'!$A$166&gt;35,DO136+DN137-DW136,IF(A137&lt;'Données projet'!$A$166,$DL$205^A137,IF(A137='Données projet'!$A$166,'Données projet'!$B$166,DO136+DN137-DW136)))</f>
        <v>279.79999999999933</v>
      </c>
      <c r="DP137" s="17">
        <f>DO137*VLOOKUP('Données projet'!$B$14,Paramètres!$A$1:$I$89,3,0)*VLOOKUP('Données projet'!$B$14,Paramètres!$A$1:$I$89,5,0)</f>
        <v>283.71719999999937</v>
      </c>
      <c r="DQ137" s="13">
        <f t="shared" si="151"/>
        <v>67.751956122170526</v>
      </c>
      <c r="DR137" s="20">
        <f t="shared" si="124"/>
        <v>612.14211357944589</v>
      </c>
      <c r="DS137" s="59">
        <f t="shared" si="125"/>
        <v>905.47544691277926</v>
      </c>
      <c r="DT137" s="59">
        <f ca="1">AVERAGE(OFFSET($DS$3,0,0,'Données projet'!$E$14+1,1))-AVERAGE(OFFSET($H$3,0,0,'Données projet'!$E$14+1,1))</f>
        <v>475.47920969424894</v>
      </c>
      <c r="DU137" s="59">
        <f t="shared" si="152"/>
        <v>271.73544012419364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2.7</v>
      </c>
      <c r="EJ137" s="12">
        <f>IF('Données projet'!$A$192&gt;35,EJ136+EI137-ER136,IF(A137&lt;'Données projet'!$A$192,$EG$205^A137,IF(A137='Données projet'!$A$192,'Données projet'!$B$192,EJ136+EI137-ER136)))</f>
        <v>279.79999999999933</v>
      </c>
      <c r="EK137" s="17">
        <f>EJ137*VLOOKUP('Données projet'!$B$15,Paramètres!$A$1:$I$89,3,0)*VLOOKUP('Données projet'!$B$15,Paramètres!$A$1:$I$89,5,0)</f>
        <v>253.16303999999937</v>
      </c>
      <c r="EL137" s="13">
        <f t="shared" si="153"/>
        <v>61.262761848634923</v>
      </c>
      <c r="EM137" s="20">
        <f t="shared" si="127"/>
        <v>547.62493821970475</v>
      </c>
      <c r="EN137" s="59">
        <f t="shared" si="128"/>
        <v>840.958271553038</v>
      </c>
      <c r="EO137" s="59">
        <f ca="1">AVERAGE(OFFSET($EN$3,0,0,'Données projet'!$E$15+1,1))-AVERAGE(OFFSET($H$3,0,0,'Données projet'!$E$15+1,1))</f>
        <v>428.8489304403459</v>
      </c>
      <c r="EP137" s="59">
        <f t="shared" si="154"/>
        <v>247.01165577562966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245.25496369542458</v>
      </c>
      <c r="FK137" s="59">
        <f t="shared" si="156"/>
        <v>342.30266518164211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0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 t="e">
        <f>N138*VLOOKUP('Données projet'!$B$9,Paramètres!$A$1:$I$89,3,0)*VLOOKUP('Données projet'!$B$9,Paramètres!$A$1:$I$89,5,0)</f>
        <v>#N/A</v>
      </c>
      <c r="P138" s="13" t="e">
        <f t="shared" si="141"/>
        <v>#N/A</v>
      </c>
      <c r="Q138" s="20" t="e">
        <f t="shared" si="108"/>
        <v>#N/A</v>
      </c>
      <c r="R138" s="59" t="e">
        <f t="shared" si="109"/>
        <v>#N/A</v>
      </c>
      <c r="S138" s="59" t="e">
        <f ca="1">AVERAGE(OFFSET($R$3,0,0,'Données projet'!$E$9+1,1))-AVERAGE(OFFSET($H$3,0,0,'Données projet'!$E$9+1,1))</f>
        <v>#N/A</v>
      </c>
      <c r="T138" s="59" t="e">
        <f t="shared" si="142"/>
        <v>#N/A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 t="e">
        <f>EXP(-LN(2)/35)*Z137+(1-EXP(-LN(2)/35))/(LN(2)/35)*V138*W138*VLOOKUP('Données projet'!$B$9,Paramètres!$A$1:$I$89,3,0)*0.475*44/12</f>
        <v>#N/A</v>
      </c>
      <c r="AA138" s="21" t="e">
        <f>EXP(-LN(2)/25)*AA137+(1-EXP(-LN(2)/25))/(LN(2)/25)*Calculateur!V138*Calculateur!X138*VLOOKUP('Données projet'!$B$9,Paramètres!$A$1:$I$89,3,0)*0.475*44/12</f>
        <v>#N/A</v>
      </c>
      <c r="AB138" s="21" t="e">
        <f>EXP(-LN(2)/2)*AB137+(1-EXP(-LN(2)/2))/(LN(2)/2)*V138*Y138*VLOOKUP('Données projet'!$B$9,Paramètres!$A$1:$I$89,3,0)*0.475*44/12</f>
        <v>#N/A</v>
      </c>
      <c r="AC138" s="22" t="e">
        <f t="shared" si="111"/>
        <v>#N/A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-1.4897523215040567E-13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338.55719679154777</v>
      </c>
      <c r="AO138" s="59">
        <f t="shared" si="144"/>
        <v>371.26234252426531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-2.1636878955177963E-13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351.6178679548006</v>
      </c>
      <c r="BJ138" s="59">
        <f t="shared" si="146"/>
        <v>244.7141066773861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6.1538461538532374E-2</v>
      </c>
      <c r="BZ138" s="13">
        <f>BY138*VLOOKUP('Données projet'!$B$12,Paramètres!$A$1:$I$89,3,0)*VLOOKUP('Données projet'!$B$12,Paramètres!$A$1:$I$89,5,0)</f>
        <v>2.880000000003315E-2</v>
      </c>
      <c r="CA138" s="13">
        <f t="shared" si="147"/>
        <v>2.0057244427106876E-2</v>
      </c>
      <c r="CB138" s="20">
        <f t="shared" si="118"/>
        <v>8.5093034043935534E-2</v>
      </c>
      <c r="CC138" s="59">
        <f t="shared" si="119"/>
        <v>293.41842636737726</v>
      </c>
      <c r="CD138" s="59">
        <f ca="1">AVERAGE(OFFSET($CC$3,0,0,'Données projet'!$E$12+1,1))-AVERAGE(OFFSET($H$3,0,0,'Données projet'!$E$12+1,1))</f>
        <v>246.66630850723385</v>
      </c>
      <c r="CE138" s="59">
        <f t="shared" si="148"/>
        <v>145.34368562171613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1.1368683772161603E-13</v>
      </c>
      <c r="CU138" s="17">
        <f>CT138*VLOOKUP('Données projet'!$B$13,Paramètres!$A$1:$I$89,3,0)*VLOOKUP('Données projet'!$B$13,Paramètres!$A$1:$I$89,5,0)</f>
        <v>8.8675733422860506E-14</v>
      </c>
      <c r="CV138" s="13">
        <f t="shared" si="149"/>
        <v>1.3509285393066301E-12</v>
      </c>
      <c r="CW138" s="20">
        <f t="shared" si="121"/>
        <v>2.5073107750038623E-12</v>
      </c>
      <c r="CX138" s="59">
        <f t="shared" si="122"/>
        <v>293.33333333333582</v>
      </c>
      <c r="CY138" s="59">
        <f ca="1">AVERAGE(OFFSET($CX$3,0,0,'Données projet'!$E$13+1,1))-AVERAGE(OFFSET($H$3,0,0,'Données projet'!$E$13+1,1))</f>
        <v>292.57482726862594</v>
      </c>
      <c r="CZ138" s="59">
        <f t="shared" si="150"/>
        <v>283.48738729114024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2.7</v>
      </c>
      <c r="DO138" s="12">
        <f>IF('Données projet'!$A$166&gt;35,DO137+DN138-DW137,IF(A138&lt;'Données projet'!$A$166,$DL$205^A138,IF(A138='Données projet'!$A$166,'Données projet'!$B$166,DO137+DN138-DW137)))</f>
        <v>282.49999999999932</v>
      </c>
      <c r="DP138" s="17">
        <f>DO138*VLOOKUP('Données projet'!$B$14,Paramètres!$A$1:$I$89,3,0)*VLOOKUP('Données projet'!$B$14,Paramètres!$A$1:$I$89,5,0)</f>
        <v>286.45499999999936</v>
      </c>
      <c r="DQ138" s="13">
        <f t="shared" si="151"/>
        <v>68.329321179865531</v>
      </c>
      <c r="DR138" s="20">
        <f t="shared" si="124"/>
        <v>617.91602605493142</v>
      </c>
      <c r="DS138" s="59">
        <f t="shared" si="125"/>
        <v>911.24935938826479</v>
      </c>
      <c r="DT138" s="59">
        <f ca="1">AVERAGE(OFFSET($DS$3,0,0,'Données projet'!$E$14+1,1))-AVERAGE(OFFSET($H$3,0,0,'Données projet'!$E$14+1,1))</f>
        <v>475.47920969424894</v>
      </c>
      <c r="DU138" s="59">
        <f t="shared" si="152"/>
        <v>271.73544012419364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2.7</v>
      </c>
      <c r="EJ138" s="12">
        <f>IF('Données projet'!$A$192&gt;35,EJ137+EI138-ER137,IF(A138&lt;'Données projet'!$A$192,$EG$205^A138,IF(A138='Données projet'!$A$192,'Données projet'!$B$192,EJ137+EI138-ER137)))</f>
        <v>282.49999999999932</v>
      </c>
      <c r="EK138" s="17">
        <f>EJ138*VLOOKUP('Données projet'!$B$15,Paramètres!$A$1:$I$89,3,0)*VLOOKUP('Données projet'!$B$15,Paramètres!$A$1:$I$89,5,0)</f>
        <v>255.60599999999937</v>
      </c>
      <c r="EL138" s="13">
        <f t="shared" si="153"/>
        <v>61.784827631732192</v>
      </c>
      <c r="EM138" s="20">
        <f t="shared" si="127"/>
        <v>552.78902479193243</v>
      </c>
      <c r="EN138" s="59">
        <f t="shared" si="128"/>
        <v>846.12235812526569</v>
      </c>
      <c r="EO138" s="59">
        <f ca="1">AVERAGE(OFFSET($EN$3,0,0,'Données projet'!$E$15+1,1))-AVERAGE(OFFSET($H$3,0,0,'Données projet'!$E$15+1,1))</f>
        <v>428.8489304403459</v>
      </c>
      <c r="EP138" s="59">
        <f t="shared" si="154"/>
        <v>247.01165577562966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245.25496369542458</v>
      </c>
      <c r="FK138" s="59">
        <f t="shared" si="156"/>
        <v>342.30266518164211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0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 t="e">
        <f>N139*VLOOKUP('Données projet'!$B$9,Paramètres!$A$1:$I$89,3,0)*VLOOKUP('Données projet'!$B$9,Paramètres!$A$1:$I$89,5,0)</f>
        <v>#N/A</v>
      </c>
      <c r="P139" s="13" t="e">
        <f t="shared" si="141"/>
        <v>#N/A</v>
      </c>
      <c r="Q139" s="20" t="e">
        <f t="shared" si="108"/>
        <v>#N/A</v>
      </c>
      <c r="R139" s="59" t="e">
        <f t="shared" si="109"/>
        <v>#N/A</v>
      </c>
      <c r="S139" s="59" t="e">
        <f ca="1">AVERAGE(OFFSET($R$3,0,0,'Données projet'!$E$9+1,1))-AVERAGE(OFFSET($H$3,0,0,'Données projet'!$E$9+1,1))</f>
        <v>#N/A</v>
      </c>
      <c r="T139" s="59" t="e">
        <f t="shared" si="142"/>
        <v>#N/A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 t="e">
        <f>EXP(-LN(2)/35)*Z138+(1-EXP(-LN(2)/35))/(LN(2)/35)*V139*W139*VLOOKUP('Données projet'!$B$9,Paramètres!$A$1:$I$89,3,0)*0.475*44/12</f>
        <v>#N/A</v>
      </c>
      <c r="AA139" s="21" t="e">
        <f>EXP(-LN(2)/25)*AA138+(1-EXP(-LN(2)/25))/(LN(2)/25)*Calculateur!V139*Calculateur!X139*VLOOKUP('Données projet'!$B$9,Paramètres!$A$1:$I$89,3,0)*0.475*44/12</f>
        <v>#N/A</v>
      </c>
      <c r="AB139" s="21" t="e">
        <f>EXP(-LN(2)/2)*AB138+(1-EXP(-LN(2)/2))/(LN(2)/2)*V139*Y139*VLOOKUP('Données projet'!$B$9,Paramètres!$A$1:$I$89,3,0)*0.475*44/12</f>
        <v>#N/A</v>
      </c>
      <c r="AC139" s="22" t="e">
        <f t="shared" si="111"/>
        <v>#N/A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-1.4897523215040567E-13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338.55719679154777</v>
      </c>
      <c r="AO139" s="59">
        <f t="shared" si="144"/>
        <v>371.26234252426531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-2.1636878955177963E-13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351.6178679548006</v>
      </c>
      <c r="BJ139" s="59">
        <f t="shared" si="146"/>
        <v>244.7141066773861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6.1538461538532374E-2</v>
      </c>
      <c r="BZ139" s="13">
        <f>BY139*VLOOKUP('Données projet'!$B$12,Paramètres!$A$1:$I$89,3,0)*VLOOKUP('Données projet'!$B$12,Paramètres!$A$1:$I$89,5,0)</f>
        <v>2.880000000003315E-2</v>
      </c>
      <c r="CA139" s="13">
        <f t="shared" si="147"/>
        <v>2.0057244427106876E-2</v>
      </c>
      <c r="CB139" s="20">
        <f t="shared" si="118"/>
        <v>8.5093034043935534E-2</v>
      </c>
      <c r="CC139" s="59">
        <f t="shared" si="119"/>
        <v>293.41842636737726</v>
      </c>
      <c r="CD139" s="59">
        <f ca="1">AVERAGE(OFFSET($CC$3,0,0,'Données projet'!$E$12+1,1))-AVERAGE(OFFSET($H$3,0,0,'Données projet'!$E$12+1,1))</f>
        <v>246.66630850723385</v>
      </c>
      <c r="CE139" s="59">
        <f t="shared" si="148"/>
        <v>145.34368562171613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1.1368683772161603E-13</v>
      </c>
      <c r="CU139" s="17">
        <f>CT139*VLOOKUP('Données projet'!$B$13,Paramètres!$A$1:$I$89,3,0)*VLOOKUP('Données projet'!$B$13,Paramètres!$A$1:$I$89,5,0)</f>
        <v>8.8675733422860506E-14</v>
      </c>
      <c r="CV139" s="13">
        <f t="shared" si="149"/>
        <v>1.3509285393066301E-12</v>
      </c>
      <c r="CW139" s="20">
        <f t="shared" si="121"/>
        <v>2.5073107750038623E-12</v>
      </c>
      <c r="CX139" s="59">
        <f t="shared" si="122"/>
        <v>293.33333333333582</v>
      </c>
      <c r="CY139" s="59">
        <f ca="1">AVERAGE(OFFSET($CX$3,0,0,'Données projet'!$E$13+1,1))-AVERAGE(OFFSET($H$3,0,0,'Données projet'!$E$13+1,1))</f>
        <v>292.57482726862594</v>
      </c>
      <c r="CZ139" s="59">
        <f t="shared" si="150"/>
        <v>283.48738729114024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2.7</v>
      </c>
      <c r="DO139" s="12">
        <f>IF('Données projet'!$A$166&gt;35,DO138+DN139-DW138,IF(A139&lt;'Données projet'!$A$166,$DL$205^A139,IF(A139='Données projet'!$A$166,'Données projet'!$B$166,DO138+DN139-DW138)))</f>
        <v>285.19999999999931</v>
      </c>
      <c r="DP139" s="17">
        <f>DO139*VLOOKUP('Données projet'!$B$14,Paramètres!$A$1:$I$89,3,0)*VLOOKUP('Données projet'!$B$14,Paramètres!$A$1:$I$89,5,0)</f>
        <v>289.19279999999935</v>
      </c>
      <c r="DQ139" s="13">
        <f t="shared" si="151"/>
        <v>68.906044268306161</v>
      </c>
      <c r="DR139" s="20">
        <f t="shared" si="124"/>
        <v>623.68882043396547</v>
      </c>
      <c r="DS139" s="59">
        <f t="shared" si="125"/>
        <v>917.02215376729873</v>
      </c>
      <c r="DT139" s="59">
        <f ca="1">AVERAGE(OFFSET($DS$3,0,0,'Données projet'!$E$14+1,1))-AVERAGE(OFFSET($H$3,0,0,'Données projet'!$E$14+1,1))</f>
        <v>475.47920969424894</v>
      </c>
      <c r="DU139" s="59">
        <f t="shared" si="152"/>
        <v>271.73544012419364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2.7</v>
      </c>
      <c r="EJ139" s="12">
        <f>IF('Données projet'!$A$192&gt;35,EJ138+EI139-ER138,IF(A139&lt;'Données projet'!$A$192,$EG$205^A139,IF(A139='Données projet'!$A$192,'Données projet'!$B$192,EJ138+EI139-ER138)))</f>
        <v>285.19999999999931</v>
      </c>
      <c r="EK139" s="17">
        <f>EJ139*VLOOKUP('Données projet'!$B$15,Paramètres!$A$1:$I$89,3,0)*VLOOKUP('Données projet'!$B$15,Paramètres!$A$1:$I$89,5,0)</f>
        <v>258.0489599999994</v>
      </c>
      <c r="EL139" s="13">
        <f t="shared" si="153"/>
        <v>62.306312932555649</v>
      </c>
      <c r="EM139" s="20">
        <f t="shared" si="127"/>
        <v>557.95210035753337</v>
      </c>
      <c r="EN139" s="59">
        <f t="shared" si="128"/>
        <v>851.28543369086674</v>
      </c>
      <c r="EO139" s="59">
        <f ca="1">AVERAGE(OFFSET($EN$3,0,0,'Données projet'!$E$15+1,1))-AVERAGE(OFFSET($H$3,0,0,'Données projet'!$E$15+1,1))</f>
        <v>428.8489304403459</v>
      </c>
      <c r="EP139" s="59">
        <f t="shared" si="154"/>
        <v>247.01165577562966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245.25496369542458</v>
      </c>
      <c r="FK139" s="59">
        <f t="shared" si="156"/>
        <v>342.30266518164211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0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 t="e">
        <f>N140*VLOOKUP('Données projet'!$B$9,Paramètres!$A$1:$I$89,3,0)*VLOOKUP('Données projet'!$B$9,Paramètres!$A$1:$I$89,5,0)</f>
        <v>#N/A</v>
      </c>
      <c r="P140" s="13" t="e">
        <f t="shared" si="141"/>
        <v>#N/A</v>
      </c>
      <c r="Q140" s="20" t="e">
        <f t="shared" si="108"/>
        <v>#N/A</v>
      </c>
      <c r="R140" s="59" t="e">
        <f t="shared" si="109"/>
        <v>#N/A</v>
      </c>
      <c r="S140" s="59" t="e">
        <f ca="1">AVERAGE(OFFSET($R$3,0,0,'Données projet'!$E$9+1,1))-AVERAGE(OFFSET($H$3,0,0,'Données projet'!$E$9+1,1))</f>
        <v>#N/A</v>
      </c>
      <c r="T140" s="59" t="e">
        <f t="shared" si="142"/>
        <v>#N/A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 t="e">
        <f>EXP(-LN(2)/35)*Z139+(1-EXP(-LN(2)/35))/(LN(2)/35)*V140*W140*VLOOKUP('Données projet'!$B$9,Paramètres!$A$1:$I$89,3,0)*0.475*44/12</f>
        <v>#N/A</v>
      </c>
      <c r="AA140" s="21" t="e">
        <f>EXP(-LN(2)/25)*AA139+(1-EXP(-LN(2)/25))/(LN(2)/25)*Calculateur!V140*Calculateur!X140*VLOOKUP('Données projet'!$B$9,Paramètres!$A$1:$I$89,3,0)*0.475*44/12</f>
        <v>#N/A</v>
      </c>
      <c r="AB140" s="21" t="e">
        <f>EXP(-LN(2)/2)*AB139+(1-EXP(-LN(2)/2))/(LN(2)/2)*V140*Y140*VLOOKUP('Données projet'!$B$9,Paramètres!$A$1:$I$89,3,0)*0.475*44/12</f>
        <v>#N/A</v>
      </c>
      <c r="AC140" s="22" t="e">
        <f t="shared" si="111"/>
        <v>#N/A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-1.4897523215040567E-13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338.55719679154777</v>
      </c>
      <c r="AO140" s="59">
        <f t="shared" si="144"/>
        <v>371.26234252426531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-2.1636878955177963E-13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351.6178679548006</v>
      </c>
      <c r="BJ140" s="59">
        <f t="shared" si="146"/>
        <v>244.7141066773861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6.1538461538532374E-2</v>
      </c>
      <c r="BZ140" s="13">
        <f>BY140*VLOOKUP('Données projet'!$B$12,Paramètres!$A$1:$I$89,3,0)*VLOOKUP('Données projet'!$B$12,Paramètres!$A$1:$I$89,5,0)</f>
        <v>2.880000000003315E-2</v>
      </c>
      <c r="CA140" s="13">
        <f t="shared" si="147"/>
        <v>2.0057244427106876E-2</v>
      </c>
      <c r="CB140" s="20">
        <f t="shared" si="118"/>
        <v>8.5093034043935534E-2</v>
      </c>
      <c r="CC140" s="59">
        <f t="shared" si="119"/>
        <v>293.41842636737726</v>
      </c>
      <c r="CD140" s="59">
        <f ca="1">AVERAGE(OFFSET($CC$3,0,0,'Données projet'!$E$12+1,1))-AVERAGE(OFFSET($H$3,0,0,'Données projet'!$E$12+1,1))</f>
        <v>246.66630850723385</v>
      </c>
      <c r="CE140" s="59">
        <f t="shared" si="148"/>
        <v>145.34368562171613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1.1368683772161603E-13</v>
      </c>
      <c r="CU140" s="17">
        <f>CT140*VLOOKUP('Données projet'!$B$13,Paramètres!$A$1:$I$89,3,0)*VLOOKUP('Données projet'!$B$13,Paramètres!$A$1:$I$89,5,0)</f>
        <v>8.8675733422860506E-14</v>
      </c>
      <c r="CV140" s="13">
        <f t="shared" si="149"/>
        <v>1.3509285393066301E-12</v>
      </c>
      <c r="CW140" s="20">
        <f t="shared" si="121"/>
        <v>2.5073107750038623E-12</v>
      </c>
      <c r="CX140" s="59">
        <f t="shared" si="122"/>
        <v>293.33333333333582</v>
      </c>
      <c r="CY140" s="59">
        <f ca="1">AVERAGE(OFFSET($CX$3,0,0,'Données projet'!$E$13+1,1))-AVERAGE(OFFSET($H$3,0,0,'Données projet'!$E$13+1,1))</f>
        <v>292.57482726862594</v>
      </c>
      <c r="CZ140" s="59">
        <f t="shared" si="150"/>
        <v>283.48738729114024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2.7</v>
      </c>
      <c r="DO140" s="12">
        <f>IF('Données projet'!$A$166&gt;35,DO139+DN140-DW139,IF(A140&lt;'Données projet'!$A$166,$DL$205^A140,IF(A140='Données projet'!$A$166,'Données projet'!$B$166,DO139+DN140-DW139)))</f>
        <v>287.8999999999993</v>
      </c>
      <c r="DP140" s="17">
        <f>DO140*VLOOKUP('Données projet'!$B$14,Paramètres!$A$1:$I$89,3,0)*VLOOKUP('Données projet'!$B$14,Paramètres!$A$1:$I$89,5,0)</f>
        <v>291.93059999999929</v>
      </c>
      <c r="DQ140" s="13">
        <f t="shared" si="151"/>
        <v>69.482132168934584</v>
      </c>
      <c r="DR140" s="20">
        <f t="shared" si="124"/>
        <v>629.4605085275598</v>
      </c>
      <c r="DS140" s="59">
        <f t="shared" si="125"/>
        <v>922.79384186089305</v>
      </c>
      <c r="DT140" s="59">
        <f ca="1">AVERAGE(OFFSET($DS$3,0,0,'Données projet'!$E$14+1,1))-AVERAGE(OFFSET($H$3,0,0,'Données projet'!$E$14+1,1))</f>
        <v>475.47920969424894</v>
      </c>
      <c r="DU140" s="59">
        <f t="shared" si="152"/>
        <v>271.73544012419364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2.7</v>
      </c>
      <c r="EJ140" s="12">
        <f>IF('Données projet'!$A$192&gt;35,EJ139+EI140-ER139,IF(A140&lt;'Données projet'!$A$192,$EG$205^A140,IF(A140='Données projet'!$A$192,'Données projet'!$B$192,EJ139+EI140-ER139)))</f>
        <v>287.8999999999993</v>
      </c>
      <c r="EK140" s="17">
        <f>EJ140*VLOOKUP('Données projet'!$B$15,Paramètres!$A$1:$I$89,3,0)*VLOOKUP('Données projet'!$B$15,Paramètres!$A$1:$I$89,5,0)</f>
        <v>260.49191999999937</v>
      </c>
      <c r="EL140" s="13">
        <f t="shared" si="153"/>
        <v>62.827223883029681</v>
      </c>
      <c r="EM140" s="20">
        <f t="shared" si="127"/>
        <v>563.11417559627546</v>
      </c>
      <c r="EN140" s="59">
        <f t="shared" si="128"/>
        <v>856.44750892960883</v>
      </c>
      <c r="EO140" s="59">
        <f ca="1">AVERAGE(OFFSET($EN$3,0,0,'Données projet'!$E$15+1,1))-AVERAGE(OFFSET($H$3,0,0,'Données projet'!$E$15+1,1))</f>
        <v>428.8489304403459</v>
      </c>
      <c r="EP140" s="59">
        <f t="shared" si="154"/>
        <v>247.01165577562966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245.25496369542458</v>
      </c>
      <c r="FK140" s="59">
        <f t="shared" si="156"/>
        <v>342.30266518164211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0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 t="e">
        <f>N141*VLOOKUP('Données projet'!$B$9,Paramètres!$A$1:$I$89,3,0)*VLOOKUP('Données projet'!$B$9,Paramètres!$A$1:$I$89,5,0)</f>
        <v>#N/A</v>
      </c>
      <c r="P141" s="13" t="e">
        <f t="shared" si="141"/>
        <v>#N/A</v>
      </c>
      <c r="Q141" s="20" t="e">
        <f t="shared" si="108"/>
        <v>#N/A</v>
      </c>
      <c r="R141" s="59" t="e">
        <f t="shared" si="109"/>
        <v>#N/A</v>
      </c>
      <c r="S141" s="59" t="e">
        <f ca="1">AVERAGE(OFFSET($R$3,0,0,'Données projet'!$E$9+1,1))-AVERAGE(OFFSET($H$3,0,0,'Données projet'!$E$9+1,1))</f>
        <v>#N/A</v>
      </c>
      <c r="T141" s="59" t="e">
        <f t="shared" si="142"/>
        <v>#N/A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 t="e">
        <f>EXP(-LN(2)/35)*Z140+(1-EXP(-LN(2)/35))/(LN(2)/35)*V141*W141*VLOOKUP('Données projet'!$B$9,Paramètres!$A$1:$I$89,3,0)*0.475*44/12</f>
        <v>#N/A</v>
      </c>
      <c r="AA141" s="21" t="e">
        <f>EXP(-LN(2)/25)*AA140+(1-EXP(-LN(2)/25))/(LN(2)/25)*Calculateur!V141*Calculateur!X141*VLOOKUP('Données projet'!$B$9,Paramètres!$A$1:$I$89,3,0)*0.475*44/12</f>
        <v>#N/A</v>
      </c>
      <c r="AB141" s="21" t="e">
        <f>EXP(-LN(2)/2)*AB140+(1-EXP(-LN(2)/2))/(LN(2)/2)*V141*Y141*VLOOKUP('Données projet'!$B$9,Paramètres!$A$1:$I$89,3,0)*0.475*44/12</f>
        <v>#N/A</v>
      </c>
      <c r="AC141" s="22" t="e">
        <f t="shared" si="111"/>
        <v>#N/A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-1.4897523215040567E-13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338.55719679154777</v>
      </c>
      <c r="AO141" s="59">
        <f t="shared" si="144"/>
        <v>371.26234252426531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-2.1636878955177963E-13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351.6178679548006</v>
      </c>
      <c r="BJ141" s="59">
        <f t="shared" si="146"/>
        <v>244.7141066773861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6.1538461538532374E-2</v>
      </c>
      <c r="BZ141" s="13">
        <f>BY141*VLOOKUP('Données projet'!$B$12,Paramètres!$A$1:$I$89,3,0)*VLOOKUP('Données projet'!$B$12,Paramètres!$A$1:$I$89,5,0)</f>
        <v>2.880000000003315E-2</v>
      </c>
      <c r="CA141" s="13">
        <f t="shared" si="147"/>
        <v>2.0057244427106876E-2</v>
      </c>
      <c r="CB141" s="20">
        <f t="shared" si="118"/>
        <v>8.5093034043935534E-2</v>
      </c>
      <c r="CC141" s="59">
        <f t="shared" si="119"/>
        <v>293.41842636737726</v>
      </c>
      <c r="CD141" s="59">
        <f ca="1">AVERAGE(OFFSET($CC$3,0,0,'Données projet'!$E$12+1,1))-AVERAGE(OFFSET($H$3,0,0,'Données projet'!$E$12+1,1))</f>
        <v>246.66630850723385</v>
      </c>
      <c r="CE141" s="59">
        <f t="shared" si="148"/>
        <v>145.34368562171613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1.1368683772161603E-13</v>
      </c>
      <c r="CU141" s="17">
        <f>CT141*VLOOKUP('Données projet'!$B$13,Paramètres!$A$1:$I$89,3,0)*VLOOKUP('Données projet'!$B$13,Paramètres!$A$1:$I$89,5,0)</f>
        <v>8.8675733422860506E-14</v>
      </c>
      <c r="CV141" s="13">
        <f t="shared" si="149"/>
        <v>1.3509285393066301E-12</v>
      </c>
      <c r="CW141" s="20">
        <f t="shared" si="121"/>
        <v>2.5073107750038623E-12</v>
      </c>
      <c r="CX141" s="59">
        <f t="shared" si="122"/>
        <v>293.33333333333582</v>
      </c>
      <c r="CY141" s="59">
        <f ca="1">AVERAGE(OFFSET($CX$3,0,0,'Données projet'!$E$13+1,1))-AVERAGE(OFFSET($H$3,0,0,'Données projet'!$E$13+1,1))</f>
        <v>292.57482726862594</v>
      </c>
      <c r="CZ141" s="59">
        <f t="shared" si="150"/>
        <v>283.48738729114024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2.7</v>
      </c>
      <c r="DO141" s="12">
        <f>IF('Données projet'!$A$166&gt;35,DO140+DN141-DW140,IF(A141&lt;'Données projet'!$A$166,$DL$205^A141,IF(A141='Données projet'!$A$166,'Données projet'!$B$166,DO140+DN141-DW140)))</f>
        <v>290.59999999999928</v>
      </c>
      <c r="DP141" s="17">
        <f>DO141*VLOOKUP('Données projet'!$B$14,Paramètres!$A$1:$I$89,3,0)*VLOOKUP('Données projet'!$B$14,Paramètres!$A$1:$I$89,5,0)</f>
        <v>294.66839999999928</v>
      </c>
      <c r="DQ141" s="13">
        <f t="shared" si="151"/>
        <v>70.057591528661433</v>
      </c>
      <c r="DR141" s="20">
        <f t="shared" si="124"/>
        <v>635.23110191241733</v>
      </c>
      <c r="DS141" s="59">
        <f t="shared" si="125"/>
        <v>928.5644352457507</v>
      </c>
      <c r="DT141" s="59">
        <f ca="1">AVERAGE(OFFSET($DS$3,0,0,'Données projet'!$E$14+1,1))-AVERAGE(OFFSET($H$3,0,0,'Données projet'!$E$14+1,1))</f>
        <v>475.47920969424894</v>
      </c>
      <c r="DU141" s="59">
        <f t="shared" si="152"/>
        <v>271.73544012419364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2.7</v>
      </c>
      <c r="EJ141" s="12">
        <f>IF('Données projet'!$A$192&gt;35,EJ140+EI141-ER140,IF(A141&lt;'Données projet'!$A$192,$EG$205^A141,IF(A141='Données projet'!$A$192,'Données projet'!$B$192,EJ140+EI141-ER140)))</f>
        <v>290.59999999999928</v>
      </c>
      <c r="EK141" s="17">
        <f>EJ141*VLOOKUP('Données projet'!$B$15,Paramètres!$A$1:$I$89,3,0)*VLOOKUP('Données projet'!$B$15,Paramètres!$A$1:$I$89,5,0)</f>
        <v>262.93487999999934</v>
      </c>
      <c r="EL141" s="13">
        <f t="shared" si="153"/>
        <v>63.347566493432652</v>
      </c>
      <c r="EM141" s="20">
        <f t="shared" si="127"/>
        <v>568.27526097606062</v>
      </c>
      <c r="EN141" s="59">
        <f t="shared" si="128"/>
        <v>861.60859430939399</v>
      </c>
      <c r="EO141" s="59">
        <f ca="1">AVERAGE(OFFSET($EN$3,0,0,'Données projet'!$E$15+1,1))-AVERAGE(OFFSET($H$3,0,0,'Données projet'!$E$15+1,1))</f>
        <v>428.8489304403459</v>
      </c>
      <c r="EP141" s="59">
        <f t="shared" si="154"/>
        <v>247.01165577562966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245.25496369542458</v>
      </c>
      <c r="FK141" s="59">
        <f t="shared" si="156"/>
        <v>342.30266518164211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0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 t="e">
        <f>N142*VLOOKUP('Données projet'!$B$9,Paramètres!$A$1:$I$89,3,0)*VLOOKUP('Données projet'!$B$9,Paramètres!$A$1:$I$89,5,0)</f>
        <v>#N/A</v>
      </c>
      <c r="P142" s="13" t="e">
        <f t="shared" si="141"/>
        <v>#N/A</v>
      </c>
      <c r="Q142" s="20" t="e">
        <f t="shared" si="108"/>
        <v>#N/A</v>
      </c>
      <c r="R142" s="59" t="e">
        <f t="shared" si="109"/>
        <v>#N/A</v>
      </c>
      <c r="S142" s="59" t="e">
        <f ca="1">AVERAGE(OFFSET($R$3,0,0,'Données projet'!$E$9+1,1))-AVERAGE(OFFSET($H$3,0,0,'Données projet'!$E$9+1,1))</f>
        <v>#N/A</v>
      </c>
      <c r="T142" s="59" t="e">
        <f t="shared" si="142"/>
        <v>#N/A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 t="e">
        <f>EXP(-LN(2)/35)*Z141+(1-EXP(-LN(2)/35))/(LN(2)/35)*V142*W142*VLOOKUP('Données projet'!$B$9,Paramètres!$A$1:$I$89,3,0)*0.475*44/12</f>
        <v>#N/A</v>
      </c>
      <c r="AA142" s="21" t="e">
        <f>EXP(-LN(2)/25)*AA141+(1-EXP(-LN(2)/25))/(LN(2)/25)*Calculateur!V142*Calculateur!X142*VLOOKUP('Données projet'!$B$9,Paramètres!$A$1:$I$89,3,0)*0.475*44/12</f>
        <v>#N/A</v>
      </c>
      <c r="AB142" s="21" t="e">
        <f>EXP(-LN(2)/2)*AB141+(1-EXP(-LN(2)/2))/(LN(2)/2)*V142*Y142*VLOOKUP('Données projet'!$B$9,Paramètres!$A$1:$I$89,3,0)*0.475*44/12</f>
        <v>#N/A</v>
      </c>
      <c r="AC142" s="22" t="e">
        <f t="shared" si="111"/>
        <v>#N/A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-1.4897523215040567E-13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338.55719679154777</v>
      </c>
      <c r="AO142" s="59">
        <f t="shared" si="144"/>
        <v>371.26234252426531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-2.1636878955177963E-13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351.6178679548006</v>
      </c>
      <c r="BJ142" s="59">
        <f t="shared" si="146"/>
        <v>244.7141066773861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6.1538461538532374E-2</v>
      </c>
      <c r="BZ142" s="13">
        <f>BY142*VLOOKUP('Données projet'!$B$12,Paramètres!$A$1:$I$89,3,0)*VLOOKUP('Données projet'!$B$12,Paramètres!$A$1:$I$89,5,0)</f>
        <v>2.880000000003315E-2</v>
      </c>
      <c r="CA142" s="13">
        <f t="shared" si="147"/>
        <v>2.0057244427106876E-2</v>
      </c>
      <c r="CB142" s="20">
        <f t="shared" si="118"/>
        <v>8.5093034043935534E-2</v>
      </c>
      <c r="CC142" s="59">
        <f t="shared" si="119"/>
        <v>293.41842636737726</v>
      </c>
      <c r="CD142" s="59">
        <f ca="1">AVERAGE(OFFSET($CC$3,0,0,'Données projet'!$E$12+1,1))-AVERAGE(OFFSET($H$3,0,0,'Données projet'!$E$12+1,1))</f>
        <v>246.66630850723385</v>
      </c>
      <c r="CE142" s="59">
        <f t="shared" si="148"/>
        <v>145.34368562171613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1.1368683772161603E-13</v>
      </c>
      <c r="CU142" s="17">
        <f>CT142*VLOOKUP('Données projet'!$B$13,Paramètres!$A$1:$I$89,3,0)*VLOOKUP('Données projet'!$B$13,Paramètres!$A$1:$I$89,5,0)</f>
        <v>8.8675733422860506E-14</v>
      </c>
      <c r="CV142" s="13">
        <f t="shared" si="149"/>
        <v>1.3509285393066301E-12</v>
      </c>
      <c r="CW142" s="20">
        <f t="shared" si="121"/>
        <v>2.5073107750038623E-12</v>
      </c>
      <c r="CX142" s="59">
        <f t="shared" si="122"/>
        <v>293.33333333333582</v>
      </c>
      <c r="CY142" s="59">
        <f ca="1">AVERAGE(OFFSET($CX$3,0,0,'Données projet'!$E$13+1,1))-AVERAGE(OFFSET($H$3,0,0,'Données projet'!$E$13+1,1))</f>
        <v>292.57482726862594</v>
      </c>
      <c r="CZ142" s="59">
        <f t="shared" si="150"/>
        <v>283.48738729114024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2.7</v>
      </c>
      <c r="DO142" s="12">
        <f>IF('Données projet'!$A$166&gt;35,DO141+DN142-DW141,IF(A142&lt;'Données projet'!$A$166,$DL$205^A142,IF(A142='Données projet'!$A$166,'Données projet'!$B$166,DO141+DN142-DW141)))</f>
        <v>293.29999999999927</v>
      </c>
      <c r="DP142" s="17">
        <f>DO142*VLOOKUP('Données projet'!$B$14,Paramètres!$A$1:$I$89,3,0)*VLOOKUP('Données projet'!$B$14,Paramètres!$A$1:$I$89,5,0)</f>
        <v>297.40619999999927</v>
      </c>
      <c r="DQ142" s="13">
        <f t="shared" si="151"/>
        <v>70.632428863759543</v>
      </c>
      <c r="DR142" s="20">
        <f t="shared" si="124"/>
        <v>641.0006119377133</v>
      </c>
      <c r="DS142" s="59">
        <f t="shared" si="125"/>
        <v>934.33394527104656</v>
      </c>
      <c r="DT142" s="59">
        <f ca="1">AVERAGE(OFFSET($DS$3,0,0,'Données projet'!$E$14+1,1))-AVERAGE(OFFSET($H$3,0,0,'Données projet'!$E$14+1,1))</f>
        <v>475.47920969424894</v>
      </c>
      <c r="DU142" s="59">
        <f t="shared" si="152"/>
        <v>271.73544012419364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2.7</v>
      </c>
      <c r="EJ142" s="12">
        <f>IF('Données projet'!$A$192&gt;35,EJ141+EI142-ER141,IF(A142&lt;'Données projet'!$A$192,$EG$205^A142,IF(A142='Données projet'!$A$192,'Données projet'!$B$192,EJ141+EI142-ER141)))</f>
        <v>293.29999999999927</v>
      </c>
      <c r="EK142" s="17">
        <f>EJ142*VLOOKUP('Données projet'!$B$15,Paramètres!$A$1:$I$89,3,0)*VLOOKUP('Données projet'!$B$15,Paramètres!$A$1:$I$89,5,0)</f>
        <v>265.37783999999937</v>
      </c>
      <c r="EL142" s="13">
        <f t="shared" si="153"/>
        <v>63.867346655917089</v>
      </c>
      <c r="EM142" s="20">
        <f t="shared" si="127"/>
        <v>573.43536675905443</v>
      </c>
      <c r="EN142" s="59">
        <f t="shared" si="128"/>
        <v>866.76870009238769</v>
      </c>
      <c r="EO142" s="59">
        <f ca="1">AVERAGE(OFFSET($EN$3,0,0,'Données projet'!$E$15+1,1))-AVERAGE(OFFSET($H$3,0,0,'Données projet'!$E$15+1,1))</f>
        <v>428.8489304403459</v>
      </c>
      <c r="EP142" s="59">
        <f t="shared" si="154"/>
        <v>247.01165577562966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245.25496369542458</v>
      </c>
      <c r="FK142" s="59">
        <f t="shared" si="156"/>
        <v>342.30266518164211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0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 t="e">
        <f>N143*VLOOKUP('Données projet'!$B$9,Paramètres!$A$1:$I$89,3,0)*VLOOKUP('Données projet'!$B$9,Paramètres!$A$1:$I$89,5,0)</f>
        <v>#N/A</v>
      </c>
      <c r="P143" s="13" t="e">
        <f t="shared" si="141"/>
        <v>#N/A</v>
      </c>
      <c r="Q143" s="20" t="e">
        <f t="shared" si="108"/>
        <v>#N/A</v>
      </c>
      <c r="R143" s="59" t="e">
        <f t="shared" si="109"/>
        <v>#N/A</v>
      </c>
      <c r="S143" s="59" t="e">
        <f ca="1">AVERAGE(OFFSET($R$3,0,0,'Données projet'!$E$9+1,1))-AVERAGE(OFFSET($H$3,0,0,'Données projet'!$E$9+1,1))</f>
        <v>#N/A</v>
      </c>
      <c r="T143" s="59" t="e">
        <f t="shared" si="142"/>
        <v>#N/A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 t="e">
        <f>EXP(-LN(2)/35)*Z142+(1-EXP(-LN(2)/35))/(LN(2)/35)*V143*W143*VLOOKUP('Données projet'!$B$9,Paramètres!$A$1:$I$89,3,0)*0.475*44/12</f>
        <v>#N/A</v>
      </c>
      <c r="AA143" s="21" t="e">
        <f>EXP(-LN(2)/25)*AA142+(1-EXP(-LN(2)/25))/(LN(2)/25)*Calculateur!V143*Calculateur!X143*VLOOKUP('Données projet'!$B$9,Paramètres!$A$1:$I$89,3,0)*0.475*44/12</f>
        <v>#N/A</v>
      </c>
      <c r="AB143" s="21" t="e">
        <f>EXP(-LN(2)/2)*AB142+(1-EXP(-LN(2)/2))/(LN(2)/2)*V143*Y143*VLOOKUP('Données projet'!$B$9,Paramètres!$A$1:$I$89,3,0)*0.475*44/12</f>
        <v>#N/A</v>
      </c>
      <c r="AC143" s="22" t="e">
        <f t="shared" si="111"/>
        <v>#N/A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-1.4897523215040567E-13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338.55719679154777</v>
      </c>
      <c r="AO143" s="59">
        <f t="shared" si="144"/>
        <v>371.26234252426531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-2.1636878955177963E-13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351.6178679548006</v>
      </c>
      <c r="BJ143" s="59">
        <f t="shared" si="146"/>
        <v>244.7141066773861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6.1538461538532374E-2</v>
      </c>
      <c r="BZ143" s="13">
        <f>BY143*VLOOKUP('Données projet'!$B$12,Paramètres!$A$1:$I$89,3,0)*VLOOKUP('Données projet'!$B$12,Paramètres!$A$1:$I$89,5,0)</f>
        <v>2.880000000003315E-2</v>
      </c>
      <c r="CA143" s="13">
        <f t="shared" si="147"/>
        <v>2.0057244427106876E-2</v>
      </c>
      <c r="CB143" s="20">
        <f t="shared" si="118"/>
        <v>8.5093034043935534E-2</v>
      </c>
      <c r="CC143" s="59">
        <f t="shared" si="119"/>
        <v>293.41842636737726</v>
      </c>
      <c r="CD143" s="59">
        <f ca="1">AVERAGE(OFFSET($CC$3,0,0,'Données projet'!$E$12+1,1))-AVERAGE(OFFSET($H$3,0,0,'Données projet'!$E$12+1,1))</f>
        <v>246.66630850723385</v>
      </c>
      <c r="CE143" s="59">
        <f t="shared" si="148"/>
        <v>145.34368562171613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1.1368683772161603E-13</v>
      </c>
      <c r="CU143" s="17">
        <f>CT143*VLOOKUP('Données projet'!$B$13,Paramètres!$A$1:$I$89,3,0)*VLOOKUP('Données projet'!$B$13,Paramètres!$A$1:$I$89,5,0)</f>
        <v>8.8675733422860506E-14</v>
      </c>
      <c r="CV143" s="13">
        <f t="shared" si="149"/>
        <v>1.3509285393066301E-12</v>
      </c>
      <c r="CW143" s="20">
        <f t="shared" si="121"/>
        <v>2.5073107750038623E-12</v>
      </c>
      <c r="CX143" s="59">
        <f t="shared" si="122"/>
        <v>293.33333333333582</v>
      </c>
      <c r="CY143" s="59">
        <f ca="1">AVERAGE(OFFSET($CX$3,0,0,'Données projet'!$E$13+1,1))-AVERAGE(OFFSET($H$3,0,0,'Données projet'!$E$13+1,1))</f>
        <v>292.57482726862594</v>
      </c>
      <c r="CZ143" s="59">
        <f t="shared" si="150"/>
        <v>283.48738729114024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>
        <f>VLOOKUP(A143,'Données projet'!$A$165:$I$185,2,0)</f>
        <v>296</v>
      </c>
      <c r="DM143" s="12">
        <f>VLOOKUP(A143,'Données projet'!$A$165:$I$185,9,0)</f>
        <v>2.7</v>
      </c>
      <c r="DN143" s="12">
        <f t="array" ref="DN143">INDEX(DM:DM,MIN(IF(ISNUMBER(DM143:DM339),ROW(DM143:DM339),"")))</f>
        <v>2.7</v>
      </c>
      <c r="DO143" s="12">
        <f>IF('Données projet'!$A$166&gt;35,DO142+DN143-DW142,IF(A143&lt;'Données projet'!$A$166,$DL$205^A143,IF(A143='Données projet'!$A$166,'Données projet'!$B$166,DO142+DN143-DW142)))</f>
        <v>295.99999999999926</v>
      </c>
      <c r="DP143" s="17">
        <f>DO143*VLOOKUP('Données projet'!$B$14,Paramètres!$A$1:$I$89,3,0)*VLOOKUP('Données projet'!$B$14,Paramètres!$A$1:$I$89,5,0)</f>
        <v>300.14399999999927</v>
      </c>
      <c r="DQ143" s="13">
        <f t="shared" si="151"/>
        <v>71.206650563609728</v>
      </c>
      <c r="DR143" s="20">
        <f t="shared" si="124"/>
        <v>646.76904973161891</v>
      </c>
      <c r="DS143" s="59">
        <f t="shared" si="125"/>
        <v>940.10238306495216</v>
      </c>
      <c r="DT143" s="59">
        <f ca="1">AVERAGE(OFFSET($DS$3,0,0,'Données projet'!$E$14+1,1))-AVERAGE(OFFSET($H$3,0,0,'Données projet'!$E$14+1,1))</f>
        <v>475.47920969424894</v>
      </c>
      <c r="DU143" s="59">
        <f t="shared" si="152"/>
        <v>271.73544012419364</v>
      </c>
      <c r="DV143" s="15">
        <f>IF(ISNA(VLOOKUP(A143,'Données projet'!$A$165:$I$185,3,0)),0,VLOOKUP(A143,'Données projet'!$A$165:$I$185,3,0))</f>
        <v>12</v>
      </c>
      <c r="DW143" s="15">
        <f>IF(ISNA(VLOOKUP(A143,'Données projet'!$A$165:$I$185,4,0)),0,VLOOKUP(A143,'Données projet'!$A$165:$I$185,4,0))</f>
        <v>27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>
        <f>VLOOKUP(A143,'Données projet'!$A$191:$I$211,2,0)</f>
        <v>296</v>
      </c>
      <c r="EH143" s="12">
        <f>VLOOKUP(A143,'Données projet'!$A$191:$I$211,9,0)</f>
        <v>2.7</v>
      </c>
      <c r="EI143" s="12">
        <f t="array" ref="EI143">INDEX(EH:EH,MIN(IF(ISNUMBER(EH143:EH339),ROW(EH143:EH339),"")))</f>
        <v>2.7</v>
      </c>
      <c r="EJ143" s="12">
        <f>IF('Données projet'!$A$192&gt;35,EJ142+EI143-ER142,IF(A143&lt;'Données projet'!$A$192,$EG$205^A143,IF(A143='Données projet'!$A$192,'Données projet'!$B$192,EJ142+EI143-ER142)))</f>
        <v>295.99999999999926</v>
      </c>
      <c r="EK143" s="17">
        <f>EJ143*VLOOKUP('Données projet'!$B$15,Paramètres!$A$1:$I$89,3,0)*VLOOKUP('Données projet'!$B$15,Paramètres!$A$1:$I$89,5,0)</f>
        <v>267.82079999999934</v>
      </c>
      <c r="EL143" s="13">
        <f t="shared" si="153"/>
        <v>64.386570147897245</v>
      </c>
      <c r="EM143" s="20">
        <f t="shared" si="127"/>
        <v>578.59450300758647</v>
      </c>
      <c r="EN143" s="59">
        <f t="shared" si="128"/>
        <v>871.92783634091984</v>
      </c>
      <c r="EO143" s="59">
        <f ca="1">AVERAGE(OFFSET($EN$3,0,0,'Données projet'!$E$15+1,1))-AVERAGE(OFFSET($H$3,0,0,'Données projet'!$E$15+1,1))</f>
        <v>428.8489304403459</v>
      </c>
      <c r="EP143" s="59">
        <f t="shared" si="154"/>
        <v>247.01165577562966</v>
      </c>
      <c r="EQ143" s="15">
        <f>IF(ISNA(VLOOKUP(A143,'Données projet'!$A$191:$I$211,3,0)),0,VLOOKUP(A143,'Données projet'!$A$191:$I$211,3,0))</f>
        <v>12</v>
      </c>
      <c r="ER143" s="15">
        <f>IF(ISNA(VLOOKUP(A143,'Données projet'!$A$191:$I$211,4,0)),0,VLOOKUP(A143,'Données projet'!$A$191:$I$211,4,0))</f>
        <v>27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245.25496369542458</v>
      </c>
      <c r="FK143" s="59">
        <f t="shared" si="156"/>
        <v>342.30266518164211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0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 t="e">
        <f>N144*VLOOKUP('Données projet'!$B$9,Paramètres!$A$1:$I$89,3,0)*VLOOKUP('Données projet'!$B$9,Paramètres!$A$1:$I$89,5,0)</f>
        <v>#N/A</v>
      </c>
      <c r="P144" s="13" t="e">
        <f t="shared" si="141"/>
        <v>#N/A</v>
      </c>
      <c r="Q144" s="20" t="e">
        <f t="shared" si="108"/>
        <v>#N/A</v>
      </c>
      <c r="R144" s="59" t="e">
        <f t="shared" si="109"/>
        <v>#N/A</v>
      </c>
      <c r="S144" s="59" t="e">
        <f ca="1">AVERAGE(OFFSET($R$3,0,0,'Données projet'!$E$9+1,1))-AVERAGE(OFFSET($H$3,0,0,'Données projet'!$E$9+1,1))</f>
        <v>#N/A</v>
      </c>
      <c r="T144" s="59" t="e">
        <f t="shared" si="142"/>
        <v>#N/A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 t="e">
        <f>EXP(-LN(2)/35)*Z143+(1-EXP(-LN(2)/35))/(LN(2)/35)*V144*W144*VLOOKUP('Données projet'!$B$9,Paramètres!$A$1:$I$89,3,0)*0.475*44/12</f>
        <v>#N/A</v>
      </c>
      <c r="AA144" s="21" t="e">
        <f>EXP(-LN(2)/25)*AA143+(1-EXP(-LN(2)/25))/(LN(2)/25)*Calculateur!V144*Calculateur!X144*VLOOKUP('Données projet'!$B$9,Paramètres!$A$1:$I$89,3,0)*0.475*44/12</f>
        <v>#N/A</v>
      </c>
      <c r="AB144" s="21" t="e">
        <f>EXP(-LN(2)/2)*AB143+(1-EXP(-LN(2)/2))/(LN(2)/2)*V144*Y144*VLOOKUP('Données projet'!$B$9,Paramètres!$A$1:$I$89,3,0)*0.475*44/12</f>
        <v>#N/A</v>
      </c>
      <c r="AC144" s="22" t="e">
        <f t="shared" si="111"/>
        <v>#N/A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-1.4897523215040567E-13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338.55719679154777</v>
      </c>
      <c r="AO144" s="59">
        <f t="shared" si="144"/>
        <v>371.26234252426531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-2.1636878955177963E-13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351.6178679548006</v>
      </c>
      <c r="BJ144" s="59">
        <f t="shared" si="146"/>
        <v>244.7141066773861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6.1538461538532374E-2</v>
      </c>
      <c r="BZ144" s="13">
        <f>BY144*VLOOKUP('Données projet'!$B$12,Paramètres!$A$1:$I$89,3,0)*VLOOKUP('Données projet'!$B$12,Paramètres!$A$1:$I$89,5,0)</f>
        <v>2.880000000003315E-2</v>
      </c>
      <c r="CA144" s="13">
        <f t="shared" si="147"/>
        <v>2.0057244427106876E-2</v>
      </c>
      <c r="CB144" s="20">
        <f t="shared" si="118"/>
        <v>8.5093034043935534E-2</v>
      </c>
      <c r="CC144" s="59">
        <f t="shared" si="119"/>
        <v>293.41842636737726</v>
      </c>
      <c r="CD144" s="59">
        <f ca="1">AVERAGE(OFFSET($CC$3,0,0,'Données projet'!$E$12+1,1))-AVERAGE(OFFSET($H$3,0,0,'Données projet'!$E$12+1,1))</f>
        <v>246.66630850723385</v>
      </c>
      <c r="CE144" s="59">
        <f t="shared" si="148"/>
        <v>145.34368562171613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1.1368683772161603E-13</v>
      </c>
      <c r="CU144" s="17">
        <f>CT144*VLOOKUP('Données projet'!$B$13,Paramètres!$A$1:$I$89,3,0)*VLOOKUP('Données projet'!$B$13,Paramètres!$A$1:$I$89,5,0)</f>
        <v>8.8675733422860506E-14</v>
      </c>
      <c r="CV144" s="13">
        <f t="shared" si="149"/>
        <v>1.3509285393066301E-12</v>
      </c>
      <c r="CW144" s="20">
        <f t="shared" si="121"/>
        <v>2.5073107750038623E-12</v>
      </c>
      <c r="CX144" s="59">
        <f t="shared" si="122"/>
        <v>293.33333333333582</v>
      </c>
      <c r="CY144" s="59">
        <f ca="1">AVERAGE(OFFSET($CX$3,0,0,'Données projet'!$E$13+1,1))-AVERAGE(OFFSET($H$3,0,0,'Données projet'!$E$13+1,1))</f>
        <v>292.57482726862594</v>
      </c>
      <c r="CZ144" s="59">
        <f t="shared" si="150"/>
        <v>283.48738729114024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2.4</v>
      </c>
      <c r="DO144" s="12">
        <f>IF('Données projet'!$A$166&gt;35,DO143+DN144-DW143,IF(A144&lt;'Données projet'!$A$166,$DL$205^A144,IF(A144='Données projet'!$A$166,'Données projet'!$B$166,DO143+DN144-DW143)))</f>
        <v>271.39999999999924</v>
      </c>
      <c r="DP144" s="17">
        <f>DO144*VLOOKUP('Données projet'!$B$14,Paramètres!$A$1:$I$89,3,0)*VLOOKUP('Données projet'!$B$14,Paramètres!$A$1:$I$89,5,0)</f>
        <v>275.19959999999924</v>
      </c>
      <c r="DQ144" s="13">
        <f t="shared" si="151"/>
        <v>65.951527620662489</v>
      </c>
      <c r="DR144" s="20">
        <f t="shared" si="124"/>
        <v>594.17154727265245</v>
      </c>
      <c r="DS144" s="59">
        <f t="shared" si="125"/>
        <v>887.50488060598582</v>
      </c>
      <c r="DT144" s="59">
        <f ca="1">AVERAGE(OFFSET($DS$3,0,0,'Données projet'!$E$14+1,1))-AVERAGE(OFFSET($H$3,0,0,'Données projet'!$E$14+1,1))</f>
        <v>475.47920969424894</v>
      </c>
      <c r="DU144" s="59">
        <f t="shared" si="152"/>
        <v>271.73544012419364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2.4</v>
      </c>
      <c r="EJ144" s="12">
        <f>IF('Données projet'!$A$192&gt;35,EJ143+EI144-ER143,IF(A144&lt;'Données projet'!$A$192,$EG$205^A144,IF(A144='Données projet'!$A$192,'Données projet'!$B$192,EJ143+EI144-ER143)))</f>
        <v>271.39999999999924</v>
      </c>
      <c r="EK144" s="17">
        <f>EJ144*VLOOKUP('Données projet'!$B$15,Paramètres!$A$1:$I$89,3,0)*VLOOKUP('Données projet'!$B$15,Paramètres!$A$1:$I$89,5,0)</f>
        <v>245.5627199999993</v>
      </c>
      <c r="EL144" s="13">
        <f t="shared" si="153"/>
        <v>59.634776048276741</v>
      </c>
      <c r="EM144" s="20">
        <f t="shared" si="127"/>
        <v>531.55230561741405</v>
      </c>
      <c r="EN144" s="59">
        <f t="shared" si="128"/>
        <v>824.88563895074731</v>
      </c>
      <c r="EO144" s="59">
        <f ca="1">AVERAGE(OFFSET($EN$3,0,0,'Données projet'!$E$15+1,1))-AVERAGE(OFFSET($H$3,0,0,'Données projet'!$E$15+1,1))</f>
        <v>428.8489304403459</v>
      </c>
      <c r="EP144" s="59">
        <f t="shared" si="154"/>
        <v>247.01165577562966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245.25496369542458</v>
      </c>
      <c r="FK144" s="59">
        <f t="shared" si="156"/>
        <v>342.30266518164211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0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 t="e">
        <f>N145*VLOOKUP('Données projet'!$B$9,Paramètres!$A$1:$I$89,3,0)*VLOOKUP('Données projet'!$B$9,Paramètres!$A$1:$I$89,5,0)</f>
        <v>#N/A</v>
      </c>
      <c r="P145" s="13" t="e">
        <f t="shared" si="141"/>
        <v>#N/A</v>
      </c>
      <c r="Q145" s="20" t="e">
        <f t="shared" si="108"/>
        <v>#N/A</v>
      </c>
      <c r="R145" s="59" t="e">
        <f t="shared" si="109"/>
        <v>#N/A</v>
      </c>
      <c r="S145" s="59" t="e">
        <f ca="1">AVERAGE(OFFSET($R$3,0,0,'Données projet'!$E$9+1,1))-AVERAGE(OFFSET($H$3,0,0,'Données projet'!$E$9+1,1))</f>
        <v>#N/A</v>
      </c>
      <c r="T145" s="59" t="e">
        <f t="shared" si="142"/>
        <v>#N/A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 t="e">
        <f>EXP(-LN(2)/35)*Z144+(1-EXP(-LN(2)/35))/(LN(2)/35)*V145*W145*VLOOKUP('Données projet'!$B$9,Paramètres!$A$1:$I$89,3,0)*0.475*44/12</f>
        <v>#N/A</v>
      </c>
      <c r="AA145" s="21" t="e">
        <f>EXP(-LN(2)/25)*AA144+(1-EXP(-LN(2)/25))/(LN(2)/25)*Calculateur!V145*Calculateur!X145*VLOOKUP('Données projet'!$B$9,Paramètres!$A$1:$I$89,3,0)*0.475*44/12</f>
        <v>#N/A</v>
      </c>
      <c r="AB145" s="21" t="e">
        <f>EXP(-LN(2)/2)*AB144+(1-EXP(-LN(2)/2))/(LN(2)/2)*V145*Y145*VLOOKUP('Données projet'!$B$9,Paramètres!$A$1:$I$89,3,0)*0.475*44/12</f>
        <v>#N/A</v>
      </c>
      <c r="AC145" s="22" t="e">
        <f t="shared" si="111"/>
        <v>#N/A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-1.4897523215040567E-13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338.55719679154777</v>
      </c>
      <c r="AO145" s="59">
        <f t="shared" si="144"/>
        <v>371.26234252426531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-2.1636878955177963E-13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351.6178679548006</v>
      </c>
      <c r="BJ145" s="59">
        <f t="shared" si="146"/>
        <v>244.7141066773861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6.1538461538532374E-2</v>
      </c>
      <c r="BZ145" s="13">
        <f>BY145*VLOOKUP('Données projet'!$B$12,Paramètres!$A$1:$I$89,3,0)*VLOOKUP('Données projet'!$B$12,Paramètres!$A$1:$I$89,5,0)</f>
        <v>2.880000000003315E-2</v>
      </c>
      <c r="CA145" s="13">
        <f t="shared" si="147"/>
        <v>2.0057244427106876E-2</v>
      </c>
      <c r="CB145" s="20">
        <f t="shared" si="118"/>
        <v>8.5093034043935534E-2</v>
      </c>
      <c r="CC145" s="59">
        <f t="shared" si="119"/>
        <v>293.41842636737726</v>
      </c>
      <c r="CD145" s="59">
        <f ca="1">AVERAGE(OFFSET($CC$3,0,0,'Données projet'!$E$12+1,1))-AVERAGE(OFFSET($H$3,0,0,'Données projet'!$E$12+1,1))</f>
        <v>246.66630850723385</v>
      </c>
      <c r="CE145" s="59">
        <f t="shared" si="148"/>
        <v>145.34368562171613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1.1368683772161603E-13</v>
      </c>
      <c r="CU145" s="17">
        <f>CT145*VLOOKUP('Données projet'!$B$13,Paramètres!$A$1:$I$89,3,0)*VLOOKUP('Données projet'!$B$13,Paramètres!$A$1:$I$89,5,0)</f>
        <v>8.8675733422860506E-14</v>
      </c>
      <c r="CV145" s="13">
        <f t="shared" si="149"/>
        <v>1.3509285393066301E-12</v>
      </c>
      <c r="CW145" s="20">
        <f t="shared" si="121"/>
        <v>2.5073107750038623E-12</v>
      </c>
      <c r="CX145" s="59">
        <f t="shared" si="122"/>
        <v>293.33333333333582</v>
      </c>
      <c r="CY145" s="59">
        <f ca="1">AVERAGE(OFFSET($CX$3,0,0,'Données projet'!$E$13+1,1))-AVERAGE(OFFSET($H$3,0,0,'Données projet'!$E$13+1,1))</f>
        <v>292.57482726862594</v>
      </c>
      <c r="CZ145" s="59">
        <f t="shared" si="150"/>
        <v>283.48738729114024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2.4</v>
      </c>
      <c r="DO145" s="12">
        <f>IF('Données projet'!$A$166&gt;35,DO144+DN145-DW144,IF(A145&lt;'Données projet'!$A$166,$DL$205^A145,IF(A145='Données projet'!$A$166,'Données projet'!$B$166,DO144+DN145-DW144)))</f>
        <v>273.79999999999922</v>
      </c>
      <c r="DP145" s="17">
        <f>DO145*VLOOKUP('Données projet'!$B$14,Paramètres!$A$1:$I$89,3,0)*VLOOKUP('Données projet'!$B$14,Paramètres!$A$1:$I$89,5,0)</f>
        <v>277.63319999999919</v>
      </c>
      <c r="DQ145" s="13">
        <f t="shared" si="151"/>
        <v>66.466589162975524</v>
      </c>
      <c r="DR145" s="20">
        <f t="shared" si="124"/>
        <v>599.30713279218094</v>
      </c>
      <c r="DS145" s="59">
        <f t="shared" si="125"/>
        <v>892.64046612551419</v>
      </c>
      <c r="DT145" s="59">
        <f ca="1">AVERAGE(OFFSET($DS$3,0,0,'Données projet'!$E$14+1,1))-AVERAGE(OFFSET($H$3,0,0,'Données projet'!$E$14+1,1))</f>
        <v>475.47920969424894</v>
      </c>
      <c r="DU145" s="59">
        <f t="shared" si="152"/>
        <v>271.73544012419364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2.4</v>
      </c>
      <c r="EJ145" s="12">
        <f>IF('Données projet'!$A$192&gt;35,EJ144+EI145-ER144,IF(A145&lt;'Données projet'!$A$192,$EG$205^A145,IF(A145='Données projet'!$A$192,'Données projet'!$B$192,EJ144+EI145-ER144)))</f>
        <v>273.79999999999922</v>
      </c>
      <c r="EK145" s="17">
        <f>EJ145*VLOOKUP('Données projet'!$B$15,Paramètres!$A$1:$I$89,3,0)*VLOOKUP('Données projet'!$B$15,Paramètres!$A$1:$I$89,5,0)</f>
        <v>247.73423999999929</v>
      </c>
      <c r="EL145" s="13">
        <f t="shared" si="153"/>
        <v>60.100505665694953</v>
      </c>
      <c r="EM145" s="20">
        <f t="shared" si="127"/>
        <v>536.14551536775082</v>
      </c>
      <c r="EN145" s="59">
        <f t="shared" si="128"/>
        <v>829.47884870108419</v>
      </c>
      <c r="EO145" s="59">
        <f ca="1">AVERAGE(OFFSET($EN$3,0,0,'Données projet'!$E$15+1,1))-AVERAGE(OFFSET($H$3,0,0,'Données projet'!$E$15+1,1))</f>
        <v>428.8489304403459</v>
      </c>
      <c r="EP145" s="59">
        <f t="shared" si="154"/>
        <v>247.01165577562966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245.25496369542458</v>
      </c>
      <c r="FK145" s="59">
        <f t="shared" si="156"/>
        <v>342.30266518164211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0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 t="e">
        <f>N146*VLOOKUP('Données projet'!$B$9,Paramètres!$A$1:$I$89,3,0)*VLOOKUP('Données projet'!$B$9,Paramètres!$A$1:$I$89,5,0)</f>
        <v>#N/A</v>
      </c>
      <c r="P146" s="13" t="e">
        <f t="shared" si="141"/>
        <v>#N/A</v>
      </c>
      <c r="Q146" s="20" t="e">
        <f t="shared" si="108"/>
        <v>#N/A</v>
      </c>
      <c r="R146" s="59" t="e">
        <f t="shared" si="109"/>
        <v>#N/A</v>
      </c>
      <c r="S146" s="59" t="e">
        <f ca="1">AVERAGE(OFFSET($R$3,0,0,'Données projet'!$E$9+1,1))-AVERAGE(OFFSET($H$3,0,0,'Données projet'!$E$9+1,1))</f>
        <v>#N/A</v>
      </c>
      <c r="T146" s="59" t="e">
        <f t="shared" si="142"/>
        <v>#N/A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 t="e">
        <f>EXP(-LN(2)/35)*Z145+(1-EXP(-LN(2)/35))/(LN(2)/35)*V146*W146*VLOOKUP('Données projet'!$B$9,Paramètres!$A$1:$I$89,3,0)*0.475*44/12</f>
        <v>#N/A</v>
      </c>
      <c r="AA146" s="21" t="e">
        <f>EXP(-LN(2)/25)*AA145+(1-EXP(-LN(2)/25))/(LN(2)/25)*Calculateur!V146*Calculateur!X146*VLOOKUP('Données projet'!$B$9,Paramètres!$A$1:$I$89,3,0)*0.475*44/12</f>
        <v>#N/A</v>
      </c>
      <c r="AB146" s="21" t="e">
        <f>EXP(-LN(2)/2)*AB145+(1-EXP(-LN(2)/2))/(LN(2)/2)*V146*Y146*VLOOKUP('Données projet'!$B$9,Paramètres!$A$1:$I$89,3,0)*0.475*44/12</f>
        <v>#N/A</v>
      </c>
      <c r="AC146" s="22" t="e">
        <f t="shared" si="111"/>
        <v>#N/A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-1.4897523215040567E-13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338.55719679154777</v>
      </c>
      <c r="AO146" s="59">
        <f t="shared" si="144"/>
        <v>371.26234252426531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-2.1636878955177963E-13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351.6178679548006</v>
      </c>
      <c r="BJ146" s="59">
        <f t="shared" si="146"/>
        <v>244.7141066773861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6.1538461538532374E-2</v>
      </c>
      <c r="BZ146" s="13">
        <f>BY146*VLOOKUP('Données projet'!$B$12,Paramètres!$A$1:$I$89,3,0)*VLOOKUP('Données projet'!$B$12,Paramètres!$A$1:$I$89,5,0)</f>
        <v>2.880000000003315E-2</v>
      </c>
      <c r="CA146" s="13">
        <f t="shared" si="147"/>
        <v>2.0057244427106876E-2</v>
      </c>
      <c r="CB146" s="20">
        <f t="shared" si="118"/>
        <v>8.5093034043935534E-2</v>
      </c>
      <c r="CC146" s="59">
        <f t="shared" si="119"/>
        <v>293.41842636737726</v>
      </c>
      <c r="CD146" s="59">
        <f ca="1">AVERAGE(OFFSET($CC$3,0,0,'Données projet'!$E$12+1,1))-AVERAGE(OFFSET($H$3,0,0,'Données projet'!$E$12+1,1))</f>
        <v>246.66630850723385</v>
      </c>
      <c r="CE146" s="59">
        <f t="shared" si="148"/>
        <v>145.34368562171613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1.1368683772161603E-13</v>
      </c>
      <c r="CU146" s="17">
        <f>CT146*VLOOKUP('Données projet'!$B$13,Paramètres!$A$1:$I$89,3,0)*VLOOKUP('Données projet'!$B$13,Paramètres!$A$1:$I$89,5,0)</f>
        <v>8.8675733422860506E-14</v>
      </c>
      <c r="CV146" s="13">
        <f t="shared" si="149"/>
        <v>1.3509285393066301E-12</v>
      </c>
      <c r="CW146" s="20">
        <f t="shared" si="121"/>
        <v>2.5073107750038623E-12</v>
      </c>
      <c r="CX146" s="59">
        <f t="shared" si="122"/>
        <v>293.33333333333582</v>
      </c>
      <c r="CY146" s="59">
        <f ca="1">AVERAGE(OFFSET($CX$3,0,0,'Données projet'!$E$13+1,1))-AVERAGE(OFFSET($H$3,0,0,'Données projet'!$E$13+1,1))</f>
        <v>292.57482726862594</v>
      </c>
      <c r="CZ146" s="59">
        <f t="shared" si="150"/>
        <v>283.48738729114024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2.4</v>
      </c>
      <c r="DO146" s="12">
        <f>IF('Données projet'!$A$166&gt;35,DO145+DN146-DW145,IF(A146&lt;'Données projet'!$A$166,$DL$205^A146,IF(A146='Données projet'!$A$166,'Données projet'!$B$166,DO145+DN146-DW145)))</f>
        <v>276.19999999999919</v>
      </c>
      <c r="DP146" s="17">
        <f>DO146*VLOOKUP('Données projet'!$B$14,Paramètres!$A$1:$I$89,3,0)*VLOOKUP('Données projet'!$B$14,Paramètres!$A$1:$I$89,5,0)</f>
        <v>280.0667999999992</v>
      </c>
      <c r="DQ146" s="13">
        <f t="shared" si="151"/>
        <v>66.981125445388756</v>
      </c>
      <c r="DR146" s="20">
        <f t="shared" si="124"/>
        <v>604.44180348405064</v>
      </c>
      <c r="DS146" s="59">
        <f t="shared" si="125"/>
        <v>897.77513681738401</v>
      </c>
      <c r="DT146" s="59">
        <f ca="1">AVERAGE(OFFSET($DS$3,0,0,'Données projet'!$E$14+1,1))-AVERAGE(OFFSET($H$3,0,0,'Données projet'!$E$14+1,1))</f>
        <v>475.47920969424894</v>
      </c>
      <c r="DU146" s="59">
        <f t="shared" si="152"/>
        <v>271.73544012419364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2.4</v>
      </c>
      <c r="EJ146" s="12">
        <f>IF('Données projet'!$A$192&gt;35,EJ145+EI146-ER145,IF(A146&lt;'Données projet'!$A$192,$EG$205^A146,IF(A146='Données projet'!$A$192,'Données projet'!$B$192,EJ145+EI146-ER145)))</f>
        <v>276.19999999999919</v>
      </c>
      <c r="EK146" s="17">
        <f>EJ146*VLOOKUP('Données projet'!$B$15,Paramètres!$A$1:$I$89,3,0)*VLOOKUP('Données projet'!$B$15,Paramètres!$A$1:$I$89,5,0)</f>
        <v>249.90575999999925</v>
      </c>
      <c r="EL146" s="13">
        <f t="shared" si="153"/>
        <v>60.565760331923727</v>
      </c>
      <c r="EM146" s="20">
        <f t="shared" si="127"/>
        <v>540.73789791143247</v>
      </c>
      <c r="EN146" s="59">
        <f t="shared" si="128"/>
        <v>834.07123124476584</v>
      </c>
      <c r="EO146" s="59">
        <f ca="1">AVERAGE(OFFSET($EN$3,0,0,'Données projet'!$E$15+1,1))-AVERAGE(OFFSET($H$3,0,0,'Données projet'!$E$15+1,1))</f>
        <v>428.8489304403459</v>
      </c>
      <c r="EP146" s="59">
        <f t="shared" si="154"/>
        <v>247.01165577562966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245.25496369542458</v>
      </c>
      <c r="FK146" s="59">
        <f t="shared" si="156"/>
        <v>342.30266518164211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0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 t="e">
        <f>N147*VLOOKUP('Données projet'!$B$9,Paramètres!$A$1:$I$89,3,0)*VLOOKUP('Données projet'!$B$9,Paramètres!$A$1:$I$89,5,0)</f>
        <v>#N/A</v>
      </c>
      <c r="P147" s="13" t="e">
        <f t="shared" si="141"/>
        <v>#N/A</v>
      </c>
      <c r="Q147" s="20" t="e">
        <f t="shared" si="108"/>
        <v>#N/A</v>
      </c>
      <c r="R147" s="59" t="e">
        <f t="shared" si="109"/>
        <v>#N/A</v>
      </c>
      <c r="S147" s="59" t="e">
        <f ca="1">AVERAGE(OFFSET($R$3,0,0,'Données projet'!$E$9+1,1))-AVERAGE(OFFSET($H$3,0,0,'Données projet'!$E$9+1,1))</f>
        <v>#N/A</v>
      </c>
      <c r="T147" s="59" t="e">
        <f t="shared" si="142"/>
        <v>#N/A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 t="e">
        <f>EXP(-LN(2)/35)*Z146+(1-EXP(-LN(2)/35))/(LN(2)/35)*V147*W147*VLOOKUP('Données projet'!$B$9,Paramètres!$A$1:$I$89,3,0)*0.475*44/12</f>
        <v>#N/A</v>
      </c>
      <c r="AA147" s="21" t="e">
        <f>EXP(-LN(2)/25)*AA146+(1-EXP(-LN(2)/25))/(LN(2)/25)*Calculateur!V147*Calculateur!X147*VLOOKUP('Données projet'!$B$9,Paramètres!$A$1:$I$89,3,0)*0.475*44/12</f>
        <v>#N/A</v>
      </c>
      <c r="AB147" s="21" t="e">
        <f>EXP(-LN(2)/2)*AB146+(1-EXP(-LN(2)/2))/(LN(2)/2)*V147*Y147*VLOOKUP('Données projet'!$B$9,Paramètres!$A$1:$I$89,3,0)*0.475*44/12</f>
        <v>#N/A</v>
      </c>
      <c r="AC147" s="22" t="e">
        <f t="shared" si="111"/>
        <v>#N/A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-1.4897523215040567E-13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338.55719679154777</v>
      </c>
      <c r="AO147" s="59">
        <f t="shared" si="144"/>
        <v>371.26234252426531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-2.1636878955177963E-13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351.6178679548006</v>
      </c>
      <c r="BJ147" s="59">
        <f t="shared" si="146"/>
        <v>244.7141066773861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6.1538461538532374E-2</v>
      </c>
      <c r="BZ147" s="13">
        <f>BY147*VLOOKUP('Données projet'!$B$12,Paramètres!$A$1:$I$89,3,0)*VLOOKUP('Données projet'!$B$12,Paramètres!$A$1:$I$89,5,0)</f>
        <v>2.880000000003315E-2</v>
      </c>
      <c r="CA147" s="13">
        <f t="shared" si="147"/>
        <v>2.0057244427106876E-2</v>
      </c>
      <c r="CB147" s="20">
        <f t="shared" si="118"/>
        <v>8.5093034043935534E-2</v>
      </c>
      <c r="CC147" s="59">
        <f t="shared" si="119"/>
        <v>293.41842636737726</v>
      </c>
      <c r="CD147" s="59">
        <f ca="1">AVERAGE(OFFSET($CC$3,0,0,'Données projet'!$E$12+1,1))-AVERAGE(OFFSET($H$3,0,0,'Données projet'!$E$12+1,1))</f>
        <v>246.66630850723385</v>
      </c>
      <c r="CE147" s="59">
        <f t="shared" si="148"/>
        <v>145.34368562171613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1.1368683772161603E-13</v>
      </c>
      <c r="CU147" s="17">
        <f>CT147*VLOOKUP('Données projet'!$B$13,Paramètres!$A$1:$I$89,3,0)*VLOOKUP('Données projet'!$B$13,Paramètres!$A$1:$I$89,5,0)</f>
        <v>8.8675733422860506E-14</v>
      </c>
      <c r="CV147" s="13">
        <f t="shared" si="149"/>
        <v>1.3509285393066301E-12</v>
      </c>
      <c r="CW147" s="20">
        <f t="shared" si="121"/>
        <v>2.5073107750038623E-12</v>
      </c>
      <c r="CX147" s="59">
        <f t="shared" si="122"/>
        <v>293.33333333333582</v>
      </c>
      <c r="CY147" s="59">
        <f ca="1">AVERAGE(OFFSET($CX$3,0,0,'Données projet'!$E$13+1,1))-AVERAGE(OFFSET($H$3,0,0,'Données projet'!$E$13+1,1))</f>
        <v>292.57482726862594</v>
      </c>
      <c r="CZ147" s="59">
        <f t="shared" si="150"/>
        <v>283.48738729114024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2.4</v>
      </c>
      <c r="DO147" s="12">
        <f>IF('Données projet'!$A$166&gt;35,DO146+DN147-DW146,IF(A147&lt;'Données projet'!$A$166,$DL$205^A147,IF(A147='Données projet'!$A$166,'Données projet'!$B$166,DO146+DN147-DW146)))</f>
        <v>278.59999999999917</v>
      </c>
      <c r="DP147" s="17">
        <f>DO147*VLOOKUP('Données projet'!$B$14,Paramètres!$A$1:$I$89,3,0)*VLOOKUP('Données projet'!$B$14,Paramètres!$A$1:$I$89,5,0)</f>
        <v>282.50039999999916</v>
      </c>
      <c r="DQ147" s="13">
        <f t="shared" si="151"/>
        <v>67.495141560894254</v>
      </c>
      <c r="DR147" s="20">
        <f t="shared" si="124"/>
        <v>609.57556821855599</v>
      </c>
      <c r="DS147" s="59">
        <f t="shared" si="125"/>
        <v>902.90890155188936</v>
      </c>
      <c r="DT147" s="59">
        <f ca="1">AVERAGE(OFFSET($DS$3,0,0,'Données projet'!$E$14+1,1))-AVERAGE(OFFSET($H$3,0,0,'Données projet'!$E$14+1,1))</f>
        <v>475.47920969424894</v>
      </c>
      <c r="DU147" s="59">
        <f t="shared" si="152"/>
        <v>271.73544012419364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2.4</v>
      </c>
      <c r="EJ147" s="12">
        <f>IF('Données projet'!$A$192&gt;35,EJ146+EI147-ER146,IF(A147&lt;'Données projet'!$A$192,$EG$205^A147,IF(A147='Données projet'!$A$192,'Données projet'!$B$192,EJ146+EI147-ER146)))</f>
        <v>278.59999999999917</v>
      </c>
      <c r="EK147" s="17">
        <f>EJ147*VLOOKUP('Données projet'!$B$15,Paramètres!$A$1:$I$89,3,0)*VLOOKUP('Données projet'!$B$15,Paramètres!$A$1:$I$89,5,0)</f>
        <v>252.07727999999923</v>
      </c>
      <c r="EL147" s="13">
        <f t="shared" si="153"/>
        <v>61.030544652154823</v>
      </c>
      <c r="EM147" s="20">
        <f t="shared" si="127"/>
        <v>545.32946126916829</v>
      </c>
      <c r="EN147" s="59">
        <f t="shared" si="128"/>
        <v>838.66279460250166</v>
      </c>
      <c r="EO147" s="59">
        <f ca="1">AVERAGE(OFFSET($EN$3,0,0,'Données projet'!$E$15+1,1))-AVERAGE(OFFSET($H$3,0,0,'Données projet'!$E$15+1,1))</f>
        <v>428.8489304403459</v>
      </c>
      <c r="EP147" s="59">
        <f t="shared" si="154"/>
        <v>247.01165577562966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245.25496369542458</v>
      </c>
      <c r="FK147" s="59">
        <f t="shared" si="156"/>
        <v>342.30266518164211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0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 t="e">
        <f>N148*VLOOKUP('Données projet'!$B$9,Paramètres!$A$1:$I$89,3,0)*VLOOKUP('Données projet'!$B$9,Paramètres!$A$1:$I$89,5,0)</f>
        <v>#N/A</v>
      </c>
      <c r="P148" s="13" t="e">
        <f t="shared" si="141"/>
        <v>#N/A</v>
      </c>
      <c r="Q148" s="20" t="e">
        <f t="shared" si="108"/>
        <v>#N/A</v>
      </c>
      <c r="R148" s="59" t="e">
        <f t="shared" si="109"/>
        <v>#N/A</v>
      </c>
      <c r="S148" s="59" t="e">
        <f ca="1">AVERAGE(OFFSET($R$3,0,0,'Données projet'!$E$9+1,1))-AVERAGE(OFFSET($H$3,0,0,'Données projet'!$E$9+1,1))</f>
        <v>#N/A</v>
      </c>
      <c r="T148" s="59" t="e">
        <f t="shared" si="142"/>
        <v>#N/A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 t="e">
        <f>EXP(-LN(2)/35)*Z147+(1-EXP(-LN(2)/35))/(LN(2)/35)*V148*W148*VLOOKUP('Données projet'!$B$9,Paramètres!$A$1:$I$89,3,0)*0.475*44/12</f>
        <v>#N/A</v>
      </c>
      <c r="AA148" s="21" t="e">
        <f>EXP(-LN(2)/25)*AA147+(1-EXP(-LN(2)/25))/(LN(2)/25)*Calculateur!V148*Calculateur!X148*VLOOKUP('Données projet'!$B$9,Paramètres!$A$1:$I$89,3,0)*0.475*44/12</f>
        <v>#N/A</v>
      </c>
      <c r="AB148" s="21" t="e">
        <f>EXP(-LN(2)/2)*AB147+(1-EXP(-LN(2)/2))/(LN(2)/2)*V148*Y148*VLOOKUP('Données projet'!$B$9,Paramètres!$A$1:$I$89,3,0)*0.475*44/12</f>
        <v>#N/A</v>
      </c>
      <c r="AC148" s="22" t="e">
        <f t="shared" si="111"/>
        <v>#N/A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-1.4897523215040567E-13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338.55719679154777</v>
      </c>
      <c r="AO148" s="59">
        <f t="shared" si="144"/>
        <v>371.26234252426531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-2.1636878955177963E-13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351.6178679548006</v>
      </c>
      <c r="BJ148" s="59">
        <f t="shared" si="146"/>
        <v>244.7141066773861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6.1538461538532374E-2</v>
      </c>
      <c r="BZ148" s="13">
        <f>BY148*VLOOKUP('Données projet'!$B$12,Paramètres!$A$1:$I$89,3,0)*VLOOKUP('Données projet'!$B$12,Paramètres!$A$1:$I$89,5,0)</f>
        <v>2.880000000003315E-2</v>
      </c>
      <c r="CA148" s="13">
        <f t="shared" si="147"/>
        <v>2.0057244427106876E-2</v>
      </c>
      <c r="CB148" s="20">
        <f t="shared" si="118"/>
        <v>8.5093034043935534E-2</v>
      </c>
      <c r="CC148" s="59">
        <f t="shared" si="119"/>
        <v>293.41842636737726</v>
      </c>
      <c r="CD148" s="59">
        <f ca="1">AVERAGE(OFFSET($CC$3,0,0,'Données projet'!$E$12+1,1))-AVERAGE(OFFSET($H$3,0,0,'Données projet'!$E$12+1,1))</f>
        <v>246.66630850723385</v>
      </c>
      <c r="CE148" s="59">
        <f t="shared" si="148"/>
        <v>145.34368562171613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1.1368683772161603E-13</v>
      </c>
      <c r="CU148" s="17">
        <f>CT148*VLOOKUP('Données projet'!$B$13,Paramètres!$A$1:$I$89,3,0)*VLOOKUP('Données projet'!$B$13,Paramètres!$A$1:$I$89,5,0)</f>
        <v>8.8675733422860506E-14</v>
      </c>
      <c r="CV148" s="13">
        <f t="shared" si="149"/>
        <v>1.3509285393066301E-12</v>
      </c>
      <c r="CW148" s="20">
        <f t="shared" si="121"/>
        <v>2.5073107750038623E-12</v>
      </c>
      <c r="CX148" s="59">
        <f t="shared" si="122"/>
        <v>293.33333333333582</v>
      </c>
      <c r="CY148" s="59">
        <f ca="1">AVERAGE(OFFSET($CX$3,0,0,'Données projet'!$E$13+1,1))-AVERAGE(OFFSET($H$3,0,0,'Données projet'!$E$13+1,1))</f>
        <v>292.57482726862594</v>
      </c>
      <c r="CZ148" s="59">
        <f t="shared" si="150"/>
        <v>283.48738729114024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2.4</v>
      </c>
      <c r="DO148" s="12">
        <f>IF('Données projet'!$A$166&gt;35,DO147+DN148-DW147,IF(A148&lt;'Données projet'!$A$166,$DL$205^A148,IF(A148='Données projet'!$A$166,'Données projet'!$B$166,DO147+DN148-DW147)))</f>
        <v>280.99999999999915</v>
      </c>
      <c r="DP148" s="17">
        <f>DO148*VLOOKUP('Données projet'!$B$14,Paramètres!$A$1:$I$89,3,0)*VLOOKUP('Données projet'!$B$14,Paramètres!$A$1:$I$89,5,0)</f>
        <v>284.93399999999917</v>
      </c>
      <c r="DQ148" s="13">
        <f t="shared" si="151"/>
        <v>68.008642509673109</v>
      </c>
      <c r="DR148" s="20">
        <f t="shared" si="124"/>
        <v>614.7084357043459</v>
      </c>
      <c r="DS148" s="59">
        <f t="shared" si="125"/>
        <v>908.04176903767916</v>
      </c>
      <c r="DT148" s="59">
        <f ca="1">AVERAGE(OFFSET($DS$3,0,0,'Données projet'!$E$14+1,1))-AVERAGE(OFFSET($H$3,0,0,'Données projet'!$E$14+1,1))</f>
        <v>475.47920969424894</v>
      </c>
      <c r="DU148" s="59">
        <f t="shared" si="152"/>
        <v>271.73544012419364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2.4</v>
      </c>
      <c r="EJ148" s="12">
        <f>IF('Données projet'!$A$192&gt;35,EJ147+EI148-ER147,IF(A148&lt;'Données projet'!$A$192,$EG$205^A148,IF(A148='Données projet'!$A$192,'Données projet'!$B$192,EJ147+EI148-ER147)))</f>
        <v>280.99999999999915</v>
      </c>
      <c r="EK148" s="17">
        <f>EJ148*VLOOKUP('Données projet'!$B$15,Paramètres!$A$1:$I$89,3,0)*VLOOKUP('Données projet'!$B$15,Paramètres!$A$1:$I$89,5,0)</f>
        <v>254.24879999999925</v>
      </c>
      <c r="EL148" s="13">
        <f t="shared" si="153"/>
        <v>61.494863147658698</v>
      </c>
      <c r="EM148" s="20">
        <f t="shared" si="127"/>
        <v>549.92021331550427</v>
      </c>
      <c r="EN148" s="59">
        <f t="shared" si="128"/>
        <v>843.25354664883753</v>
      </c>
      <c r="EO148" s="59">
        <f ca="1">AVERAGE(OFFSET($EN$3,0,0,'Données projet'!$E$15+1,1))-AVERAGE(OFFSET($H$3,0,0,'Données projet'!$E$15+1,1))</f>
        <v>428.8489304403459</v>
      </c>
      <c r="EP148" s="59">
        <f t="shared" si="154"/>
        <v>247.01165577562966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245.25496369542458</v>
      </c>
      <c r="FK148" s="59">
        <f t="shared" si="156"/>
        <v>342.30266518164211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0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 t="e">
        <f>N149*VLOOKUP('Données projet'!$B$9,Paramètres!$A$1:$I$89,3,0)*VLOOKUP('Données projet'!$B$9,Paramètres!$A$1:$I$89,5,0)</f>
        <v>#N/A</v>
      </c>
      <c r="P149" s="13" t="e">
        <f t="shared" si="141"/>
        <v>#N/A</v>
      </c>
      <c r="Q149" s="20" t="e">
        <f t="shared" si="108"/>
        <v>#N/A</v>
      </c>
      <c r="R149" s="59" t="e">
        <f t="shared" si="109"/>
        <v>#N/A</v>
      </c>
      <c r="S149" s="59" t="e">
        <f ca="1">AVERAGE(OFFSET($R$3,0,0,'Données projet'!$E$9+1,1))-AVERAGE(OFFSET($H$3,0,0,'Données projet'!$E$9+1,1))</f>
        <v>#N/A</v>
      </c>
      <c r="T149" s="59" t="e">
        <f t="shared" si="142"/>
        <v>#N/A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 t="e">
        <f>EXP(-LN(2)/35)*Z148+(1-EXP(-LN(2)/35))/(LN(2)/35)*V149*W149*VLOOKUP('Données projet'!$B$9,Paramètres!$A$1:$I$89,3,0)*0.475*44/12</f>
        <v>#N/A</v>
      </c>
      <c r="AA149" s="21" t="e">
        <f>EXP(-LN(2)/25)*AA148+(1-EXP(-LN(2)/25))/(LN(2)/25)*Calculateur!V149*Calculateur!X149*VLOOKUP('Données projet'!$B$9,Paramètres!$A$1:$I$89,3,0)*0.475*44/12</f>
        <v>#N/A</v>
      </c>
      <c r="AB149" s="21" t="e">
        <f>EXP(-LN(2)/2)*AB148+(1-EXP(-LN(2)/2))/(LN(2)/2)*V149*Y149*VLOOKUP('Données projet'!$B$9,Paramètres!$A$1:$I$89,3,0)*0.475*44/12</f>
        <v>#N/A</v>
      </c>
      <c r="AC149" s="22" t="e">
        <f t="shared" si="111"/>
        <v>#N/A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-1.4897523215040567E-13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338.55719679154777</v>
      </c>
      <c r="AO149" s="59">
        <f t="shared" si="144"/>
        <v>371.26234252426531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-2.1636878955177963E-13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351.6178679548006</v>
      </c>
      <c r="BJ149" s="59">
        <f t="shared" si="146"/>
        <v>244.7141066773861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6.1538461538532374E-2</v>
      </c>
      <c r="BZ149" s="13">
        <f>BY149*VLOOKUP('Données projet'!$B$12,Paramètres!$A$1:$I$89,3,0)*VLOOKUP('Données projet'!$B$12,Paramètres!$A$1:$I$89,5,0)</f>
        <v>2.880000000003315E-2</v>
      </c>
      <c r="CA149" s="13">
        <f t="shared" si="147"/>
        <v>2.0057244427106876E-2</v>
      </c>
      <c r="CB149" s="20">
        <f t="shared" si="118"/>
        <v>8.5093034043935534E-2</v>
      </c>
      <c r="CC149" s="59">
        <f t="shared" si="119"/>
        <v>293.41842636737726</v>
      </c>
      <c r="CD149" s="59">
        <f ca="1">AVERAGE(OFFSET($CC$3,0,0,'Données projet'!$E$12+1,1))-AVERAGE(OFFSET($H$3,0,0,'Données projet'!$E$12+1,1))</f>
        <v>246.66630850723385</v>
      </c>
      <c r="CE149" s="59">
        <f t="shared" si="148"/>
        <v>145.34368562171613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1.1368683772161603E-13</v>
      </c>
      <c r="CU149" s="17">
        <f>CT149*VLOOKUP('Données projet'!$B$13,Paramètres!$A$1:$I$89,3,0)*VLOOKUP('Données projet'!$B$13,Paramètres!$A$1:$I$89,5,0)</f>
        <v>8.8675733422860506E-14</v>
      </c>
      <c r="CV149" s="13">
        <f t="shared" si="149"/>
        <v>1.3509285393066301E-12</v>
      </c>
      <c r="CW149" s="20">
        <f t="shared" si="121"/>
        <v>2.5073107750038623E-12</v>
      </c>
      <c r="CX149" s="59">
        <f t="shared" si="122"/>
        <v>293.33333333333582</v>
      </c>
      <c r="CY149" s="59">
        <f ca="1">AVERAGE(OFFSET($CX$3,0,0,'Données projet'!$E$13+1,1))-AVERAGE(OFFSET($H$3,0,0,'Données projet'!$E$13+1,1))</f>
        <v>292.57482726862594</v>
      </c>
      <c r="CZ149" s="59">
        <f t="shared" si="150"/>
        <v>283.48738729114024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2.4</v>
      </c>
      <c r="DO149" s="12">
        <f>IF('Données projet'!$A$166&gt;35,DO148+DN149-DW148,IF(A149&lt;'Données projet'!$A$166,$DL$205^A149,IF(A149='Données projet'!$A$166,'Données projet'!$B$166,DO148+DN149-DW148)))</f>
        <v>283.39999999999912</v>
      </c>
      <c r="DP149" s="17">
        <f>DO149*VLOOKUP('Données projet'!$B$14,Paramètres!$A$1:$I$89,3,0)*VLOOKUP('Données projet'!$B$14,Paramètres!$A$1:$I$89,5,0)</f>
        <v>287.36759999999913</v>
      </c>
      <c r="DQ149" s="13">
        <f t="shared" si="151"/>
        <v>68.521633201564995</v>
      </c>
      <c r="DR149" s="20">
        <f t="shared" si="124"/>
        <v>619.84041449272411</v>
      </c>
      <c r="DS149" s="59">
        <f t="shared" si="125"/>
        <v>913.17374782605748</v>
      </c>
      <c r="DT149" s="59">
        <f ca="1">AVERAGE(OFFSET($DS$3,0,0,'Données projet'!$E$14+1,1))-AVERAGE(OFFSET($H$3,0,0,'Données projet'!$E$14+1,1))</f>
        <v>475.47920969424894</v>
      </c>
      <c r="DU149" s="59">
        <f t="shared" si="152"/>
        <v>271.73544012419364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2.4</v>
      </c>
      <c r="EJ149" s="12">
        <f>IF('Données projet'!$A$192&gt;35,EJ148+EI149-ER148,IF(A149&lt;'Données projet'!$A$192,$EG$205^A149,IF(A149='Données projet'!$A$192,'Données projet'!$B$192,EJ148+EI149-ER148)))</f>
        <v>283.39999999999912</v>
      </c>
      <c r="EK149" s="17">
        <f>EJ149*VLOOKUP('Données projet'!$B$15,Paramètres!$A$1:$I$89,3,0)*VLOOKUP('Données projet'!$B$15,Paramètres!$A$1:$I$89,5,0)</f>
        <v>256.42031999999921</v>
      </c>
      <c r="EL149" s="13">
        <f t="shared" si="153"/>
        <v>61.958720258016747</v>
      </c>
      <c r="EM149" s="20">
        <f t="shared" si="127"/>
        <v>554.51016178271107</v>
      </c>
      <c r="EN149" s="59">
        <f t="shared" si="128"/>
        <v>847.84349511604432</v>
      </c>
      <c r="EO149" s="59">
        <f ca="1">AVERAGE(OFFSET($EN$3,0,0,'Données projet'!$E$15+1,1))-AVERAGE(OFFSET($H$3,0,0,'Données projet'!$E$15+1,1))</f>
        <v>428.8489304403459</v>
      </c>
      <c r="EP149" s="59">
        <f t="shared" si="154"/>
        <v>247.01165577562966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245.25496369542458</v>
      </c>
      <c r="FK149" s="59">
        <f t="shared" si="156"/>
        <v>342.30266518164211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0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 t="e">
        <f>N150*VLOOKUP('Données projet'!$B$9,Paramètres!$A$1:$I$89,3,0)*VLOOKUP('Données projet'!$B$9,Paramètres!$A$1:$I$89,5,0)</f>
        <v>#N/A</v>
      </c>
      <c r="P150" s="13" t="e">
        <f t="shared" si="141"/>
        <v>#N/A</v>
      </c>
      <c r="Q150" s="20" t="e">
        <f t="shared" si="108"/>
        <v>#N/A</v>
      </c>
      <c r="R150" s="59" t="e">
        <f t="shared" si="109"/>
        <v>#N/A</v>
      </c>
      <c r="S150" s="59" t="e">
        <f ca="1">AVERAGE(OFFSET($R$3,0,0,'Données projet'!$E$9+1,1))-AVERAGE(OFFSET($H$3,0,0,'Données projet'!$E$9+1,1))</f>
        <v>#N/A</v>
      </c>
      <c r="T150" s="59" t="e">
        <f t="shared" si="142"/>
        <v>#N/A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 t="e">
        <f>EXP(-LN(2)/35)*Z149+(1-EXP(-LN(2)/35))/(LN(2)/35)*V150*W150*VLOOKUP('Données projet'!$B$9,Paramètres!$A$1:$I$89,3,0)*0.475*44/12</f>
        <v>#N/A</v>
      </c>
      <c r="AA150" s="21" t="e">
        <f>EXP(-LN(2)/25)*AA149+(1-EXP(-LN(2)/25))/(LN(2)/25)*Calculateur!V150*Calculateur!X150*VLOOKUP('Données projet'!$B$9,Paramètres!$A$1:$I$89,3,0)*0.475*44/12</f>
        <v>#N/A</v>
      </c>
      <c r="AB150" s="21" t="e">
        <f>EXP(-LN(2)/2)*AB149+(1-EXP(-LN(2)/2))/(LN(2)/2)*V150*Y150*VLOOKUP('Données projet'!$B$9,Paramètres!$A$1:$I$89,3,0)*0.475*44/12</f>
        <v>#N/A</v>
      </c>
      <c r="AC150" s="22" t="e">
        <f t="shared" si="111"/>
        <v>#N/A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-1.4897523215040567E-13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338.55719679154777</v>
      </c>
      <c r="AO150" s="59">
        <f t="shared" si="144"/>
        <v>371.26234252426531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-2.1636878955177963E-13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351.6178679548006</v>
      </c>
      <c r="BJ150" s="59">
        <f t="shared" si="146"/>
        <v>244.7141066773861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6.1538461538532374E-2</v>
      </c>
      <c r="BZ150" s="13">
        <f>BY150*VLOOKUP('Données projet'!$B$12,Paramètres!$A$1:$I$89,3,0)*VLOOKUP('Données projet'!$B$12,Paramètres!$A$1:$I$89,5,0)</f>
        <v>2.880000000003315E-2</v>
      </c>
      <c r="CA150" s="13">
        <f t="shared" si="147"/>
        <v>2.0057244427106876E-2</v>
      </c>
      <c r="CB150" s="20">
        <f t="shared" si="118"/>
        <v>8.5093034043935534E-2</v>
      </c>
      <c r="CC150" s="59">
        <f t="shared" si="119"/>
        <v>293.41842636737726</v>
      </c>
      <c r="CD150" s="59">
        <f ca="1">AVERAGE(OFFSET($CC$3,0,0,'Données projet'!$E$12+1,1))-AVERAGE(OFFSET($H$3,0,0,'Données projet'!$E$12+1,1))</f>
        <v>246.66630850723385</v>
      </c>
      <c r="CE150" s="59">
        <f t="shared" si="148"/>
        <v>145.34368562171613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1.1368683772161603E-13</v>
      </c>
      <c r="CU150" s="17">
        <f>CT150*VLOOKUP('Données projet'!$B$13,Paramètres!$A$1:$I$89,3,0)*VLOOKUP('Données projet'!$B$13,Paramètres!$A$1:$I$89,5,0)</f>
        <v>8.8675733422860506E-14</v>
      </c>
      <c r="CV150" s="13">
        <f t="shared" si="149"/>
        <v>1.3509285393066301E-12</v>
      </c>
      <c r="CW150" s="20">
        <f t="shared" si="121"/>
        <v>2.5073107750038623E-12</v>
      </c>
      <c r="CX150" s="59">
        <f t="shared" si="122"/>
        <v>293.33333333333582</v>
      </c>
      <c r="CY150" s="59">
        <f ca="1">AVERAGE(OFFSET($CX$3,0,0,'Données projet'!$E$13+1,1))-AVERAGE(OFFSET($H$3,0,0,'Données projet'!$E$13+1,1))</f>
        <v>292.57482726862594</v>
      </c>
      <c r="CZ150" s="59">
        <f t="shared" si="150"/>
        <v>283.48738729114024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2.4</v>
      </c>
      <c r="DO150" s="12">
        <f>IF('Données projet'!$A$166&gt;35,DO149+DN150-DW149,IF(A150&lt;'Données projet'!$A$166,$DL$205^A150,IF(A150='Données projet'!$A$166,'Données projet'!$B$166,DO149+DN150-DW149)))</f>
        <v>285.7999999999991</v>
      </c>
      <c r="DP150" s="17">
        <f>DO150*VLOOKUP('Données projet'!$B$14,Paramètres!$A$1:$I$89,3,0)*VLOOKUP('Données projet'!$B$14,Paramètres!$A$1:$I$89,5,0)</f>
        <v>289.80119999999908</v>
      </c>
      <c r="DQ150" s="13">
        <f t="shared" si="151"/>
        <v>69.034118458450664</v>
      </c>
      <c r="DR150" s="20">
        <f t="shared" si="124"/>
        <v>624.97151298179995</v>
      </c>
      <c r="DS150" s="59">
        <f t="shared" si="125"/>
        <v>918.30484631513332</v>
      </c>
      <c r="DT150" s="59">
        <f ca="1">AVERAGE(OFFSET($DS$3,0,0,'Données projet'!$E$14+1,1))-AVERAGE(OFFSET($H$3,0,0,'Données projet'!$E$14+1,1))</f>
        <v>475.47920969424894</v>
      </c>
      <c r="DU150" s="59">
        <f t="shared" si="152"/>
        <v>271.73544012419364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2.4</v>
      </c>
      <c r="EJ150" s="12">
        <f>IF('Données projet'!$A$192&gt;35,EJ149+EI150-ER149,IF(A150&lt;'Données projet'!$A$192,$EG$205^A150,IF(A150='Données projet'!$A$192,'Données projet'!$B$192,EJ149+EI150-ER149)))</f>
        <v>285.7999999999991</v>
      </c>
      <c r="EK150" s="17">
        <f>EJ150*VLOOKUP('Données projet'!$B$15,Paramètres!$A$1:$I$89,3,0)*VLOOKUP('Données projet'!$B$15,Paramètres!$A$1:$I$89,5,0)</f>
        <v>258.59183999999919</v>
      </c>
      <c r="EL150" s="13">
        <f t="shared" si="153"/>
        <v>62.422120343276475</v>
      </c>
      <c r="EM150" s="20">
        <f t="shared" si="127"/>
        <v>559.09931426453841</v>
      </c>
      <c r="EN150" s="59">
        <f t="shared" si="128"/>
        <v>852.43264759787166</v>
      </c>
      <c r="EO150" s="59">
        <f ca="1">AVERAGE(OFFSET($EN$3,0,0,'Données projet'!$E$15+1,1))-AVERAGE(OFFSET($H$3,0,0,'Données projet'!$E$15+1,1))</f>
        <v>428.8489304403459</v>
      </c>
      <c r="EP150" s="59">
        <f t="shared" si="154"/>
        <v>247.01165577562966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245.25496369542458</v>
      </c>
      <c r="FK150" s="59">
        <f t="shared" si="156"/>
        <v>342.30266518164211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0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 t="e">
        <f>N151*VLOOKUP('Données projet'!$B$9,Paramètres!$A$1:$I$89,3,0)*VLOOKUP('Données projet'!$B$9,Paramètres!$A$1:$I$89,5,0)</f>
        <v>#N/A</v>
      </c>
      <c r="P151" s="13" t="e">
        <f t="shared" si="141"/>
        <v>#N/A</v>
      </c>
      <c r="Q151" s="20" t="e">
        <f t="shared" si="108"/>
        <v>#N/A</v>
      </c>
      <c r="R151" s="59" t="e">
        <f t="shared" si="109"/>
        <v>#N/A</v>
      </c>
      <c r="S151" s="59" t="e">
        <f ca="1">AVERAGE(OFFSET($R$3,0,0,'Données projet'!$E$9+1,1))-AVERAGE(OFFSET($H$3,0,0,'Données projet'!$E$9+1,1))</f>
        <v>#N/A</v>
      </c>
      <c r="T151" s="59" t="e">
        <f t="shared" si="142"/>
        <v>#N/A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 t="e">
        <f>EXP(-LN(2)/35)*Z150+(1-EXP(-LN(2)/35))/(LN(2)/35)*V151*W151*VLOOKUP('Données projet'!$B$9,Paramètres!$A$1:$I$89,3,0)*0.475*44/12</f>
        <v>#N/A</v>
      </c>
      <c r="AA151" s="21" t="e">
        <f>EXP(-LN(2)/25)*AA150+(1-EXP(-LN(2)/25))/(LN(2)/25)*Calculateur!V151*Calculateur!X151*VLOOKUP('Données projet'!$B$9,Paramètres!$A$1:$I$89,3,0)*0.475*44/12</f>
        <v>#N/A</v>
      </c>
      <c r="AB151" s="21" t="e">
        <f>EXP(-LN(2)/2)*AB150+(1-EXP(-LN(2)/2))/(LN(2)/2)*V151*Y151*VLOOKUP('Données projet'!$B$9,Paramètres!$A$1:$I$89,3,0)*0.475*44/12</f>
        <v>#N/A</v>
      </c>
      <c r="AC151" s="22" t="e">
        <f t="shared" si="111"/>
        <v>#N/A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-1.4897523215040567E-13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338.55719679154777</v>
      </c>
      <c r="AO151" s="59">
        <f t="shared" si="144"/>
        <v>371.26234252426531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-2.1636878955177963E-13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351.6178679548006</v>
      </c>
      <c r="BJ151" s="59">
        <f t="shared" si="146"/>
        <v>244.7141066773861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6.1538461538532374E-2</v>
      </c>
      <c r="BZ151" s="13">
        <f>BY151*VLOOKUP('Données projet'!$B$12,Paramètres!$A$1:$I$89,3,0)*VLOOKUP('Données projet'!$B$12,Paramètres!$A$1:$I$89,5,0)</f>
        <v>2.880000000003315E-2</v>
      </c>
      <c r="CA151" s="13">
        <f t="shared" si="147"/>
        <v>2.0057244427106876E-2</v>
      </c>
      <c r="CB151" s="20">
        <f t="shared" si="118"/>
        <v>8.5093034043935534E-2</v>
      </c>
      <c r="CC151" s="59">
        <f t="shared" si="119"/>
        <v>293.41842636737726</v>
      </c>
      <c r="CD151" s="59">
        <f ca="1">AVERAGE(OFFSET($CC$3,0,0,'Données projet'!$E$12+1,1))-AVERAGE(OFFSET($H$3,0,0,'Données projet'!$E$12+1,1))</f>
        <v>246.66630850723385</v>
      </c>
      <c r="CE151" s="59">
        <f t="shared" si="148"/>
        <v>145.34368562171613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1.1368683772161603E-13</v>
      </c>
      <c r="CU151" s="17">
        <f>CT151*VLOOKUP('Données projet'!$B$13,Paramètres!$A$1:$I$89,3,0)*VLOOKUP('Données projet'!$B$13,Paramètres!$A$1:$I$89,5,0)</f>
        <v>8.8675733422860506E-14</v>
      </c>
      <c r="CV151" s="13">
        <f t="shared" si="149"/>
        <v>1.3509285393066301E-12</v>
      </c>
      <c r="CW151" s="20">
        <f t="shared" si="121"/>
        <v>2.5073107750038623E-12</v>
      </c>
      <c r="CX151" s="59">
        <f t="shared" si="122"/>
        <v>293.33333333333582</v>
      </c>
      <c r="CY151" s="59">
        <f ca="1">AVERAGE(OFFSET($CX$3,0,0,'Données projet'!$E$13+1,1))-AVERAGE(OFFSET($H$3,0,0,'Données projet'!$E$13+1,1))</f>
        <v>292.57482726862594</v>
      </c>
      <c r="CZ151" s="59">
        <f t="shared" si="150"/>
        <v>283.48738729114024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2.4</v>
      </c>
      <c r="DO151" s="12">
        <f>IF('Données projet'!$A$166&gt;35,DO150+DN151-DW150,IF(A151&lt;'Données projet'!$A$166,$DL$205^A151,IF(A151='Données projet'!$A$166,'Données projet'!$B$166,DO150+DN151-DW150)))</f>
        <v>288.19999999999908</v>
      </c>
      <c r="DP151" s="17">
        <f>DO151*VLOOKUP('Données projet'!$B$14,Paramètres!$A$1:$I$89,3,0)*VLOOKUP('Données projet'!$B$14,Paramètres!$A$1:$I$89,5,0)</f>
        <v>292.2347999999991</v>
      </c>
      <c r="DQ151" s="13">
        <f t="shared" si="151"/>
        <v>69.546103016553573</v>
      </c>
      <c r="DR151" s="20">
        <f t="shared" si="124"/>
        <v>630.10173942049585</v>
      </c>
      <c r="DS151" s="59">
        <f t="shared" si="125"/>
        <v>923.43507275382922</v>
      </c>
      <c r="DT151" s="59">
        <f ca="1">AVERAGE(OFFSET($DS$3,0,0,'Données projet'!$E$14+1,1))-AVERAGE(OFFSET($H$3,0,0,'Données projet'!$E$14+1,1))</f>
        <v>475.47920969424894</v>
      </c>
      <c r="DU151" s="59">
        <f t="shared" si="152"/>
        <v>271.73544012419364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2.4</v>
      </c>
      <c r="EJ151" s="12">
        <f>IF('Données projet'!$A$192&gt;35,EJ150+EI151-ER150,IF(A151&lt;'Données projet'!$A$192,$EG$205^A151,IF(A151='Données projet'!$A$192,'Données projet'!$B$192,EJ150+EI151-ER150)))</f>
        <v>288.19999999999908</v>
      </c>
      <c r="EK151" s="17">
        <f>EJ151*VLOOKUP('Données projet'!$B$15,Paramètres!$A$1:$I$89,3,0)*VLOOKUP('Données projet'!$B$15,Paramètres!$A$1:$I$89,5,0)</f>
        <v>260.76335999999918</v>
      </c>
      <c r="EL151" s="13">
        <f t="shared" si="153"/>
        <v>62.885067686031789</v>
      </c>
      <c r="EM151" s="20">
        <f t="shared" si="127"/>
        <v>563.68767821983727</v>
      </c>
      <c r="EN151" s="59">
        <f t="shared" si="128"/>
        <v>857.02101155317064</v>
      </c>
      <c r="EO151" s="59">
        <f ca="1">AVERAGE(OFFSET($EN$3,0,0,'Données projet'!$E$15+1,1))-AVERAGE(OFFSET($H$3,0,0,'Données projet'!$E$15+1,1))</f>
        <v>428.8489304403459</v>
      </c>
      <c r="EP151" s="59">
        <f t="shared" si="154"/>
        <v>247.01165577562966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245.25496369542458</v>
      </c>
      <c r="FK151" s="59">
        <f t="shared" si="156"/>
        <v>342.30266518164211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0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 t="e">
        <f>N152*VLOOKUP('Données projet'!$B$9,Paramètres!$A$1:$I$89,3,0)*VLOOKUP('Données projet'!$B$9,Paramètres!$A$1:$I$89,5,0)</f>
        <v>#N/A</v>
      </c>
      <c r="P152" s="13" t="e">
        <f t="shared" si="141"/>
        <v>#N/A</v>
      </c>
      <c r="Q152" s="20" t="e">
        <f t="shared" si="108"/>
        <v>#N/A</v>
      </c>
      <c r="R152" s="59" t="e">
        <f t="shared" si="109"/>
        <v>#N/A</v>
      </c>
      <c r="S152" s="59" t="e">
        <f ca="1">AVERAGE(OFFSET($R$3,0,0,'Données projet'!$E$9+1,1))-AVERAGE(OFFSET($H$3,0,0,'Données projet'!$E$9+1,1))</f>
        <v>#N/A</v>
      </c>
      <c r="T152" s="59" t="e">
        <f t="shared" si="142"/>
        <v>#N/A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 t="e">
        <f>EXP(-LN(2)/35)*Z151+(1-EXP(-LN(2)/35))/(LN(2)/35)*V152*W152*VLOOKUP('Données projet'!$B$9,Paramètres!$A$1:$I$89,3,0)*0.475*44/12</f>
        <v>#N/A</v>
      </c>
      <c r="AA152" s="21" t="e">
        <f>EXP(-LN(2)/25)*AA151+(1-EXP(-LN(2)/25))/(LN(2)/25)*Calculateur!V152*Calculateur!X152*VLOOKUP('Données projet'!$B$9,Paramètres!$A$1:$I$89,3,0)*0.475*44/12</f>
        <v>#N/A</v>
      </c>
      <c r="AB152" s="21" t="e">
        <f>EXP(-LN(2)/2)*AB151+(1-EXP(-LN(2)/2))/(LN(2)/2)*V152*Y152*VLOOKUP('Données projet'!$B$9,Paramètres!$A$1:$I$89,3,0)*0.475*44/12</f>
        <v>#N/A</v>
      </c>
      <c r="AC152" s="22" t="e">
        <f t="shared" si="111"/>
        <v>#N/A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-1.4897523215040567E-13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338.55719679154777</v>
      </c>
      <c r="AO152" s="59">
        <f t="shared" si="144"/>
        <v>371.26234252426531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-2.1636878955177963E-13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351.6178679548006</v>
      </c>
      <c r="BJ152" s="59">
        <f t="shared" si="146"/>
        <v>244.7141066773861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6.1538461538532374E-2</v>
      </c>
      <c r="BZ152" s="13">
        <f>BY152*VLOOKUP('Données projet'!$B$12,Paramètres!$A$1:$I$89,3,0)*VLOOKUP('Données projet'!$B$12,Paramètres!$A$1:$I$89,5,0)</f>
        <v>2.880000000003315E-2</v>
      </c>
      <c r="CA152" s="13">
        <f t="shared" si="147"/>
        <v>2.0057244427106876E-2</v>
      </c>
      <c r="CB152" s="20">
        <f t="shared" si="118"/>
        <v>8.5093034043935534E-2</v>
      </c>
      <c r="CC152" s="59">
        <f t="shared" si="119"/>
        <v>293.41842636737726</v>
      </c>
      <c r="CD152" s="59">
        <f ca="1">AVERAGE(OFFSET($CC$3,0,0,'Données projet'!$E$12+1,1))-AVERAGE(OFFSET($H$3,0,0,'Données projet'!$E$12+1,1))</f>
        <v>246.66630850723385</v>
      </c>
      <c r="CE152" s="59">
        <f t="shared" si="148"/>
        <v>145.34368562171613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1.1368683772161603E-13</v>
      </c>
      <c r="CU152" s="17">
        <f>CT152*VLOOKUP('Données projet'!$B$13,Paramètres!$A$1:$I$89,3,0)*VLOOKUP('Données projet'!$B$13,Paramètres!$A$1:$I$89,5,0)</f>
        <v>8.8675733422860506E-14</v>
      </c>
      <c r="CV152" s="13">
        <f t="shared" si="149"/>
        <v>1.3509285393066301E-12</v>
      </c>
      <c r="CW152" s="20">
        <f t="shared" si="121"/>
        <v>2.5073107750038623E-12</v>
      </c>
      <c r="CX152" s="59">
        <f t="shared" si="122"/>
        <v>293.33333333333582</v>
      </c>
      <c r="CY152" s="59">
        <f ca="1">AVERAGE(OFFSET($CX$3,0,0,'Données projet'!$E$13+1,1))-AVERAGE(OFFSET($H$3,0,0,'Données projet'!$E$13+1,1))</f>
        <v>292.57482726862594</v>
      </c>
      <c r="CZ152" s="59">
        <f t="shared" si="150"/>
        <v>283.48738729114024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2.4</v>
      </c>
      <c r="DO152" s="12">
        <f>IF('Données projet'!$A$166&gt;35,DO151+DN152-DW151,IF(A152&lt;'Données projet'!$A$166,$DL$205^A152,IF(A152='Données projet'!$A$166,'Données projet'!$B$166,DO151+DN152-DW151)))</f>
        <v>290.59999999999906</v>
      </c>
      <c r="DP152" s="17">
        <f>DO152*VLOOKUP('Données projet'!$B$14,Paramètres!$A$1:$I$89,3,0)*VLOOKUP('Données projet'!$B$14,Paramètres!$A$1:$I$89,5,0)</f>
        <v>294.66839999999905</v>
      </c>
      <c r="DQ152" s="13">
        <f t="shared" si="151"/>
        <v>70.057591528661362</v>
      </c>
      <c r="DR152" s="20">
        <f t="shared" si="124"/>
        <v>635.23110191241688</v>
      </c>
      <c r="DS152" s="59">
        <f t="shared" si="125"/>
        <v>928.56443524575025</v>
      </c>
      <c r="DT152" s="59">
        <f ca="1">AVERAGE(OFFSET($DS$3,0,0,'Données projet'!$E$14+1,1))-AVERAGE(OFFSET($H$3,0,0,'Données projet'!$E$14+1,1))</f>
        <v>475.47920969424894</v>
      </c>
      <c r="DU152" s="59">
        <f t="shared" si="152"/>
        <v>271.73544012419364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2.4</v>
      </c>
      <c r="EJ152" s="12">
        <f>IF('Données projet'!$A$192&gt;35,EJ151+EI152-ER151,IF(A152&lt;'Données projet'!$A$192,$EG$205^A152,IF(A152='Données projet'!$A$192,'Données projet'!$B$192,EJ151+EI152-ER151)))</f>
        <v>290.59999999999906</v>
      </c>
      <c r="EK152" s="17">
        <f>EJ152*VLOOKUP('Données projet'!$B$15,Paramètres!$A$1:$I$89,3,0)*VLOOKUP('Données projet'!$B$15,Paramètres!$A$1:$I$89,5,0)</f>
        <v>262.93487999999911</v>
      </c>
      <c r="EL152" s="13">
        <f t="shared" si="153"/>
        <v>63.347566493432595</v>
      </c>
      <c r="EM152" s="20">
        <f t="shared" si="127"/>
        <v>568.27526097606028</v>
      </c>
      <c r="EN152" s="59">
        <f t="shared" si="128"/>
        <v>861.60859430939354</v>
      </c>
      <c r="EO152" s="59">
        <f ca="1">AVERAGE(OFFSET($EN$3,0,0,'Données projet'!$E$15+1,1))-AVERAGE(OFFSET($H$3,0,0,'Données projet'!$E$15+1,1))</f>
        <v>428.8489304403459</v>
      </c>
      <c r="EP152" s="59">
        <f t="shared" si="154"/>
        <v>247.01165577562966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245.25496369542458</v>
      </c>
      <c r="FK152" s="59">
        <f t="shared" si="156"/>
        <v>342.30266518164211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0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 t="e">
        <f>N153*VLOOKUP('Données projet'!$B$9,Paramètres!$A$1:$I$89,3,0)*VLOOKUP('Données projet'!$B$9,Paramètres!$A$1:$I$89,5,0)</f>
        <v>#N/A</v>
      </c>
      <c r="P153" s="13" t="e">
        <f t="shared" si="141"/>
        <v>#N/A</v>
      </c>
      <c r="Q153" s="20" t="e">
        <f t="shared" si="108"/>
        <v>#N/A</v>
      </c>
      <c r="R153" s="59" t="e">
        <f t="shared" si="109"/>
        <v>#N/A</v>
      </c>
      <c r="S153" s="59" t="e">
        <f ca="1">AVERAGE(OFFSET($R$3,0,0,'Données projet'!$E$9+1,1))-AVERAGE(OFFSET($H$3,0,0,'Données projet'!$E$9+1,1))</f>
        <v>#N/A</v>
      </c>
      <c r="T153" s="59" t="e">
        <f t="shared" si="142"/>
        <v>#N/A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 t="e">
        <f>EXP(-LN(2)/35)*Z152+(1-EXP(-LN(2)/35))/(LN(2)/35)*V153*W153*VLOOKUP('Données projet'!$B$9,Paramètres!$A$1:$I$89,3,0)*0.475*44/12</f>
        <v>#N/A</v>
      </c>
      <c r="AA153" s="21" t="e">
        <f>EXP(-LN(2)/25)*AA152+(1-EXP(-LN(2)/25))/(LN(2)/25)*Calculateur!V153*Calculateur!X153*VLOOKUP('Données projet'!$B$9,Paramètres!$A$1:$I$89,3,0)*0.475*44/12</f>
        <v>#N/A</v>
      </c>
      <c r="AB153" s="21" t="e">
        <f>EXP(-LN(2)/2)*AB152+(1-EXP(-LN(2)/2))/(LN(2)/2)*V153*Y153*VLOOKUP('Données projet'!$B$9,Paramètres!$A$1:$I$89,3,0)*0.475*44/12</f>
        <v>#N/A</v>
      </c>
      <c r="AC153" s="22" t="e">
        <f t="shared" si="111"/>
        <v>#N/A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-1.4897523215040567E-13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338.55719679154777</v>
      </c>
      <c r="AO153" s="59">
        <f t="shared" si="144"/>
        <v>371.26234252426531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-2.1636878955177963E-13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351.6178679548006</v>
      </c>
      <c r="BJ153" s="59">
        <f t="shared" si="146"/>
        <v>244.7141066773861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6.1538461538532374E-2</v>
      </c>
      <c r="BZ153" s="13">
        <f>BY153*VLOOKUP('Données projet'!$B$12,Paramètres!$A$1:$I$89,3,0)*VLOOKUP('Données projet'!$B$12,Paramètres!$A$1:$I$89,5,0)</f>
        <v>2.880000000003315E-2</v>
      </c>
      <c r="CA153" s="13">
        <f t="shared" si="147"/>
        <v>2.0057244427106876E-2</v>
      </c>
      <c r="CB153" s="20">
        <f t="shared" si="118"/>
        <v>8.5093034043935534E-2</v>
      </c>
      <c r="CC153" s="59">
        <f t="shared" si="119"/>
        <v>293.41842636737726</v>
      </c>
      <c r="CD153" s="59">
        <f ca="1">AVERAGE(OFFSET($CC$3,0,0,'Données projet'!$E$12+1,1))-AVERAGE(OFFSET($H$3,0,0,'Données projet'!$E$12+1,1))</f>
        <v>246.66630850723385</v>
      </c>
      <c r="CE153" s="59">
        <f t="shared" si="148"/>
        <v>145.34368562171613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1.1368683772161603E-13</v>
      </c>
      <c r="CU153" s="17">
        <f>CT153*VLOOKUP('Données projet'!$B$13,Paramètres!$A$1:$I$89,3,0)*VLOOKUP('Données projet'!$B$13,Paramètres!$A$1:$I$89,5,0)</f>
        <v>8.8675733422860506E-14</v>
      </c>
      <c r="CV153" s="13">
        <f t="shared" si="149"/>
        <v>1.3509285393066301E-12</v>
      </c>
      <c r="CW153" s="20">
        <f t="shared" si="121"/>
        <v>2.5073107750038623E-12</v>
      </c>
      <c r="CX153" s="59">
        <f t="shared" si="122"/>
        <v>293.33333333333582</v>
      </c>
      <c r="CY153" s="59">
        <f ca="1">AVERAGE(OFFSET($CX$3,0,0,'Données projet'!$E$13+1,1))-AVERAGE(OFFSET($H$3,0,0,'Données projet'!$E$13+1,1))</f>
        <v>292.57482726862594</v>
      </c>
      <c r="CZ153" s="59">
        <f t="shared" si="150"/>
        <v>283.48738729114024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>
        <f>VLOOKUP(A153,'Données projet'!$A$165:$I$185,2,0)</f>
        <v>293</v>
      </c>
      <c r="DM153" s="12">
        <f>VLOOKUP(A153,'Données projet'!$A$165:$I$185,9,0)</f>
        <v>2.4</v>
      </c>
      <c r="DN153" s="12">
        <f t="array" ref="DN153">INDEX(DM:DM,MIN(IF(ISNUMBER(DM153:DM349),ROW(DM153:DM349),"")))</f>
        <v>2.4</v>
      </c>
      <c r="DO153" s="12">
        <f>IF('Données projet'!$A$166&gt;35,DO152+DN153-DW152,IF(A153&lt;'Données projet'!$A$166,$DL$205^A153,IF(A153='Données projet'!$A$166,'Données projet'!$B$166,DO152+DN153-DW152)))</f>
        <v>292.99999999999903</v>
      </c>
      <c r="DP153" s="17">
        <f>DO153*VLOOKUP('Données projet'!$B$14,Paramètres!$A$1:$I$89,3,0)*VLOOKUP('Données projet'!$B$14,Paramètres!$A$1:$I$89,5,0)</f>
        <v>297.10199999999907</v>
      </c>
      <c r="DQ153" s="13">
        <f t="shared" si="151"/>
        <v>70.568588566272624</v>
      </c>
      <c r="DR153" s="20">
        <f t="shared" si="124"/>
        <v>640.3596084195899</v>
      </c>
      <c r="DS153" s="59">
        <f t="shared" si="125"/>
        <v>933.69294175292316</v>
      </c>
      <c r="DT153" s="59">
        <f ca="1">AVERAGE(OFFSET($DS$3,0,0,'Données projet'!$E$14+1,1))-AVERAGE(OFFSET($H$3,0,0,'Données projet'!$E$14+1,1))</f>
        <v>475.47920969424894</v>
      </c>
      <c r="DU153" s="59">
        <f t="shared" si="152"/>
        <v>271.73544012419364</v>
      </c>
      <c r="DV153" s="15">
        <f>IF(ISNA(VLOOKUP(A153,'Données projet'!$A$165:$I$185,3,0)),0,VLOOKUP(A153,'Données projet'!$A$165:$I$185,3,0))</f>
        <v>13</v>
      </c>
      <c r="DW153" s="15">
        <f>IF(ISNA(VLOOKUP(A153,'Données projet'!$A$165:$I$185,4,0)),0,VLOOKUP(A153,'Données projet'!$A$165:$I$185,4,0))</f>
        <v>293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>
        <f>VLOOKUP(A153,'Données projet'!$A$191:$I$211,2,0)</f>
        <v>293</v>
      </c>
      <c r="EH153" s="12">
        <f>VLOOKUP(A153,'Données projet'!$A$191:$I$211,9,0)</f>
        <v>2.4</v>
      </c>
      <c r="EI153" s="12">
        <f t="array" ref="EI153">INDEX(EH:EH,MIN(IF(ISNUMBER(EH153:EH349),ROW(EH153:EH349),"")))</f>
        <v>2.4</v>
      </c>
      <c r="EJ153" s="12">
        <f>IF('Données projet'!$A$192&gt;35,EJ152+EI153-ER152,IF(A153&lt;'Données projet'!$A$192,$EG$205^A153,IF(A153='Données projet'!$A$192,'Données projet'!$B$192,EJ152+EI153-ER152)))</f>
        <v>292.99999999999903</v>
      </c>
      <c r="EK153" s="17">
        <f>EJ153*VLOOKUP('Données projet'!$B$15,Paramètres!$A$1:$I$89,3,0)*VLOOKUP('Données projet'!$B$15,Paramètres!$A$1:$I$89,5,0)</f>
        <v>265.1063999999991</v>
      </c>
      <c r="EL153" s="13">
        <f t="shared" si="153"/>
        <v>63.809620899125136</v>
      </c>
      <c r="EM153" s="20">
        <f t="shared" si="127"/>
        <v>572.86206973264132</v>
      </c>
      <c r="EN153" s="59">
        <f t="shared" si="128"/>
        <v>866.19540306597469</v>
      </c>
      <c r="EO153" s="59">
        <f ca="1">AVERAGE(OFFSET($EN$3,0,0,'Données projet'!$E$15+1,1))-AVERAGE(OFFSET($H$3,0,0,'Données projet'!$E$15+1,1))</f>
        <v>428.8489304403459</v>
      </c>
      <c r="EP153" s="59">
        <f t="shared" si="154"/>
        <v>247.01165577562966</v>
      </c>
      <c r="EQ153" s="15">
        <f>IF(ISNA(VLOOKUP(A153,'Données projet'!$A$191:$I$211,3,0)),0,VLOOKUP(A153,'Données projet'!$A$191:$I$211,3,0))</f>
        <v>13</v>
      </c>
      <c r="ER153" s="15">
        <f>IF(ISNA(VLOOKUP(A153,'Données projet'!$A$191:$I$211,4,0)),0,VLOOKUP(A153,'Données projet'!$A$191:$I$211,4,0))</f>
        <v>293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245.25496369542458</v>
      </c>
      <c r="FK153" s="59">
        <f t="shared" si="156"/>
        <v>342.30266518164211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0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 t="e">
        <f>N154*VLOOKUP('Données projet'!$B$9,Paramètres!$A$1:$I$89,3,0)*VLOOKUP('Données projet'!$B$9,Paramètres!$A$1:$I$89,5,0)</f>
        <v>#N/A</v>
      </c>
      <c r="P154" s="13" t="e">
        <f t="shared" si="141"/>
        <v>#N/A</v>
      </c>
      <c r="Q154" s="20" t="e">
        <f t="shared" ref="Q154:Q203" si="162">(O154+P154)*0.475*44/12</f>
        <v>#N/A</v>
      </c>
      <c r="R154" s="59" t="e">
        <f t="shared" si="109"/>
        <v>#N/A</v>
      </c>
      <c r="S154" s="59" t="e">
        <f ca="1">AVERAGE(OFFSET($R$3,0,0,'Données projet'!$E$9+1,1))-AVERAGE(OFFSET($H$3,0,0,'Données projet'!$E$9+1,1))</f>
        <v>#N/A</v>
      </c>
      <c r="T154" s="59" t="e">
        <f t="shared" si="142"/>
        <v>#N/A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 t="e">
        <f>EXP(-LN(2)/35)*Z153+(1-EXP(-LN(2)/35))/(LN(2)/35)*V154*W154*VLOOKUP('Données projet'!$B$9,Paramètres!$A$1:$I$89,3,0)*0.475*44/12</f>
        <v>#N/A</v>
      </c>
      <c r="AA154" s="21" t="e">
        <f>EXP(-LN(2)/25)*AA153+(1-EXP(-LN(2)/25))/(LN(2)/25)*Calculateur!V154*Calculateur!X154*VLOOKUP('Données projet'!$B$9,Paramètres!$A$1:$I$89,3,0)*0.475*44/12</f>
        <v>#N/A</v>
      </c>
      <c r="AB154" s="21" t="e">
        <f>EXP(-LN(2)/2)*AB153+(1-EXP(-LN(2)/2))/(LN(2)/2)*V154*Y154*VLOOKUP('Données projet'!$B$9,Paramètres!$A$1:$I$89,3,0)*0.475*44/12</f>
        <v>#N/A</v>
      </c>
      <c r="AC154" s="22" t="e">
        <f t="shared" ref="AC154:AC203" si="163">SUM(Z154:AB154)</f>
        <v>#N/A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-1.4897523215040567E-13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338.55719679154777</v>
      </c>
      <c r="AO154" s="59">
        <f t="shared" si="144"/>
        <v>371.26234252426531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-2.1636878955177963E-13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351.6178679548006</v>
      </c>
      <c r="BJ154" s="59">
        <f t="shared" si="146"/>
        <v>244.7141066773861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6.1538461538532374E-2</v>
      </c>
      <c r="BZ154" s="13">
        <f>BY154*VLOOKUP('Données projet'!$B$12,Paramètres!$A$1:$I$89,3,0)*VLOOKUP('Données projet'!$B$12,Paramètres!$A$1:$I$89,5,0)</f>
        <v>2.880000000003315E-2</v>
      </c>
      <c r="CA154" s="13">
        <f t="shared" ref="CA154:CA203" si="170">EXP(-1.0587+0.8836*LN(BZ154)+0.284)</f>
        <v>2.0057244427106876E-2</v>
      </c>
      <c r="CB154" s="20">
        <f t="shared" ref="CB154:CB203" si="171">(BZ154+CA154)*0.475*44/12</f>
        <v>8.5093034043935534E-2</v>
      </c>
      <c r="CC154" s="59">
        <f t="shared" si="119"/>
        <v>293.41842636737726</v>
      </c>
      <c r="CD154" s="59">
        <f ca="1">AVERAGE(OFFSET($CC$3,0,0,'Données projet'!$E$12+1,1))-AVERAGE(OFFSET($H$3,0,0,'Données projet'!$E$12+1,1))</f>
        <v>246.66630850723385</v>
      </c>
      <c r="CE154" s="59">
        <f t="shared" si="148"/>
        <v>145.34368562171613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1.1368683772161603E-13</v>
      </c>
      <c r="CU154" s="17">
        <f>CT154*VLOOKUP('Données projet'!$B$13,Paramètres!$A$1:$I$89,3,0)*VLOOKUP('Données projet'!$B$13,Paramètres!$A$1:$I$89,5,0)</f>
        <v>8.8675733422860506E-14</v>
      </c>
      <c r="CV154" s="13">
        <f t="shared" ref="CV154:CV203" si="173">EXP(-1.0587+0.8836*LN(CU154)+0.284)</f>
        <v>1.3509285393066301E-12</v>
      </c>
      <c r="CW154" s="20">
        <f t="shared" ref="CW154:CW203" si="174">(CU154+CV154)*0.475*44/12</f>
        <v>2.5073107750038623E-12</v>
      </c>
      <c r="CX154" s="59">
        <f t="shared" si="122"/>
        <v>293.33333333333582</v>
      </c>
      <c r="CY154" s="59">
        <f ca="1">AVERAGE(OFFSET($CX$3,0,0,'Données projet'!$E$13+1,1))-AVERAGE(OFFSET($H$3,0,0,'Données projet'!$E$13+1,1))</f>
        <v>292.57482726862594</v>
      </c>
      <c r="CZ154" s="59">
        <f t="shared" si="150"/>
        <v>283.48738729114024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-9.6633812063373625E-13</v>
      </c>
      <c r="DP154" s="17">
        <f>DO154*VLOOKUP('Données projet'!$B$14,Paramètres!$A$1:$I$89,3,0)*VLOOKUP('Données projet'!$B$14,Paramètres!$A$1:$I$89,5,0)</f>
        <v>-9.7986685432260874E-13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475.47920969424894</v>
      </c>
      <c r="DU154" s="59">
        <f t="shared" si="152"/>
        <v>271.73544012419364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-9.6633812063373625E-13</v>
      </c>
      <c r="EK154" s="17">
        <f>EJ154*VLOOKUP('Données projet'!$B$15,Paramètres!$A$1:$I$89,3,0)*VLOOKUP('Données projet'!$B$15,Paramètres!$A$1:$I$89,5,0)</f>
        <v>-8.7434273154940449E-13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428.8489304403459</v>
      </c>
      <c r="EP154" s="59">
        <f t="shared" si="154"/>
        <v>247.01165577562966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245.25496369542458</v>
      </c>
      <c r="FK154" s="59">
        <f t="shared" si="156"/>
        <v>342.30266518164211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0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 t="e">
        <f>N155*VLOOKUP('Données projet'!$B$9,Paramètres!$A$1:$I$89,3,0)*VLOOKUP('Données projet'!$B$9,Paramètres!$A$1:$I$89,5,0)</f>
        <v>#N/A</v>
      </c>
      <c r="P155" s="13" t="e">
        <f t="shared" si="141"/>
        <v>#N/A</v>
      </c>
      <c r="Q155" s="20" t="e">
        <f t="shared" si="162"/>
        <v>#N/A</v>
      </c>
      <c r="R155" s="59" t="e">
        <f t="shared" si="109"/>
        <v>#N/A</v>
      </c>
      <c r="S155" s="59" t="e">
        <f ca="1">AVERAGE(OFFSET($R$3,0,0,'Données projet'!$E$9+1,1))-AVERAGE(OFFSET($H$3,0,0,'Données projet'!$E$9+1,1))</f>
        <v>#N/A</v>
      </c>
      <c r="T155" s="59" t="e">
        <f t="shared" si="142"/>
        <v>#N/A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 t="e">
        <f>EXP(-LN(2)/35)*Z154+(1-EXP(-LN(2)/35))/(LN(2)/35)*V155*W155*VLOOKUP('Données projet'!$B$9,Paramètres!$A$1:$I$89,3,0)*0.475*44/12</f>
        <v>#N/A</v>
      </c>
      <c r="AA155" s="21" t="e">
        <f>EXP(-LN(2)/25)*AA154+(1-EXP(-LN(2)/25))/(LN(2)/25)*Calculateur!V155*Calculateur!X155*VLOOKUP('Données projet'!$B$9,Paramètres!$A$1:$I$89,3,0)*0.475*44/12</f>
        <v>#N/A</v>
      </c>
      <c r="AB155" s="21" t="e">
        <f>EXP(-LN(2)/2)*AB154+(1-EXP(-LN(2)/2))/(LN(2)/2)*V155*Y155*VLOOKUP('Données projet'!$B$9,Paramètres!$A$1:$I$89,3,0)*0.475*44/12</f>
        <v>#N/A</v>
      </c>
      <c r="AC155" s="22" t="e">
        <f t="shared" si="163"/>
        <v>#N/A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-1.4897523215040567E-13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338.55719679154777</v>
      </c>
      <c r="AO155" s="59">
        <f t="shared" si="144"/>
        <v>371.26234252426531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-2.1636878955177963E-13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351.6178679548006</v>
      </c>
      <c r="BJ155" s="59">
        <f t="shared" si="146"/>
        <v>244.7141066773861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6.1538461538532374E-2</v>
      </c>
      <c r="BZ155" s="13">
        <f>BY155*VLOOKUP('Données projet'!$B$12,Paramètres!$A$1:$I$89,3,0)*VLOOKUP('Données projet'!$B$12,Paramètres!$A$1:$I$89,5,0)</f>
        <v>2.880000000003315E-2</v>
      </c>
      <c r="CA155" s="13">
        <f t="shared" si="170"/>
        <v>2.0057244427106876E-2</v>
      </c>
      <c r="CB155" s="20">
        <f t="shared" si="171"/>
        <v>8.5093034043935534E-2</v>
      </c>
      <c r="CC155" s="59">
        <f t="shared" si="119"/>
        <v>293.41842636737726</v>
      </c>
      <c r="CD155" s="59">
        <f ca="1">AVERAGE(OFFSET($CC$3,0,0,'Données projet'!$E$12+1,1))-AVERAGE(OFFSET($H$3,0,0,'Données projet'!$E$12+1,1))</f>
        <v>246.66630850723385</v>
      </c>
      <c r="CE155" s="59">
        <f t="shared" si="148"/>
        <v>145.34368562171613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1.1368683772161603E-13</v>
      </c>
      <c r="CU155" s="17">
        <f>CT155*VLOOKUP('Données projet'!$B$13,Paramètres!$A$1:$I$89,3,0)*VLOOKUP('Données projet'!$B$13,Paramètres!$A$1:$I$89,5,0)</f>
        <v>8.8675733422860506E-14</v>
      </c>
      <c r="CV155" s="13">
        <f t="shared" si="173"/>
        <v>1.3509285393066301E-12</v>
      </c>
      <c r="CW155" s="20">
        <f t="shared" si="174"/>
        <v>2.5073107750038623E-12</v>
      </c>
      <c r="CX155" s="59">
        <f t="shared" si="122"/>
        <v>293.33333333333582</v>
      </c>
      <c r="CY155" s="59">
        <f ca="1">AVERAGE(OFFSET($CX$3,0,0,'Données projet'!$E$13+1,1))-AVERAGE(OFFSET($H$3,0,0,'Données projet'!$E$13+1,1))</f>
        <v>292.57482726862594</v>
      </c>
      <c r="CZ155" s="59">
        <f t="shared" si="150"/>
        <v>283.48738729114024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-9.6633812063373625E-13</v>
      </c>
      <c r="DP155" s="17">
        <f>DO155*VLOOKUP('Données projet'!$B$14,Paramètres!$A$1:$I$89,3,0)*VLOOKUP('Données projet'!$B$14,Paramètres!$A$1:$I$89,5,0)</f>
        <v>-9.7986685432260874E-13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475.47920969424894</v>
      </c>
      <c r="DU155" s="59">
        <f t="shared" si="152"/>
        <v>271.73544012419364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-9.6633812063373625E-13</v>
      </c>
      <c r="EK155" s="17">
        <f>EJ155*VLOOKUP('Données projet'!$B$15,Paramètres!$A$1:$I$89,3,0)*VLOOKUP('Données projet'!$B$15,Paramètres!$A$1:$I$89,5,0)</f>
        <v>-8.7434273154940449E-13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428.8489304403459</v>
      </c>
      <c r="EP155" s="59">
        <f t="shared" si="154"/>
        <v>247.01165577562966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245.25496369542458</v>
      </c>
      <c r="FK155" s="59">
        <f t="shared" si="156"/>
        <v>342.30266518164211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0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 t="e">
        <f>N156*VLOOKUP('Données projet'!$B$9,Paramètres!$A$1:$I$89,3,0)*VLOOKUP('Données projet'!$B$9,Paramètres!$A$1:$I$89,5,0)</f>
        <v>#N/A</v>
      </c>
      <c r="P156" s="13" t="e">
        <f t="shared" si="141"/>
        <v>#N/A</v>
      </c>
      <c r="Q156" s="20" t="e">
        <f t="shared" si="162"/>
        <v>#N/A</v>
      </c>
      <c r="R156" s="59" t="e">
        <f t="shared" si="109"/>
        <v>#N/A</v>
      </c>
      <c r="S156" s="59" t="e">
        <f ca="1">AVERAGE(OFFSET($R$3,0,0,'Données projet'!$E$9+1,1))-AVERAGE(OFFSET($H$3,0,0,'Données projet'!$E$9+1,1))</f>
        <v>#N/A</v>
      </c>
      <c r="T156" s="59" t="e">
        <f t="shared" si="142"/>
        <v>#N/A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 t="e">
        <f>EXP(-LN(2)/35)*Z155+(1-EXP(-LN(2)/35))/(LN(2)/35)*V156*W156*VLOOKUP('Données projet'!$B$9,Paramètres!$A$1:$I$89,3,0)*0.475*44/12</f>
        <v>#N/A</v>
      </c>
      <c r="AA156" s="21" t="e">
        <f>EXP(-LN(2)/25)*AA155+(1-EXP(-LN(2)/25))/(LN(2)/25)*Calculateur!V156*Calculateur!X156*VLOOKUP('Données projet'!$B$9,Paramètres!$A$1:$I$89,3,0)*0.475*44/12</f>
        <v>#N/A</v>
      </c>
      <c r="AB156" s="21" t="e">
        <f>EXP(-LN(2)/2)*AB155+(1-EXP(-LN(2)/2))/(LN(2)/2)*V156*Y156*VLOOKUP('Données projet'!$B$9,Paramètres!$A$1:$I$89,3,0)*0.475*44/12</f>
        <v>#N/A</v>
      </c>
      <c r="AC156" s="22" t="e">
        <f t="shared" si="163"/>
        <v>#N/A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-1.4897523215040567E-13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338.55719679154777</v>
      </c>
      <c r="AO156" s="59">
        <f t="shared" si="144"/>
        <v>371.26234252426531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-2.1636878955177963E-13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351.6178679548006</v>
      </c>
      <c r="BJ156" s="59">
        <f t="shared" si="146"/>
        <v>244.7141066773861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6.1538461538532374E-2</v>
      </c>
      <c r="BZ156" s="13">
        <f>BY156*VLOOKUP('Données projet'!$B$12,Paramètres!$A$1:$I$89,3,0)*VLOOKUP('Données projet'!$B$12,Paramètres!$A$1:$I$89,5,0)</f>
        <v>2.880000000003315E-2</v>
      </c>
      <c r="CA156" s="13">
        <f t="shared" si="170"/>
        <v>2.0057244427106876E-2</v>
      </c>
      <c r="CB156" s="20">
        <f t="shared" si="171"/>
        <v>8.5093034043935534E-2</v>
      </c>
      <c r="CC156" s="59">
        <f t="shared" si="119"/>
        <v>293.41842636737726</v>
      </c>
      <c r="CD156" s="59">
        <f ca="1">AVERAGE(OFFSET($CC$3,0,0,'Données projet'!$E$12+1,1))-AVERAGE(OFFSET($H$3,0,0,'Données projet'!$E$12+1,1))</f>
        <v>246.66630850723385</v>
      </c>
      <c r="CE156" s="59">
        <f t="shared" si="148"/>
        <v>145.34368562171613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1.1368683772161603E-13</v>
      </c>
      <c r="CU156" s="17">
        <f>CT156*VLOOKUP('Données projet'!$B$13,Paramètres!$A$1:$I$89,3,0)*VLOOKUP('Données projet'!$B$13,Paramètres!$A$1:$I$89,5,0)</f>
        <v>8.8675733422860506E-14</v>
      </c>
      <c r="CV156" s="13">
        <f t="shared" si="173"/>
        <v>1.3509285393066301E-12</v>
      </c>
      <c r="CW156" s="20">
        <f t="shared" si="174"/>
        <v>2.5073107750038623E-12</v>
      </c>
      <c r="CX156" s="59">
        <f t="shared" si="122"/>
        <v>293.33333333333582</v>
      </c>
      <c r="CY156" s="59">
        <f ca="1">AVERAGE(OFFSET($CX$3,0,0,'Données projet'!$E$13+1,1))-AVERAGE(OFFSET($H$3,0,0,'Données projet'!$E$13+1,1))</f>
        <v>292.57482726862594</v>
      </c>
      <c r="CZ156" s="59">
        <f t="shared" si="150"/>
        <v>283.48738729114024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-9.6633812063373625E-13</v>
      </c>
      <c r="DP156" s="17">
        <f>DO156*VLOOKUP('Données projet'!$B$14,Paramètres!$A$1:$I$89,3,0)*VLOOKUP('Données projet'!$B$14,Paramètres!$A$1:$I$89,5,0)</f>
        <v>-9.7986685432260874E-13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475.47920969424894</v>
      </c>
      <c r="DU156" s="59">
        <f t="shared" si="152"/>
        <v>271.73544012419364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-9.6633812063373625E-13</v>
      </c>
      <c r="EK156" s="17">
        <f>EJ156*VLOOKUP('Données projet'!$B$15,Paramètres!$A$1:$I$89,3,0)*VLOOKUP('Données projet'!$B$15,Paramètres!$A$1:$I$89,5,0)</f>
        <v>-8.7434273154940449E-13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428.8489304403459</v>
      </c>
      <c r="EP156" s="59">
        <f t="shared" si="154"/>
        <v>247.01165577562966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245.25496369542458</v>
      </c>
      <c r="FK156" s="59">
        <f t="shared" si="156"/>
        <v>342.30266518164211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0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 t="e">
        <f>N157*VLOOKUP('Données projet'!$B$9,Paramètres!$A$1:$I$89,3,0)*VLOOKUP('Données projet'!$B$9,Paramètres!$A$1:$I$89,5,0)</f>
        <v>#N/A</v>
      </c>
      <c r="P157" s="13" t="e">
        <f t="shared" si="141"/>
        <v>#N/A</v>
      </c>
      <c r="Q157" s="20" t="e">
        <f t="shared" si="162"/>
        <v>#N/A</v>
      </c>
      <c r="R157" s="59" t="e">
        <f t="shared" si="109"/>
        <v>#N/A</v>
      </c>
      <c r="S157" s="59" t="e">
        <f ca="1">AVERAGE(OFFSET($R$3,0,0,'Données projet'!$E$9+1,1))-AVERAGE(OFFSET($H$3,0,0,'Données projet'!$E$9+1,1))</f>
        <v>#N/A</v>
      </c>
      <c r="T157" s="59" t="e">
        <f t="shared" si="142"/>
        <v>#N/A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 t="e">
        <f>EXP(-LN(2)/35)*Z156+(1-EXP(-LN(2)/35))/(LN(2)/35)*V157*W157*VLOOKUP('Données projet'!$B$9,Paramètres!$A$1:$I$89,3,0)*0.475*44/12</f>
        <v>#N/A</v>
      </c>
      <c r="AA157" s="21" t="e">
        <f>EXP(-LN(2)/25)*AA156+(1-EXP(-LN(2)/25))/(LN(2)/25)*Calculateur!V157*Calculateur!X157*VLOOKUP('Données projet'!$B$9,Paramètres!$A$1:$I$89,3,0)*0.475*44/12</f>
        <v>#N/A</v>
      </c>
      <c r="AB157" s="21" t="e">
        <f>EXP(-LN(2)/2)*AB156+(1-EXP(-LN(2)/2))/(LN(2)/2)*V157*Y157*VLOOKUP('Données projet'!$B$9,Paramètres!$A$1:$I$89,3,0)*0.475*44/12</f>
        <v>#N/A</v>
      </c>
      <c r="AC157" s="22" t="e">
        <f t="shared" si="163"/>
        <v>#N/A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-1.4897523215040567E-13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338.55719679154777</v>
      </c>
      <c r="AO157" s="59">
        <f t="shared" si="144"/>
        <v>371.26234252426531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-2.1636878955177963E-13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351.6178679548006</v>
      </c>
      <c r="BJ157" s="59">
        <f t="shared" si="146"/>
        <v>244.7141066773861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6.1538461538532374E-2</v>
      </c>
      <c r="BZ157" s="13">
        <f>BY157*VLOOKUP('Données projet'!$B$12,Paramètres!$A$1:$I$89,3,0)*VLOOKUP('Données projet'!$B$12,Paramètres!$A$1:$I$89,5,0)</f>
        <v>2.880000000003315E-2</v>
      </c>
      <c r="CA157" s="13">
        <f t="shared" si="170"/>
        <v>2.0057244427106876E-2</v>
      </c>
      <c r="CB157" s="20">
        <f t="shared" si="171"/>
        <v>8.5093034043935534E-2</v>
      </c>
      <c r="CC157" s="59">
        <f t="shared" si="119"/>
        <v>293.41842636737726</v>
      </c>
      <c r="CD157" s="59">
        <f ca="1">AVERAGE(OFFSET($CC$3,0,0,'Données projet'!$E$12+1,1))-AVERAGE(OFFSET($H$3,0,0,'Données projet'!$E$12+1,1))</f>
        <v>246.66630850723385</v>
      </c>
      <c r="CE157" s="59">
        <f t="shared" si="148"/>
        <v>145.34368562171613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1.1368683772161603E-13</v>
      </c>
      <c r="CU157" s="17">
        <f>CT157*VLOOKUP('Données projet'!$B$13,Paramètres!$A$1:$I$89,3,0)*VLOOKUP('Données projet'!$B$13,Paramètres!$A$1:$I$89,5,0)</f>
        <v>8.8675733422860506E-14</v>
      </c>
      <c r="CV157" s="13">
        <f t="shared" si="173"/>
        <v>1.3509285393066301E-12</v>
      </c>
      <c r="CW157" s="20">
        <f t="shared" si="174"/>
        <v>2.5073107750038623E-12</v>
      </c>
      <c r="CX157" s="59">
        <f t="shared" si="122"/>
        <v>293.33333333333582</v>
      </c>
      <c r="CY157" s="59">
        <f ca="1">AVERAGE(OFFSET($CX$3,0,0,'Données projet'!$E$13+1,1))-AVERAGE(OFFSET($H$3,0,0,'Données projet'!$E$13+1,1))</f>
        <v>292.57482726862594</v>
      </c>
      <c r="CZ157" s="59">
        <f t="shared" si="150"/>
        <v>283.48738729114024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-9.6633812063373625E-13</v>
      </c>
      <c r="DP157" s="17">
        <f>DO157*VLOOKUP('Données projet'!$B$14,Paramètres!$A$1:$I$89,3,0)*VLOOKUP('Données projet'!$B$14,Paramètres!$A$1:$I$89,5,0)</f>
        <v>-9.7986685432260874E-13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475.47920969424894</v>
      </c>
      <c r="DU157" s="59">
        <f t="shared" si="152"/>
        <v>271.73544012419364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-9.6633812063373625E-13</v>
      </c>
      <c r="EK157" s="17">
        <f>EJ157*VLOOKUP('Données projet'!$B$15,Paramètres!$A$1:$I$89,3,0)*VLOOKUP('Données projet'!$B$15,Paramètres!$A$1:$I$89,5,0)</f>
        <v>-8.7434273154940449E-13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428.8489304403459</v>
      </c>
      <c r="EP157" s="59">
        <f t="shared" si="154"/>
        <v>247.01165577562966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245.25496369542458</v>
      </c>
      <c r="FK157" s="59">
        <f t="shared" si="156"/>
        <v>342.30266518164211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0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 t="e">
        <f>N158*VLOOKUP('Données projet'!$B$9,Paramètres!$A$1:$I$89,3,0)*VLOOKUP('Données projet'!$B$9,Paramètres!$A$1:$I$89,5,0)</f>
        <v>#N/A</v>
      </c>
      <c r="P158" s="13" t="e">
        <f t="shared" si="141"/>
        <v>#N/A</v>
      </c>
      <c r="Q158" s="20" t="e">
        <f t="shared" si="162"/>
        <v>#N/A</v>
      </c>
      <c r="R158" s="59" t="e">
        <f t="shared" si="109"/>
        <v>#N/A</v>
      </c>
      <c r="S158" s="59" t="e">
        <f ca="1">AVERAGE(OFFSET($R$3,0,0,'Données projet'!$E$9+1,1))-AVERAGE(OFFSET($H$3,0,0,'Données projet'!$E$9+1,1))</f>
        <v>#N/A</v>
      </c>
      <c r="T158" s="59" t="e">
        <f t="shared" si="142"/>
        <v>#N/A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 t="e">
        <f>EXP(-LN(2)/35)*Z157+(1-EXP(-LN(2)/35))/(LN(2)/35)*V158*W158*VLOOKUP('Données projet'!$B$9,Paramètres!$A$1:$I$89,3,0)*0.475*44/12</f>
        <v>#N/A</v>
      </c>
      <c r="AA158" s="21" t="e">
        <f>EXP(-LN(2)/25)*AA157+(1-EXP(-LN(2)/25))/(LN(2)/25)*Calculateur!V158*Calculateur!X158*VLOOKUP('Données projet'!$B$9,Paramètres!$A$1:$I$89,3,0)*0.475*44/12</f>
        <v>#N/A</v>
      </c>
      <c r="AB158" s="21" t="e">
        <f>EXP(-LN(2)/2)*AB157+(1-EXP(-LN(2)/2))/(LN(2)/2)*V158*Y158*VLOOKUP('Données projet'!$B$9,Paramètres!$A$1:$I$89,3,0)*0.475*44/12</f>
        <v>#N/A</v>
      </c>
      <c r="AC158" s="22" t="e">
        <f t="shared" si="163"/>
        <v>#N/A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-1.4897523215040567E-13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338.55719679154777</v>
      </c>
      <c r="AO158" s="59">
        <f t="shared" si="144"/>
        <v>371.26234252426531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-2.1636878955177963E-13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351.6178679548006</v>
      </c>
      <c r="BJ158" s="59">
        <f t="shared" si="146"/>
        <v>244.7141066773861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6.1538461538532374E-2</v>
      </c>
      <c r="BZ158" s="13">
        <f>BY158*VLOOKUP('Données projet'!$B$12,Paramètres!$A$1:$I$89,3,0)*VLOOKUP('Données projet'!$B$12,Paramètres!$A$1:$I$89,5,0)</f>
        <v>2.880000000003315E-2</v>
      </c>
      <c r="CA158" s="13">
        <f t="shared" si="170"/>
        <v>2.0057244427106876E-2</v>
      </c>
      <c r="CB158" s="20">
        <f t="shared" si="171"/>
        <v>8.5093034043935534E-2</v>
      </c>
      <c r="CC158" s="59">
        <f t="shared" si="119"/>
        <v>293.41842636737726</v>
      </c>
      <c r="CD158" s="59">
        <f ca="1">AVERAGE(OFFSET($CC$3,0,0,'Données projet'!$E$12+1,1))-AVERAGE(OFFSET($H$3,0,0,'Données projet'!$E$12+1,1))</f>
        <v>246.66630850723385</v>
      </c>
      <c r="CE158" s="59">
        <f t="shared" si="148"/>
        <v>145.34368562171613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1.1368683772161603E-13</v>
      </c>
      <c r="CU158" s="17">
        <f>CT158*VLOOKUP('Données projet'!$B$13,Paramètres!$A$1:$I$89,3,0)*VLOOKUP('Données projet'!$B$13,Paramètres!$A$1:$I$89,5,0)</f>
        <v>8.8675733422860506E-14</v>
      </c>
      <c r="CV158" s="13">
        <f t="shared" si="173"/>
        <v>1.3509285393066301E-12</v>
      </c>
      <c r="CW158" s="20">
        <f t="shared" si="174"/>
        <v>2.5073107750038623E-12</v>
      </c>
      <c r="CX158" s="59">
        <f t="shared" si="122"/>
        <v>293.33333333333582</v>
      </c>
      <c r="CY158" s="59">
        <f ca="1">AVERAGE(OFFSET($CX$3,0,0,'Données projet'!$E$13+1,1))-AVERAGE(OFFSET($H$3,0,0,'Données projet'!$E$13+1,1))</f>
        <v>292.57482726862594</v>
      </c>
      <c r="CZ158" s="59">
        <f t="shared" si="150"/>
        <v>283.48738729114024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-9.6633812063373625E-13</v>
      </c>
      <c r="DP158" s="17">
        <f>DO158*VLOOKUP('Données projet'!$B$14,Paramètres!$A$1:$I$89,3,0)*VLOOKUP('Données projet'!$B$14,Paramètres!$A$1:$I$89,5,0)</f>
        <v>-9.7986685432260874E-13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475.47920969424894</v>
      </c>
      <c r="DU158" s="59">
        <f t="shared" si="152"/>
        <v>271.73544012419364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-9.6633812063373625E-13</v>
      </c>
      <c r="EK158" s="17">
        <f>EJ158*VLOOKUP('Données projet'!$B$15,Paramètres!$A$1:$I$89,3,0)*VLOOKUP('Données projet'!$B$15,Paramètres!$A$1:$I$89,5,0)</f>
        <v>-8.7434273154940449E-13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428.8489304403459</v>
      </c>
      <c r="EP158" s="59">
        <f t="shared" si="154"/>
        <v>247.01165577562966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245.25496369542458</v>
      </c>
      <c r="FK158" s="59">
        <f t="shared" si="156"/>
        <v>342.30266518164211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0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 t="e">
        <f>N159*VLOOKUP('Données projet'!$B$9,Paramètres!$A$1:$I$89,3,0)*VLOOKUP('Données projet'!$B$9,Paramètres!$A$1:$I$89,5,0)</f>
        <v>#N/A</v>
      </c>
      <c r="P159" s="13" t="e">
        <f t="shared" si="141"/>
        <v>#N/A</v>
      </c>
      <c r="Q159" s="20" t="e">
        <f t="shared" si="162"/>
        <v>#N/A</v>
      </c>
      <c r="R159" s="59" t="e">
        <f t="shared" si="109"/>
        <v>#N/A</v>
      </c>
      <c r="S159" s="59" t="e">
        <f ca="1">AVERAGE(OFFSET($R$3,0,0,'Données projet'!$E$9+1,1))-AVERAGE(OFFSET($H$3,0,0,'Données projet'!$E$9+1,1))</f>
        <v>#N/A</v>
      </c>
      <c r="T159" s="59" t="e">
        <f t="shared" si="142"/>
        <v>#N/A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 t="e">
        <f>EXP(-LN(2)/35)*Z158+(1-EXP(-LN(2)/35))/(LN(2)/35)*V159*W159*VLOOKUP('Données projet'!$B$9,Paramètres!$A$1:$I$89,3,0)*0.475*44/12</f>
        <v>#N/A</v>
      </c>
      <c r="AA159" s="21" t="e">
        <f>EXP(-LN(2)/25)*AA158+(1-EXP(-LN(2)/25))/(LN(2)/25)*Calculateur!V159*Calculateur!X159*VLOOKUP('Données projet'!$B$9,Paramètres!$A$1:$I$89,3,0)*0.475*44/12</f>
        <v>#N/A</v>
      </c>
      <c r="AB159" s="21" t="e">
        <f>EXP(-LN(2)/2)*AB158+(1-EXP(-LN(2)/2))/(LN(2)/2)*V159*Y159*VLOOKUP('Données projet'!$B$9,Paramètres!$A$1:$I$89,3,0)*0.475*44/12</f>
        <v>#N/A</v>
      </c>
      <c r="AC159" s="22" t="e">
        <f t="shared" si="163"/>
        <v>#N/A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-1.4897523215040567E-13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338.55719679154777</v>
      </c>
      <c r="AO159" s="59">
        <f t="shared" si="144"/>
        <v>371.26234252426531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-2.1636878955177963E-13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351.6178679548006</v>
      </c>
      <c r="BJ159" s="59">
        <f t="shared" si="146"/>
        <v>244.7141066773861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6.1538461538532374E-2</v>
      </c>
      <c r="BZ159" s="13">
        <f>BY159*VLOOKUP('Données projet'!$B$12,Paramètres!$A$1:$I$89,3,0)*VLOOKUP('Données projet'!$B$12,Paramètres!$A$1:$I$89,5,0)</f>
        <v>2.880000000003315E-2</v>
      </c>
      <c r="CA159" s="13">
        <f t="shared" si="170"/>
        <v>2.0057244427106876E-2</v>
      </c>
      <c r="CB159" s="20">
        <f t="shared" si="171"/>
        <v>8.5093034043935534E-2</v>
      </c>
      <c r="CC159" s="59">
        <f t="shared" si="119"/>
        <v>293.41842636737726</v>
      </c>
      <c r="CD159" s="59">
        <f ca="1">AVERAGE(OFFSET($CC$3,0,0,'Données projet'!$E$12+1,1))-AVERAGE(OFFSET($H$3,0,0,'Données projet'!$E$12+1,1))</f>
        <v>246.66630850723385</v>
      </c>
      <c r="CE159" s="59">
        <f t="shared" si="148"/>
        <v>145.34368562171613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1.1368683772161603E-13</v>
      </c>
      <c r="CU159" s="17">
        <f>CT159*VLOOKUP('Données projet'!$B$13,Paramètres!$A$1:$I$89,3,0)*VLOOKUP('Données projet'!$B$13,Paramètres!$A$1:$I$89,5,0)</f>
        <v>8.8675733422860506E-14</v>
      </c>
      <c r="CV159" s="13">
        <f t="shared" si="173"/>
        <v>1.3509285393066301E-12</v>
      </c>
      <c r="CW159" s="20">
        <f t="shared" si="174"/>
        <v>2.5073107750038623E-12</v>
      </c>
      <c r="CX159" s="59">
        <f t="shared" si="122"/>
        <v>293.33333333333582</v>
      </c>
      <c r="CY159" s="59">
        <f ca="1">AVERAGE(OFFSET($CX$3,0,0,'Données projet'!$E$13+1,1))-AVERAGE(OFFSET($H$3,0,0,'Données projet'!$E$13+1,1))</f>
        <v>292.57482726862594</v>
      </c>
      <c r="CZ159" s="59">
        <f t="shared" si="150"/>
        <v>283.48738729114024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-9.6633812063373625E-13</v>
      </c>
      <c r="DP159" s="17">
        <f>DO159*VLOOKUP('Données projet'!$B$14,Paramètres!$A$1:$I$89,3,0)*VLOOKUP('Données projet'!$B$14,Paramètres!$A$1:$I$89,5,0)</f>
        <v>-9.7986685432260874E-13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475.47920969424894</v>
      </c>
      <c r="DU159" s="59">
        <f t="shared" si="152"/>
        <v>271.73544012419364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-9.6633812063373625E-13</v>
      </c>
      <c r="EK159" s="17">
        <f>EJ159*VLOOKUP('Données projet'!$B$15,Paramètres!$A$1:$I$89,3,0)*VLOOKUP('Données projet'!$B$15,Paramètres!$A$1:$I$89,5,0)</f>
        <v>-8.7434273154940449E-13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428.8489304403459</v>
      </c>
      <c r="EP159" s="59">
        <f t="shared" si="154"/>
        <v>247.01165577562966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245.25496369542458</v>
      </c>
      <c r="FK159" s="59">
        <f t="shared" si="156"/>
        <v>342.30266518164211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0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 t="e">
        <f>N160*VLOOKUP('Données projet'!$B$9,Paramètres!$A$1:$I$89,3,0)*VLOOKUP('Données projet'!$B$9,Paramètres!$A$1:$I$89,5,0)</f>
        <v>#N/A</v>
      </c>
      <c r="P160" s="13" t="e">
        <f t="shared" si="141"/>
        <v>#N/A</v>
      </c>
      <c r="Q160" s="20" t="e">
        <f t="shared" si="162"/>
        <v>#N/A</v>
      </c>
      <c r="R160" s="59" t="e">
        <f t="shared" si="109"/>
        <v>#N/A</v>
      </c>
      <c r="S160" s="59" t="e">
        <f ca="1">AVERAGE(OFFSET($R$3,0,0,'Données projet'!$E$9+1,1))-AVERAGE(OFFSET($H$3,0,0,'Données projet'!$E$9+1,1))</f>
        <v>#N/A</v>
      </c>
      <c r="T160" s="59" t="e">
        <f t="shared" si="142"/>
        <v>#N/A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 t="e">
        <f>EXP(-LN(2)/35)*Z159+(1-EXP(-LN(2)/35))/(LN(2)/35)*V160*W160*VLOOKUP('Données projet'!$B$9,Paramètres!$A$1:$I$89,3,0)*0.475*44/12</f>
        <v>#N/A</v>
      </c>
      <c r="AA160" s="21" t="e">
        <f>EXP(-LN(2)/25)*AA159+(1-EXP(-LN(2)/25))/(LN(2)/25)*Calculateur!V160*Calculateur!X160*VLOOKUP('Données projet'!$B$9,Paramètres!$A$1:$I$89,3,0)*0.475*44/12</f>
        <v>#N/A</v>
      </c>
      <c r="AB160" s="21" t="e">
        <f>EXP(-LN(2)/2)*AB159+(1-EXP(-LN(2)/2))/(LN(2)/2)*V160*Y160*VLOOKUP('Données projet'!$B$9,Paramètres!$A$1:$I$89,3,0)*0.475*44/12</f>
        <v>#N/A</v>
      </c>
      <c r="AC160" s="22" t="e">
        <f t="shared" si="163"/>
        <v>#N/A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-1.4897523215040567E-13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338.55719679154777</v>
      </c>
      <c r="AO160" s="59">
        <f t="shared" si="144"/>
        <v>371.26234252426531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-2.1636878955177963E-13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351.6178679548006</v>
      </c>
      <c r="BJ160" s="59">
        <f t="shared" si="146"/>
        <v>244.7141066773861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6.1538461538532374E-2</v>
      </c>
      <c r="BZ160" s="13">
        <f>BY160*VLOOKUP('Données projet'!$B$12,Paramètres!$A$1:$I$89,3,0)*VLOOKUP('Données projet'!$B$12,Paramètres!$A$1:$I$89,5,0)</f>
        <v>2.880000000003315E-2</v>
      </c>
      <c r="CA160" s="13">
        <f t="shared" si="170"/>
        <v>2.0057244427106876E-2</v>
      </c>
      <c r="CB160" s="20">
        <f t="shared" si="171"/>
        <v>8.5093034043935534E-2</v>
      </c>
      <c r="CC160" s="59">
        <f t="shared" si="119"/>
        <v>293.41842636737726</v>
      </c>
      <c r="CD160" s="59">
        <f ca="1">AVERAGE(OFFSET($CC$3,0,0,'Données projet'!$E$12+1,1))-AVERAGE(OFFSET($H$3,0,0,'Données projet'!$E$12+1,1))</f>
        <v>246.66630850723385</v>
      </c>
      <c r="CE160" s="59">
        <f t="shared" si="148"/>
        <v>145.34368562171613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1.1368683772161603E-13</v>
      </c>
      <c r="CU160" s="17">
        <f>CT160*VLOOKUP('Données projet'!$B$13,Paramètres!$A$1:$I$89,3,0)*VLOOKUP('Données projet'!$B$13,Paramètres!$A$1:$I$89,5,0)</f>
        <v>8.8675733422860506E-14</v>
      </c>
      <c r="CV160" s="13">
        <f t="shared" si="173"/>
        <v>1.3509285393066301E-12</v>
      </c>
      <c r="CW160" s="20">
        <f t="shared" si="174"/>
        <v>2.5073107750038623E-12</v>
      </c>
      <c r="CX160" s="59">
        <f t="shared" si="122"/>
        <v>293.33333333333582</v>
      </c>
      <c r="CY160" s="59">
        <f ca="1">AVERAGE(OFFSET($CX$3,0,0,'Données projet'!$E$13+1,1))-AVERAGE(OFFSET($H$3,0,0,'Données projet'!$E$13+1,1))</f>
        <v>292.57482726862594</v>
      </c>
      <c r="CZ160" s="59">
        <f t="shared" si="150"/>
        <v>283.48738729114024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-9.6633812063373625E-13</v>
      </c>
      <c r="DP160" s="17">
        <f>DO160*VLOOKUP('Données projet'!$B$14,Paramètres!$A$1:$I$89,3,0)*VLOOKUP('Données projet'!$B$14,Paramètres!$A$1:$I$89,5,0)</f>
        <v>-9.7986685432260874E-13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475.47920969424894</v>
      </c>
      <c r="DU160" s="59">
        <f t="shared" si="152"/>
        <v>271.73544012419364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-9.6633812063373625E-13</v>
      </c>
      <c r="EK160" s="17">
        <f>EJ160*VLOOKUP('Données projet'!$B$15,Paramètres!$A$1:$I$89,3,0)*VLOOKUP('Données projet'!$B$15,Paramètres!$A$1:$I$89,5,0)</f>
        <v>-8.7434273154940449E-13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428.8489304403459</v>
      </c>
      <c r="EP160" s="59">
        <f t="shared" si="154"/>
        <v>247.01165577562966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245.25496369542458</v>
      </c>
      <c r="FK160" s="59">
        <f t="shared" si="156"/>
        <v>342.30266518164211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0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 t="e">
        <f>N161*VLOOKUP('Données projet'!$B$9,Paramètres!$A$1:$I$89,3,0)*VLOOKUP('Données projet'!$B$9,Paramètres!$A$1:$I$89,5,0)</f>
        <v>#N/A</v>
      </c>
      <c r="P161" s="13" t="e">
        <f t="shared" si="141"/>
        <v>#N/A</v>
      </c>
      <c r="Q161" s="20" t="e">
        <f t="shared" si="162"/>
        <v>#N/A</v>
      </c>
      <c r="R161" s="59" t="e">
        <f t="shared" si="109"/>
        <v>#N/A</v>
      </c>
      <c r="S161" s="59" t="e">
        <f ca="1">AVERAGE(OFFSET($R$3,0,0,'Données projet'!$E$9+1,1))-AVERAGE(OFFSET($H$3,0,0,'Données projet'!$E$9+1,1))</f>
        <v>#N/A</v>
      </c>
      <c r="T161" s="59" t="e">
        <f t="shared" si="142"/>
        <v>#N/A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 t="e">
        <f>EXP(-LN(2)/35)*Z160+(1-EXP(-LN(2)/35))/(LN(2)/35)*V161*W161*VLOOKUP('Données projet'!$B$9,Paramètres!$A$1:$I$89,3,0)*0.475*44/12</f>
        <v>#N/A</v>
      </c>
      <c r="AA161" s="21" t="e">
        <f>EXP(-LN(2)/25)*AA160+(1-EXP(-LN(2)/25))/(LN(2)/25)*Calculateur!V161*Calculateur!X161*VLOOKUP('Données projet'!$B$9,Paramètres!$A$1:$I$89,3,0)*0.475*44/12</f>
        <v>#N/A</v>
      </c>
      <c r="AB161" s="21" t="e">
        <f>EXP(-LN(2)/2)*AB160+(1-EXP(-LN(2)/2))/(LN(2)/2)*V161*Y161*VLOOKUP('Données projet'!$B$9,Paramètres!$A$1:$I$89,3,0)*0.475*44/12</f>
        <v>#N/A</v>
      </c>
      <c r="AC161" s="22" t="e">
        <f t="shared" si="163"/>
        <v>#N/A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-1.4897523215040567E-13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338.55719679154777</v>
      </c>
      <c r="AO161" s="59">
        <f t="shared" si="144"/>
        <v>371.26234252426531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-2.1636878955177963E-13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351.6178679548006</v>
      </c>
      <c r="BJ161" s="59">
        <f t="shared" si="146"/>
        <v>244.7141066773861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6.1538461538532374E-2</v>
      </c>
      <c r="BZ161" s="13">
        <f>BY161*VLOOKUP('Données projet'!$B$12,Paramètres!$A$1:$I$89,3,0)*VLOOKUP('Données projet'!$B$12,Paramètres!$A$1:$I$89,5,0)</f>
        <v>2.880000000003315E-2</v>
      </c>
      <c r="CA161" s="13">
        <f t="shared" si="170"/>
        <v>2.0057244427106876E-2</v>
      </c>
      <c r="CB161" s="20">
        <f t="shared" si="171"/>
        <v>8.5093034043935534E-2</v>
      </c>
      <c r="CC161" s="59">
        <f t="shared" si="119"/>
        <v>293.41842636737726</v>
      </c>
      <c r="CD161" s="59">
        <f ca="1">AVERAGE(OFFSET($CC$3,0,0,'Données projet'!$E$12+1,1))-AVERAGE(OFFSET($H$3,0,0,'Données projet'!$E$12+1,1))</f>
        <v>246.66630850723385</v>
      </c>
      <c r="CE161" s="59">
        <f t="shared" si="148"/>
        <v>145.34368562171613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1.1368683772161603E-13</v>
      </c>
      <c r="CU161" s="17">
        <f>CT161*VLOOKUP('Données projet'!$B$13,Paramètres!$A$1:$I$89,3,0)*VLOOKUP('Données projet'!$B$13,Paramètres!$A$1:$I$89,5,0)</f>
        <v>8.8675733422860506E-14</v>
      </c>
      <c r="CV161" s="13">
        <f t="shared" si="173"/>
        <v>1.3509285393066301E-12</v>
      </c>
      <c r="CW161" s="20">
        <f t="shared" si="174"/>
        <v>2.5073107750038623E-12</v>
      </c>
      <c r="CX161" s="59">
        <f t="shared" si="122"/>
        <v>293.33333333333582</v>
      </c>
      <c r="CY161" s="59">
        <f ca="1">AVERAGE(OFFSET($CX$3,0,0,'Données projet'!$E$13+1,1))-AVERAGE(OFFSET($H$3,0,0,'Données projet'!$E$13+1,1))</f>
        <v>292.57482726862594</v>
      </c>
      <c r="CZ161" s="59">
        <f t="shared" si="150"/>
        <v>283.48738729114024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-9.6633812063373625E-13</v>
      </c>
      <c r="DP161" s="17">
        <f>DO161*VLOOKUP('Données projet'!$B$14,Paramètres!$A$1:$I$89,3,0)*VLOOKUP('Données projet'!$B$14,Paramètres!$A$1:$I$89,5,0)</f>
        <v>-9.7986685432260874E-13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475.47920969424894</v>
      </c>
      <c r="DU161" s="59">
        <f t="shared" si="152"/>
        <v>271.73544012419364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-9.6633812063373625E-13</v>
      </c>
      <c r="EK161" s="17">
        <f>EJ161*VLOOKUP('Données projet'!$B$15,Paramètres!$A$1:$I$89,3,0)*VLOOKUP('Données projet'!$B$15,Paramètres!$A$1:$I$89,5,0)</f>
        <v>-8.7434273154940449E-13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428.8489304403459</v>
      </c>
      <c r="EP161" s="59">
        <f t="shared" si="154"/>
        <v>247.01165577562966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245.25496369542458</v>
      </c>
      <c r="FK161" s="59">
        <f t="shared" si="156"/>
        <v>342.30266518164211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0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 t="e">
        <f>N162*VLOOKUP('Données projet'!$B$9,Paramètres!$A$1:$I$89,3,0)*VLOOKUP('Données projet'!$B$9,Paramètres!$A$1:$I$89,5,0)</f>
        <v>#N/A</v>
      </c>
      <c r="P162" s="13" t="e">
        <f t="shared" si="141"/>
        <v>#N/A</v>
      </c>
      <c r="Q162" s="20" t="e">
        <f t="shared" si="162"/>
        <v>#N/A</v>
      </c>
      <c r="R162" s="59" t="e">
        <f t="shared" si="109"/>
        <v>#N/A</v>
      </c>
      <c r="S162" s="59" t="e">
        <f ca="1">AVERAGE(OFFSET($R$3,0,0,'Données projet'!$E$9+1,1))-AVERAGE(OFFSET($H$3,0,0,'Données projet'!$E$9+1,1))</f>
        <v>#N/A</v>
      </c>
      <c r="T162" s="59" t="e">
        <f t="shared" si="142"/>
        <v>#N/A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 t="e">
        <f>EXP(-LN(2)/35)*Z161+(1-EXP(-LN(2)/35))/(LN(2)/35)*V162*W162*VLOOKUP('Données projet'!$B$9,Paramètres!$A$1:$I$89,3,0)*0.475*44/12</f>
        <v>#N/A</v>
      </c>
      <c r="AA162" s="21" t="e">
        <f>EXP(-LN(2)/25)*AA161+(1-EXP(-LN(2)/25))/(LN(2)/25)*Calculateur!V162*Calculateur!X162*VLOOKUP('Données projet'!$B$9,Paramètres!$A$1:$I$89,3,0)*0.475*44/12</f>
        <v>#N/A</v>
      </c>
      <c r="AB162" s="21" t="e">
        <f>EXP(-LN(2)/2)*AB161+(1-EXP(-LN(2)/2))/(LN(2)/2)*V162*Y162*VLOOKUP('Données projet'!$B$9,Paramètres!$A$1:$I$89,3,0)*0.475*44/12</f>
        <v>#N/A</v>
      </c>
      <c r="AC162" s="22" t="e">
        <f t="shared" si="163"/>
        <v>#N/A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-1.4897523215040567E-13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338.55719679154777</v>
      </c>
      <c r="AO162" s="59">
        <f t="shared" si="144"/>
        <v>371.26234252426531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-2.1636878955177963E-13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351.6178679548006</v>
      </c>
      <c r="BJ162" s="59">
        <f t="shared" si="146"/>
        <v>244.7141066773861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6.1538461538532374E-2</v>
      </c>
      <c r="BZ162" s="13">
        <f>BY162*VLOOKUP('Données projet'!$B$12,Paramètres!$A$1:$I$89,3,0)*VLOOKUP('Données projet'!$B$12,Paramètres!$A$1:$I$89,5,0)</f>
        <v>2.880000000003315E-2</v>
      </c>
      <c r="CA162" s="13">
        <f t="shared" si="170"/>
        <v>2.0057244427106876E-2</v>
      </c>
      <c r="CB162" s="20">
        <f t="shared" si="171"/>
        <v>8.5093034043935534E-2</v>
      </c>
      <c r="CC162" s="59">
        <f t="shared" si="119"/>
        <v>293.41842636737726</v>
      </c>
      <c r="CD162" s="59">
        <f ca="1">AVERAGE(OFFSET($CC$3,0,0,'Données projet'!$E$12+1,1))-AVERAGE(OFFSET($H$3,0,0,'Données projet'!$E$12+1,1))</f>
        <v>246.66630850723385</v>
      </c>
      <c r="CE162" s="59">
        <f t="shared" si="148"/>
        <v>145.34368562171613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1.1368683772161603E-13</v>
      </c>
      <c r="CU162" s="17">
        <f>CT162*VLOOKUP('Données projet'!$B$13,Paramètres!$A$1:$I$89,3,0)*VLOOKUP('Données projet'!$B$13,Paramètres!$A$1:$I$89,5,0)</f>
        <v>8.8675733422860506E-14</v>
      </c>
      <c r="CV162" s="13">
        <f t="shared" si="173"/>
        <v>1.3509285393066301E-12</v>
      </c>
      <c r="CW162" s="20">
        <f t="shared" si="174"/>
        <v>2.5073107750038623E-12</v>
      </c>
      <c r="CX162" s="59">
        <f t="shared" si="122"/>
        <v>293.33333333333582</v>
      </c>
      <c r="CY162" s="59">
        <f ca="1">AVERAGE(OFFSET($CX$3,0,0,'Données projet'!$E$13+1,1))-AVERAGE(OFFSET($H$3,0,0,'Données projet'!$E$13+1,1))</f>
        <v>292.57482726862594</v>
      </c>
      <c r="CZ162" s="59">
        <f t="shared" si="150"/>
        <v>283.48738729114024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-9.6633812063373625E-13</v>
      </c>
      <c r="DP162" s="17">
        <f>DO162*VLOOKUP('Données projet'!$B$14,Paramètres!$A$1:$I$89,3,0)*VLOOKUP('Données projet'!$B$14,Paramètres!$A$1:$I$89,5,0)</f>
        <v>-9.7986685432260874E-13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475.47920969424894</v>
      </c>
      <c r="DU162" s="59">
        <f t="shared" si="152"/>
        <v>271.73544012419364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-9.6633812063373625E-13</v>
      </c>
      <c r="EK162" s="17">
        <f>EJ162*VLOOKUP('Données projet'!$B$15,Paramètres!$A$1:$I$89,3,0)*VLOOKUP('Données projet'!$B$15,Paramètres!$A$1:$I$89,5,0)</f>
        <v>-8.7434273154940449E-13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428.8489304403459</v>
      </c>
      <c r="EP162" s="59">
        <f t="shared" si="154"/>
        <v>247.01165577562966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245.25496369542458</v>
      </c>
      <c r="FK162" s="59">
        <f t="shared" si="156"/>
        <v>342.30266518164211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0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 t="e">
        <f>N163*VLOOKUP('Données projet'!$B$9,Paramètres!$A$1:$I$89,3,0)*VLOOKUP('Données projet'!$B$9,Paramètres!$A$1:$I$89,5,0)</f>
        <v>#N/A</v>
      </c>
      <c r="P163" s="13" t="e">
        <f t="shared" si="141"/>
        <v>#N/A</v>
      </c>
      <c r="Q163" s="20" t="e">
        <f t="shared" si="162"/>
        <v>#N/A</v>
      </c>
      <c r="R163" s="59" t="e">
        <f t="shared" si="109"/>
        <v>#N/A</v>
      </c>
      <c r="S163" s="59" t="e">
        <f ca="1">AVERAGE(OFFSET($R$3,0,0,'Données projet'!$E$9+1,1))-AVERAGE(OFFSET($H$3,0,0,'Données projet'!$E$9+1,1))</f>
        <v>#N/A</v>
      </c>
      <c r="T163" s="59" t="e">
        <f t="shared" si="142"/>
        <v>#N/A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 t="e">
        <f>EXP(-LN(2)/35)*Z162+(1-EXP(-LN(2)/35))/(LN(2)/35)*V163*W163*VLOOKUP('Données projet'!$B$9,Paramètres!$A$1:$I$89,3,0)*0.475*44/12</f>
        <v>#N/A</v>
      </c>
      <c r="AA163" s="21" t="e">
        <f>EXP(-LN(2)/25)*AA162+(1-EXP(-LN(2)/25))/(LN(2)/25)*Calculateur!V163*Calculateur!X163*VLOOKUP('Données projet'!$B$9,Paramètres!$A$1:$I$89,3,0)*0.475*44/12</f>
        <v>#N/A</v>
      </c>
      <c r="AB163" s="21" t="e">
        <f>EXP(-LN(2)/2)*AB162+(1-EXP(-LN(2)/2))/(LN(2)/2)*V163*Y163*VLOOKUP('Données projet'!$B$9,Paramètres!$A$1:$I$89,3,0)*0.475*44/12</f>
        <v>#N/A</v>
      </c>
      <c r="AC163" s="22" t="e">
        <f t="shared" si="163"/>
        <v>#N/A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-1.4897523215040567E-13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338.55719679154777</v>
      </c>
      <c r="AO163" s="59">
        <f t="shared" si="144"/>
        <v>371.26234252426531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-2.1636878955177963E-13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351.6178679548006</v>
      </c>
      <c r="BJ163" s="59">
        <f t="shared" si="146"/>
        <v>244.7141066773861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6.1538461538532374E-2</v>
      </c>
      <c r="BZ163" s="13">
        <f>BY163*VLOOKUP('Données projet'!$B$12,Paramètres!$A$1:$I$89,3,0)*VLOOKUP('Données projet'!$B$12,Paramètres!$A$1:$I$89,5,0)</f>
        <v>2.880000000003315E-2</v>
      </c>
      <c r="CA163" s="13">
        <f t="shared" si="170"/>
        <v>2.0057244427106876E-2</v>
      </c>
      <c r="CB163" s="20">
        <f t="shared" si="171"/>
        <v>8.5093034043935534E-2</v>
      </c>
      <c r="CC163" s="59">
        <f t="shared" si="119"/>
        <v>293.41842636737726</v>
      </c>
      <c r="CD163" s="59">
        <f ca="1">AVERAGE(OFFSET($CC$3,0,0,'Données projet'!$E$12+1,1))-AVERAGE(OFFSET($H$3,0,0,'Données projet'!$E$12+1,1))</f>
        <v>246.66630850723385</v>
      </c>
      <c r="CE163" s="59">
        <f t="shared" si="148"/>
        <v>145.34368562171613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1.1368683772161603E-13</v>
      </c>
      <c r="CU163" s="17">
        <f>CT163*VLOOKUP('Données projet'!$B$13,Paramètres!$A$1:$I$89,3,0)*VLOOKUP('Données projet'!$B$13,Paramètres!$A$1:$I$89,5,0)</f>
        <v>8.8675733422860506E-14</v>
      </c>
      <c r="CV163" s="13">
        <f t="shared" si="173"/>
        <v>1.3509285393066301E-12</v>
      </c>
      <c r="CW163" s="20">
        <f t="shared" si="174"/>
        <v>2.5073107750038623E-12</v>
      </c>
      <c r="CX163" s="59">
        <f t="shared" si="122"/>
        <v>293.33333333333582</v>
      </c>
      <c r="CY163" s="59">
        <f ca="1">AVERAGE(OFFSET($CX$3,0,0,'Données projet'!$E$13+1,1))-AVERAGE(OFFSET($H$3,0,0,'Données projet'!$E$13+1,1))</f>
        <v>292.57482726862594</v>
      </c>
      <c r="CZ163" s="59">
        <f t="shared" si="150"/>
        <v>283.48738729114024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-9.6633812063373625E-13</v>
      </c>
      <c r="DP163" s="17">
        <f>DO163*VLOOKUP('Données projet'!$B$14,Paramètres!$A$1:$I$89,3,0)*VLOOKUP('Données projet'!$B$14,Paramètres!$A$1:$I$89,5,0)</f>
        <v>-9.7986685432260874E-13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475.47920969424894</v>
      </c>
      <c r="DU163" s="59">
        <f t="shared" si="152"/>
        <v>271.73544012419364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-9.6633812063373625E-13</v>
      </c>
      <c r="EK163" s="17">
        <f>EJ163*VLOOKUP('Données projet'!$B$15,Paramètres!$A$1:$I$89,3,0)*VLOOKUP('Données projet'!$B$15,Paramètres!$A$1:$I$89,5,0)</f>
        <v>-8.7434273154940449E-13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428.8489304403459</v>
      </c>
      <c r="EP163" s="59">
        <f t="shared" si="154"/>
        <v>247.01165577562966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245.25496369542458</v>
      </c>
      <c r="FK163" s="59">
        <f t="shared" si="156"/>
        <v>342.30266518164211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0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 t="e">
        <f>N164*VLOOKUP('Données projet'!$B$9,Paramètres!$A$1:$I$89,3,0)*VLOOKUP('Données projet'!$B$9,Paramètres!$A$1:$I$89,5,0)</f>
        <v>#N/A</v>
      </c>
      <c r="P164" s="13" t="e">
        <f t="shared" si="141"/>
        <v>#N/A</v>
      </c>
      <c r="Q164" s="20" t="e">
        <f t="shared" si="162"/>
        <v>#N/A</v>
      </c>
      <c r="R164" s="59" t="e">
        <f t="shared" si="109"/>
        <v>#N/A</v>
      </c>
      <c r="S164" s="59" t="e">
        <f ca="1">AVERAGE(OFFSET($R$3,0,0,'Données projet'!$E$9+1,1))-AVERAGE(OFFSET($H$3,0,0,'Données projet'!$E$9+1,1))</f>
        <v>#N/A</v>
      </c>
      <c r="T164" s="59" t="e">
        <f t="shared" si="142"/>
        <v>#N/A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 t="e">
        <f>EXP(-LN(2)/35)*Z163+(1-EXP(-LN(2)/35))/(LN(2)/35)*V164*W164*VLOOKUP('Données projet'!$B$9,Paramètres!$A$1:$I$89,3,0)*0.475*44/12</f>
        <v>#N/A</v>
      </c>
      <c r="AA164" s="21" t="e">
        <f>EXP(-LN(2)/25)*AA163+(1-EXP(-LN(2)/25))/(LN(2)/25)*Calculateur!V164*Calculateur!X164*VLOOKUP('Données projet'!$B$9,Paramètres!$A$1:$I$89,3,0)*0.475*44/12</f>
        <v>#N/A</v>
      </c>
      <c r="AB164" s="21" t="e">
        <f>EXP(-LN(2)/2)*AB163+(1-EXP(-LN(2)/2))/(LN(2)/2)*V164*Y164*VLOOKUP('Données projet'!$B$9,Paramètres!$A$1:$I$89,3,0)*0.475*44/12</f>
        <v>#N/A</v>
      </c>
      <c r="AC164" s="22" t="e">
        <f t="shared" si="163"/>
        <v>#N/A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-1.4897523215040567E-13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338.55719679154777</v>
      </c>
      <c r="AO164" s="59">
        <f t="shared" si="144"/>
        <v>371.26234252426531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-2.1636878955177963E-13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351.6178679548006</v>
      </c>
      <c r="BJ164" s="59">
        <f t="shared" si="146"/>
        <v>244.7141066773861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6.1538461538532374E-2</v>
      </c>
      <c r="BZ164" s="13">
        <f>BY164*VLOOKUP('Données projet'!$B$12,Paramètres!$A$1:$I$89,3,0)*VLOOKUP('Données projet'!$B$12,Paramètres!$A$1:$I$89,5,0)</f>
        <v>2.880000000003315E-2</v>
      </c>
      <c r="CA164" s="13">
        <f t="shared" si="170"/>
        <v>2.0057244427106876E-2</v>
      </c>
      <c r="CB164" s="20">
        <f t="shared" si="171"/>
        <v>8.5093034043935534E-2</v>
      </c>
      <c r="CC164" s="59">
        <f t="shared" si="119"/>
        <v>293.41842636737726</v>
      </c>
      <c r="CD164" s="59">
        <f ca="1">AVERAGE(OFFSET($CC$3,0,0,'Données projet'!$E$12+1,1))-AVERAGE(OFFSET($H$3,0,0,'Données projet'!$E$12+1,1))</f>
        <v>246.66630850723385</v>
      </c>
      <c r="CE164" s="59">
        <f t="shared" si="148"/>
        <v>145.34368562171613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1.1368683772161603E-13</v>
      </c>
      <c r="CU164" s="17">
        <f>CT164*VLOOKUP('Données projet'!$B$13,Paramètres!$A$1:$I$89,3,0)*VLOOKUP('Données projet'!$B$13,Paramètres!$A$1:$I$89,5,0)</f>
        <v>8.8675733422860506E-14</v>
      </c>
      <c r="CV164" s="13">
        <f t="shared" si="173"/>
        <v>1.3509285393066301E-12</v>
      </c>
      <c r="CW164" s="20">
        <f t="shared" si="174"/>
        <v>2.5073107750038623E-12</v>
      </c>
      <c r="CX164" s="59">
        <f t="shared" si="122"/>
        <v>293.33333333333582</v>
      </c>
      <c r="CY164" s="59">
        <f ca="1">AVERAGE(OFFSET($CX$3,0,0,'Données projet'!$E$13+1,1))-AVERAGE(OFFSET($H$3,0,0,'Données projet'!$E$13+1,1))</f>
        <v>292.57482726862594</v>
      </c>
      <c r="CZ164" s="59">
        <f t="shared" si="150"/>
        <v>283.48738729114024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-9.6633812063373625E-13</v>
      </c>
      <c r="DP164" s="17">
        <f>DO164*VLOOKUP('Données projet'!$B$14,Paramètres!$A$1:$I$89,3,0)*VLOOKUP('Données projet'!$B$14,Paramètres!$A$1:$I$89,5,0)</f>
        <v>-9.7986685432260874E-13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475.47920969424894</v>
      </c>
      <c r="DU164" s="59">
        <f t="shared" si="152"/>
        <v>271.73544012419364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-9.6633812063373625E-13</v>
      </c>
      <c r="EK164" s="17">
        <f>EJ164*VLOOKUP('Données projet'!$B$15,Paramètres!$A$1:$I$89,3,0)*VLOOKUP('Données projet'!$B$15,Paramètres!$A$1:$I$89,5,0)</f>
        <v>-8.7434273154940449E-13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428.8489304403459</v>
      </c>
      <c r="EP164" s="59">
        <f t="shared" si="154"/>
        <v>247.01165577562966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245.25496369542458</v>
      </c>
      <c r="FK164" s="59">
        <f t="shared" si="156"/>
        <v>342.30266518164211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0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 t="e">
        <f>N165*VLOOKUP('Données projet'!$B$9,Paramètres!$A$1:$I$89,3,0)*VLOOKUP('Données projet'!$B$9,Paramètres!$A$1:$I$89,5,0)</f>
        <v>#N/A</v>
      </c>
      <c r="P165" s="13" t="e">
        <f t="shared" si="141"/>
        <v>#N/A</v>
      </c>
      <c r="Q165" s="20" t="e">
        <f t="shared" si="162"/>
        <v>#N/A</v>
      </c>
      <c r="R165" s="59" t="e">
        <f t="shared" si="109"/>
        <v>#N/A</v>
      </c>
      <c r="S165" s="59" t="e">
        <f ca="1">AVERAGE(OFFSET($R$3,0,0,'Données projet'!$E$9+1,1))-AVERAGE(OFFSET($H$3,0,0,'Données projet'!$E$9+1,1))</f>
        <v>#N/A</v>
      </c>
      <c r="T165" s="59" t="e">
        <f t="shared" si="142"/>
        <v>#N/A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 t="e">
        <f>EXP(-LN(2)/35)*Z164+(1-EXP(-LN(2)/35))/(LN(2)/35)*V165*W165*VLOOKUP('Données projet'!$B$9,Paramètres!$A$1:$I$89,3,0)*0.475*44/12</f>
        <v>#N/A</v>
      </c>
      <c r="AA165" s="21" t="e">
        <f>EXP(-LN(2)/25)*AA164+(1-EXP(-LN(2)/25))/(LN(2)/25)*Calculateur!V165*Calculateur!X165*VLOOKUP('Données projet'!$B$9,Paramètres!$A$1:$I$89,3,0)*0.475*44/12</f>
        <v>#N/A</v>
      </c>
      <c r="AB165" s="21" t="e">
        <f>EXP(-LN(2)/2)*AB164+(1-EXP(-LN(2)/2))/(LN(2)/2)*V165*Y165*VLOOKUP('Données projet'!$B$9,Paramètres!$A$1:$I$89,3,0)*0.475*44/12</f>
        <v>#N/A</v>
      </c>
      <c r="AC165" s="22" t="e">
        <f t="shared" si="163"/>
        <v>#N/A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-1.4897523215040567E-13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338.55719679154777</v>
      </c>
      <c r="AO165" s="59">
        <f t="shared" si="144"/>
        <v>371.26234252426531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-2.1636878955177963E-13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351.6178679548006</v>
      </c>
      <c r="BJ165" s="59">
        <f t="shared" si="146"/>
        <v>244.7141066773861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6.1538461538532374E-2</v>
      </c>
      <c r="BZ165" s="13">
        <f>BY165*VLOOKUP('Données projet'!$B$12,Paramètres!$A$1:$I$89,3,0)*VLOOKUP('Données projet'!$B$12,Paramètres!$A$1:$I$89,5,0)</f>
        <v>2.880000000003315E-2</v>
      </c>
      <c r="CA165" s="13">
        <f t="shared" si="170"/>
        <v>2.0057244427106876E-2</v>
      </c>
      <c r="CB165" s="20">
        <f t="shared" si="171"/>
        <v>8.5093034043935534E-2</v>
      </c>
      <c r="CC165" s="59">
        <f t="shared" si="119"/>
        <v>293.41842636737726</v>
      </c>
      <c r="CD165" s="59">
        <f ca="1">AVERAGE(OFFSET($CC$3,0,0,'Données projet'!$E$12+1,1))-AVERAGE(OFFSET($H$3,0,0,'Données projet'!$E$12+1,1))</f>
        <v>246.66630850723385</v>
      </c>
      <c r="CE165" s="59">
        <f t="shared" si="148"/>
        <v>145.34368562171613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1.1368683772161603E-13</v>
      </c>
      <c r="CU165" s="17">
        <f>CT165*VLOOKUP('Données projet'!$B$13,Paramètres!$A$1:$I$89,3,0)*VLOOKUP('Données projet'!$B$13,Paramètres!$A$1:$I$89,5,0)</f>
        <v>8.8675733422860506E-14</v>
      </c>
      <c r="CV165" s="13">
        <f t="shared" si="173"/>
        <v>1.3509285393066301E-12</v>
      </c>
      <c r="CW165" s="20">
        <f t="shared" si="174"/>
        <v>2.5073107750038623E-12</v>
      </c>
      <c r="CX165" s="59">
        <f t="shared" si="122"/>
        <v>293.33333333333582</v>
      </c>
      <c r="CY165" s="59">
        <f ca="1">AVERAGE(OFFSET($CX$3,0,0,'Données projet'!$E$13+1,1))-AVERAGE(OFFSET($H$3,0,0,'Données projet'!$E$13+1,1))</f>
        <v>292.57482726862594</v>
      </c>
      <c r="CZ165" s="59">
        <f t="shared" si="150"/>
        <v>283.48738729114024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-9.6633812063373625E-13</v>
      </c>
      <c r="DP165" s="17">
        <f>DO165*VLOOKUP('Données projet'!$B$14,Paramètres!$A$1:$I$89,3,0)*VLOOKUP('Données projet'!$B$14,Paramètres!$A$1:$I$89,5,0)</f>
        <v>-9.7986685432260874E-13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475.47920969424894</v>
      </c>
      <c r="DU165" s="59">
        <f t="shared" si="152"/>
        <v>271.73544012419364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-9.6633812063373625E-13</v>
      </c>
      <c r="EK165" s="17">
        <f>EJ165*VLOOKUP('Données projet'!$B$15,Paramètres!$A$1:$I$89,3,0)*VLOOKUP('Données projet'!$B$15,Paramètres!$A$1:$I$89,5,0)</f>
        <v>-8.7434273154940449E-13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428.8489304403459</v>
      </c>
      <c r="EP165" s="59">
        <f t="shared" si="154"/>
        <v>247.01165577562966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245.25496369542458</v>
      </c>
      <c r="FK165" s="59">
        <f t="shared" si="156"/>
        <v>342.30266518164211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0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 t="e">
        <f>N166*VLOOKUP('Données projet'!$B$9,Paramètres!$A$1:$I$89,3,0)*VLOOKUP('Données projet'!$B$9,Paramètres!$A$1:$I$89,5,0)</f>
        <v>#N/A</v>
      </c>
      <c r="P166" s="13" t="e">
        <f t="shared" si="141"/>
        <v>#N/A</v>
      </c>
      <c r="Q166" s="20" t="e">
        <f t="shared" si="162"/>
        <v>#N/A</v>
      </c>
      <c r="R166" s="59" t="e">
        <f t="shared" si="109"/>
        <v>#N/A</v>
      </c>
      <c r="S166" s="59" t="e">
        <f ca="1">AVERAGE(OFFSET($R$3,0,0,'Données projet'!$E$9+1,1))-AVERAGE(OFFSET($H$3,0,0,'Données projet'!$E$9+1,1))</f>
        <v>#N/A</v>
      </c>
      <c r="T166" s="59" t="e">
        <f t="shared" si="142"/>
        <v>#N/A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 t="e">
        <f>EXP(-LN(2)/35)*Z165+(1-EXP(-LN(2)/35))/(LN(2)/35)*V166*W166*VLOOKUP('Données projet'!$B$9,Paramètres!$A$1:$I$89,3,0)*0.475*44/12</f>
        <v>#N/A</v>
      </c>
      <c r="AA166" s="21" t="e">
        <f>EXP(-LN(2)/25)*AA165+(1-EXP(-LN(2)/25))/(LN(2)/25)*Calculateur!V166*Calculateur!X166*VLOOKUP('Données projet'!$B$9,Paramètres!$A$1:$I$89,3,0)*0.475*44/12</f>
        <v>#N/A</v>
      </c>
      <c r="AB166" s="21" t="e">
        <f>EXP(-LN(2)/2)*AB165+(1-EXP(-LN(2)/2))/(LN(2)/2)*V166*Y166*VLOOKUP('Données projet'!$B$9,Paramètres!$A$1:$I$89,3,0)*0.475*44/12</f>
        <v>#N/A</v>
      </c>
      <c r="AC166" s="22" t="e">
        <f t="shared" si="163"/>
        <v>#N/A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-1.4897523215040567E-13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338.55719679154777</v>
      </c>
      <c r="AO166" s="59">
        <f t="shared" si="144"/>
        <v>371.26234252426531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-2.1636878955177963E-13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351.6178679548006</v>
      </c>
      <c r="BJ166" s="59">
        <f t="shared" si="146"/>
        <v>244.7141066773861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6.1538461538532374E-2</v>
      </c>
      <c r="BZ166" s="13">
        <f>BY166*VLOOKUP('Données projet'!$B$12,Paramètres!$A$1:$I$89,3,0)*VLOOKUP('Données projet'!$B$12,Paramètres!$A$1:$I$89,5,0)</f>
        <v>2.880000000003315E-2</v>
      </c>
      <c r="CA166" s="13">
        <f t="shared" si="170"/>
        <v>2.0057244427106876E-2</v>
      </c>
      <c r="CB166" s="20">
        <f t="shared" si="171"/>
        <v>8.5093034043935534E-2</v>
      </c>
      <c r="CC166" s="59">
        <f t="shared" si="119"/>
        <v>293.41842636737726</v>
      </c>
      <c r="CD166" s="59">
        <f ca="1">AVERAGE(OFFSET($CC$3,0,0,'Données projet'!$E$12+1,1))-AVERAGE(OFFSET($H$3,0,0,'Données projet'!$E$12+1,1))</f>
        <v>246.66630850723385</v>
      </c>
      <c r="CE166" s="59">
        <f t="shared" si="148"/>
        <v>145.34368562171613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1.1368683772161603E-13</v>
      </c>
      <c r="CU166" s="17">
        <f>CT166*VLOOKUP('Données projet'!$B$13,Paramètres!$A$1:$I$89,3,0)*VLOOKUP('Données projet'!$B$13,Paramètres!$A$1:$I$89,5,0)</f>
        <v>8.8675733422860506E-14</v>
      </c>
      <c r="CV166" s="13">
        <f t="shared" si="173"/>
        <v>1.3509285393066301E-12</v>
      </c>
      <c r="CW166" s="20">
        <f t="shared" si="174"/>
        <v>2.5073107750038623E-12</v>
      </c>
      <c r="CX166" s="59">
        <f t="shared" si="122"/>
        <v>293.33333333333582</v>
      </c>
      <c r="CY166" s="59">
        <f ca="1">AVERAGE(OFFSET($CX$3,0,0,'Données projet'!$E$13+1,1))-AVERAGE(OFFSET($H$3,0,0,'Données projet'!$E$13+1,1))</f>
        <v>292.57482726862594</v>
      </c>
      <c r="CZ166" s="59">
        <f t="shared" si="150"/>
        <v>283.48738729114024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-9.6633812063373625E-13</v>
      </c>
      <c r="DP166" s="17">
        <f>DO166*VLOOKUP('Données projet'!$B$14,Paramètres!$A$1:$I$89,3,0)*VLOOKUP('Données projet'!$B$14,Paramètres!$A$1:$I$89,5,0)</f>
        <v>-9.7986685432260874E-13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475.47920969424894</v>
      </c>
      <c r="DU166" s="59">
        <f t="shared" si="152"/>
        <v>271.73544012419364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-9.6633812063373625E-13</v>
      </c>
      <c r="EK166" s="17">
        <f>EJ166*VLOOKUP('Données projet'!$B$15,Paramètres!$A$1:$I$89,3,0)*VLOOKUP('Données projet'!$B$15,Paramètres!$A$1:$I$89,5,0)</f>
        <v>-8.7434273154940449E-13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428.8489304403459</v>
      </c>
      <c r="EP166" s="59">
        <f t="shared" si="154"/>
        <v>247.01165577562966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245.25496369542458</v>
      </c>
      <c r="FK166" s="59">
        <f t="shared" si="156"/>
        <v>342.30266518164211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0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 t="e">
        <f>N167*VLOOKUP('Données projet'!$B$9,Paramètres!$A$1:$I$89,3,0)*VLOOKUP('Données projet'!$B$9,Paramètres!$A$1:$I$89,5,0)</f>
        <v>#N/A</v>
      </c>
      <c r="P167" s="13" t="e">
        <f t="shared" si="141"/>
        <v>#N/A</v>
      </c>
      <c r="Q167" s="20" t="e">
        <f t="shared" si="162"/>
        <v>#N/A</v>
      </c>
      <c r="R167" s="59" t="e">
        <f t="shared" si="109"/>
        <v>#N/A</v>
      </c>
      <c r="S167" s="59" t="e">
        <f ca="1">AVERAGE(OFFSET($R$3,0,0,'Données projet'!$E$9+1,1))-AVERAGE(OFFSET($H$3,0,0,'Données projet'!$E$9+1,1))</f>
        <v>#N/A</v>
      </c>
      <c r="T167" s="59" t="e">
        <f t="shared" si="142"/>
        <v>#N/A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 t="e">
        <f>EXP(-LN(2)/35)*Z166+(1-EXP(-LN(2)/35))/(LN(2)/35)*V167*W167*VLOOKUP('Données projet'!$B$9,Paramètres!$A$1:$I$89,3,0)*0.475*44/12</f>
        <v>#N/A</v>
      </c>
      <c r="AA167" s="21" t="e">
        <f>EXP(-LN(2)/25)*AA166+(1-EXP(-LN(2)/25))/(LN(2)/25)*Calculateur!V167*Calculateur!X167*VLOOKUP('Données projet'!$B$9,Paramètres!$A$1:$I$89,3,0)*0.475*44/12</f>
        <v>#N/A</v>
      </c>
      <c r="AB167" s="21" t="e">
        <f>EXP(-LN(2)/2)*AB166+(1-EXP(-LN(2)/2))/(LN(2)/2)*V167*Y167*VLOOKUP('Données projet'!$B$9,Paramètres!$A$1:$I$89,3,0)*0.475*44/12</f>
        <v>#N/A</v>
      </c>
      <c r="AC167" s="22" t="e">
        <f t="shared" si="163"/>
        <v>#N/A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-1.4897523215040567E-13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338.55719679154777</v>
      </c>
      <c r="AO167" s="59">
        <f t="shared" si="144"/>
        <v>371.26234252426531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-2.1636878955177963E-13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351.6178679548006</v>
      </c>
      <c r="BJ167" s="59">
        <f t="shared" si="146"/>
        <v>244.7141066773861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6.1538461538532374E-2</v>
      </c>
      <c r="BZ167" s="13">
        <f>BY167*VLOOKUP('Données projet'!$B$12,Paramètres!$A$1:$I$89,3,0)*VLOOKUP('Données projet'!$B$12,Paramètres!$A$1:$I$89,5,0)</f>
        <v>2.880000000003315E-2</v>
      </c>
      <c r="CA167" s="13">
        <f t="shared" si="170"/>
        <v>2.0057244427106876E-2</v>
      </c>
      <c r="CB167" s="20">
        <f t="shared" si="171"/>
        <v>8.5093034043935534E-2</v>
      </c>
      <c r="CC167" s="59">
        <f t="shared" si="119"/>
        <v>293.41842636737726</v>
      </c>
      <c r="CD167" s="59">
        <f ca="1">AVERAGE(OFFSET($CC$3,0,0,'Données projet'!$E$12+1,1))-AVERAGE(OFFSET($H$3,0,0,'Données projet'!$E$12+1,1))</f>
        <v>246.66630850723385</v>
      </c>
      <c r="CE167" s="59">
        <f t="shared" si="148"/>
        <v>145.34368562171613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1.1368683772161603E-13</v>
      </c>
      <c r="CU167" s="17">
        <f>CT167*VLOOKUP('Données projet'!$B$13,Paramètres!$A$1:$I$89,3,0)*VLOOKUP('Données projet'!$B$13,Paramètres!$A$1:$I$89,5,0)</f>
        <v>8.8675733422860506E-14</v>
      </c>
      <c r="CV167" s="13">
        <f t="shared" si="173"/>
        <v>1.3509285393066301E-12</v>
      </c>
      <c r="CW167" s="20">
        <f t="shared" si="174"/>
        <v>2.5073107750038623E-12</v>
      </c>
      <c r="CX167" s="59">
        <f t="shared" si="122"/>
        <v>293.33333333333582</v>
      </c>
      <c r="CY167" s="59">
        <f ca="1">AVERAGE(OFFSET($CX$3,0,0,'Données projet'!$E$13+1,1))-AVERAGE(OFFSET($H$3,0,0,'Données projet'!$E$13+1,1))</f>
        <v>292.57482726862594</v>
      </c>
      <c r="CZ167" s="59">
        <f t="shared" si="150"/>
        <v>283.48738729114024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-9.6633812063373625E-13</v>
      </c>
      <c r="DP167" s="17">
        <f>DO167*VLOOKUP('Données projet'!$B$14,Paramètres!$A$1:$I$89,3,0)*VLOOKUP('Données projet'!$B$14,Paramètres!$A$1:$I$89,5,0)</f>
        <v>-9.7986685432260874E-13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475.47920969424894</v>
      </c>
      <c r="DU167" s="59">
        <f t="shared" si="152"/>
        <v>271.73544012419364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-9.6633812063373625E-13</v>
      </c>
      <c r="EK167" s="17">
        <f>EJ167*VLOOKUP('Données projet'!$B$15,Paramètres!$A$1:$I$89,3,0)*VLOOKUP('Données projet'!$B$15,Paramètres!$A$1:$I$89,5,0)</f>
        <v>-8.7434273154940449E-13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428.8489304403459</v>
      </c>
      <c r="EP167" s="59">
        <f t="shared" si="154"/>
        <v>247.01165577562966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245.25496369542458</v>
      </c>
      <c r="FK167" s="59">
        <f t="shared" si="156"/>
        <v>342.30266518164211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0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 t="e">
        <f>N168*VLOOKUP('Données projet'!$B$9,Paramètres!$A$1:$I$89,3,0)*VLOOKUP('Données projet'!$B$9,Paramètres!$A$1:$I$89,5,0)</f>
        <v>#N/A</v>
      </c>
      <c r="P168" s="13" t="e">
        <f t="shared" si="141"/>
        <v>#N/A</v>
      </c>
      <c r="Q168" s="20" t="e">
        <f t="shared" si="162"/>
        <v>#N/A</v>
      </c>
      <c r="R168" s="59" t="e">
        <f t="shared" si="109"/>
        <v>#N/A</v>
      </c>
      <c r="S168" s="59" t="e">
        <f ca="1">AVERAGE(OFFSET($R$3,0,0,'Données projet'!$E$9+1,1))-AVERAGE(OFFSET($H$3,0,0,'Données projet'!$E$9+1,1))</f>
        <v>#N/A</v>
      </c>
      <c r="T168" s="59" t="e">
        <f t="shared" si="142"/>
        <v>#N/A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 t="e">
        <f>EXP(-LN(2)/35)*Z167+(1-EXP(-LN(2)/35))/(LN(2)/35)*V168*W168*VLOOKUP('Données projet'!$B$9,Paramètres!$A$1:$I$89,3,0)*0.475*44/12</f>
        <v>#N/A</v>
      </c>
      <c r="AA168" s="21" t="e">
        <f>EXP(-LN(2)/25)*AA167+(1-EXP(-LN(2)/25))/(LN(2)/25)*Calculateur!V168*Calculateur!X168*VLOOKUP('Données projet'!$B$9,Paramètres!$A$1:$I$89,3,0)*0.475*44/12</f>
        <v>#N/A</v>
      </c>
      <c r="AB168" s="21" t="e">
        <f>EXP(-LN(2)/2)*AB167+(1-EXP(-LN(2)/2))/(LN(2)/2)*V168*Y168*VLOOKUP('Données projet'!$B$9,Paramètres!$A$1:$I$89,3,0)*0.475*44/12</f>
        <v>#N/A</v>
      </c>
      <c r="AC168" s="22" t="e">
        <f t="shared" si="163"/>
        <v>#N/A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-1.4897523215040567E-13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338.55719679154777</v>
      </c>
      <c r="AO168" s="59">
        <f t="shared" si="144"/>
        <v>371.26234252426531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-2.1636878955177963E-13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351.6178679548006</v>
      </c>
      <c r="BJ168" s="59">
        <f t="shared" si="146"/>
        <v>244.7141066773861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6.1538461538532374E-2</v>
      </c>
      <c r="BZ168" s="13">
        <f>BY168*VLOOKUP('Données projet'!$B$12,Paramètres!$A$1:$I$89,3,0)*VLOOKUP('Données projet'!$B$12,Paramètres!$A$1:$I$89,5,0)</f>
        <v>2.880000000003315E-2</v>
      </c>
      <c r="CA168" s="13">
        <f t="shared" si="170"/>
        <v>2.0057244427106876E-2</v>
      </c>
      <c r="CB168" s="20">
        <f t="shared" si="171"/>
        <v>8.5093034043935534E-2</v>
      </c>
      <c r="CC168" s="59">
        <f t="shared" si="119"/>
        <v>293.41842636737726</v>
      </c>
      <c r="CD168" s="59">
        <f ca="1">AVERAGE(OFFSET($CC$3,0,0,'Données projet'!$E$12+1,1))-AVERAGE(OFFSET($H$3,0,0,'Données projet'!$E$12+1,1))</f>
        <v>246.66630850723385</v>
      </c>
      <c r="CE168" s="59">
        <f t="shared" si="148"/>
        <v>145.34368562171613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1.1368683772161603E-13</v>
      </c>
      <c r="CU168" s="17">
        <f>CT168*VLOOKUP('Données projet'!$B$13,Paramètres!$A$1:$I$89,3,0)*VLOOKUP('Données projet'!$B$13,Paramètres!$A$1:$I$89,5,0)</f>
        <v>8.8675733422860506E-14</v>
      </c>
      <c r="CV168" s="13">
        <f t="shared" si="173"/>
        <v>1.3509285393066301E-12</v>
      </c>
      <c r="CW168" s="20">
        <f t="shared" si="174"/>
        <v>2.5073107750038623E-12</v>
      </c>
      <c r="CX168" s="59">
        <f t="shared" si="122"/>
        <v>293.33333333333582</v>
      </c>
      <c r="CY168" s="59">
        <f ca="1">AVERAGE(OFFSET($CX$3,0,0,'Données projet'!$E$13+1,1))-AVERAGE(OFFSET($H$3,0,0,'Données projet'!$E$13+1,1))</f>
        <v>292.57482726862594</v>
      </c>
      <c r="CZ168" s="59">
        <f t="shared" si="150"/>
        <v>283.48738729114024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-9.6633812063373625E-13</v>
      </c>
      <c r="DP168" s="17">
        <f>DO168*VLOOKUP('Données projet'!$B$14,Paramètres!$A$1:$I$89,3,0)*VLOOKUP('Données projet'!$B$14,Paramètres!$A$1:$I$89,5,0)</f>
        <v>-9.7986685432260874E-13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475.47920969424894</v>
      </c>
      <c r="DU168" s="59">
        <f t="shared" si="152"/>
        <v>271.73544012419364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-9.6633812063373625E-13</v>
      </c>
      <c r="EK168" s="17">
        <f>EJ168*VLOOKUP('Données projet'!$B$15,Paramètres!$A$1:$I$89,3,0)*VLOOKUP('Données projet'!$B$15,Paramètres!$A$1:$I$89,5,0)</f>
        <v>-8.7434273154940449E-13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428.8489304403459</v>
      </c>
      <c r="EP168" s="59">
        <f t="shared" si="154"/>
        <v>247.01165577562966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245.25496369542458</v>
      </c>
      <c r="FK168" s="59">
        <f t="shared" si="156"/>
        <v>342.30266518164211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0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 t="e">
        <f>N169*VLOOKUP('Données projet'!$B$9,Paramètres!$A$1:$I$89,3,0)*VLOOKUP('Données projet'!$B$9,Paramètres!$A$1:$I$89,5,0)</f>
        <v>#N/A</v>
      </c>
      <c r="P169" s="13" t="e">
        <f t="shared" si="141"/>
        <v>#N/A</v>
      </c>
      <c r="Q169" s="20" t="e">
        <f t="shared" si="162"/>
        <v>#N/A</v>
      </c>
      <c r="R169" s="59" t="e">
        <f t="shared" si="109"/>
        <v>#N/A</v>
      </c>
      <c r="S169" s="59" t="e">
        <f ca="1">AVERAGE(OFFSET($R$3,0,0,'Données projet'!$E$9+1,1))-AVERAGE(OFFSET($H$3,0,0,'Données projet'!$E$9+1,1))</f>
        <v>#N/A</v>
      </c>
      <c r="T169" s="59" t="e">
        <f t="shared" si="142"/>
        <v>#N/A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 t="e">
        <f>EXP(-LN(2)/35)*Z168+(1-EXP(-LN(2)/35))/(LN(2)/35)*V169*W169*VLOOKUP('Données projet'!$B$9,Paramètres!$A$1:$I$89,3,0)*0.475*44/12</f>
        <v>#N/A</v>
      </c>
      <c r="AA169" s="21" t="e">
        <f>EXP(-LN(2)/25)*AA168+(1-EXP(-LN(2)/25))/(LN(2)/25)*Calculateur!V169*Calculateur!X169*VLOOKUP('Données projet'!$B$9,Paramètres!$A$1:$I$89,3,0)*0.475*44/12</f>
        <v>#N/A</v>
      </c>
      <c r="AB169" s="21" t="e">
        <f>EXP(-LN(2)/2)*AB168+(1-EXP(-LN(2)/2))/(LN(2)/2)*V169*Y169*VLOOKUP('Données projet'!$B$9,Paramètres!$A$1:$I$89,3,0)*0.475*44/12</f>
        <v>#N/A</v>
      </c>
      <c r="AC169" s="22" t="e">
        <f t="shared" si="163"/>
        <v>#N/A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-1.4897523215040567E-13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338.55719679154777</v>
      </c>
      <c r="AO169" s="59">
        <f t="shared" si="144"/>
        <v>371.26234252426531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-2.1636878955177963E-13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351.6178679548006</v>
      </c>
      <c r="BJ169" s="59">
        <f t="shared" si="146"/>
        <v>244.7141066773861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6.1538461538532374E-2</v>
      </c>
      <c r="BZ169" s="13">
        <f>BY169*VLOOKUP('Données projet'!$B$12,Paramètres!$A$1:$I$89,3,0)*VLOOKUP('Données projet'!$B$12,Paramètres!$A$1:$I$89,5,0)</f>
        <v>2.880000000003315E-2</v>
      </c>
      <c r="CA169" s="13">
        <f t="shared" si="170"/>
        <v>2.0057244427106876E-2</v>
      </c>
      <c r="CB169" s="20">
        <f t="shared" si="171"/>
        <v>8.5093034043935534E-2</v>
      </c>
      <c r="CC169" s="59">
        <f t="shared" si="119"/>
        <v>293.41842636737726</v>
      </c>
      <c r="CD169" s="59">
        <f ca="1">AVERAGE(OFFSET($CC$3,0,0,'Données projet'!$E$12+1,1))-AVERAGE(OFFSET($H$3,0,0,'Données projet'!$E$12+1,1))</f>
        <v>246.66630850723385</v>
      </c>
      <c r="CE169" s="59">
        <f t="shared" si="148"/>
        <v>145.34368562171613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1.1368683772161603E-13</v>
      </c>
      <c r="CU169" s="17">
        <f>CT169*VLOOKUP('Données projet'!$B$13,Paramètres!$A$1:$I$89,3,0)*VLOOKUP('Données projet'!$B$13,Paramètres!$A$1:$I$89,5,0)</f>
        <v>8.8675733422860506E-14</v>
      </c>
      <c r="CV169" s="13">
        <f t="shared" si="173"/>
        <v>1.3509285393066301E-12</v>
      </c>
      <c r="CW169" s="20">
        <f t="shared" si="174"/>
        <v>2.5073107750038623E-12</v>
      </c>
      <c r="CX169" s="59">
        <f t="shared" si="122"/>
        <v>293.33333333333582</v>
      </c>
      <c r="CY169" s="59">
        <f ca="1">AVERAGE(OFFSET($CX$3,0,0,'Données projet'!$E$13+1,1))-AVERAGE(OFFSET($H$3,0,0,'Données projet'!$E$13+1,1))</f>
        <v>292.57482726862594</v>
      </c>
      <c r="CZ169" s="59">
        <f t="shared" si="150"/>
        <v>283.48738729114024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-9.6633812063373625E-13</v>
      </c>
      <c r="DP169" s="17">
        <f>DO169*VLOOKUP('Données projet'!$B$14,Paramètres!$A$1:$I$89,3,0)*VLOOKUP('Données projet'!$B$14,Paramètres!$A$1:$I$89,5,0)</f>
        <v>-9.7986685432260874E-13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475.47920969424894</v>
      </c>
      <c r="DU169" s="59">
        <f t="shared" si="152"/>
        <v>271.73544012419364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-9.6633812063373625E-13</v>
      </c>
      <c r="EK169" s="17">
        <f>EJ169*VLOOKUP('Données projet'!$B$15,Paramètres!$A$1:$I$89,3,0)*VLOOKUP('Données projet'!$B$15,Paramètres!$A$1:$I$89,5,0)</f>
        <v>-8.7434273154940449E-13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428.8489304403459</v>
      </c>
      <c r="EP169" s="59">
        <f t="shared" si="154"/>
        <v>247.01165577562966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245.25496369542458</v>
      </c>
      <c r="FK169" s="59">
        <f t="shared" si="156"/>
        <v>342.30266518164211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0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 t="e">
        <f>N170*VLOOKUP('Données projet'!$B$9,Paramètres!$A$1:$I$89,3,0)*VLOOKUP('Données projet'!$B$9,Paramètres!$A$1:$I$89,5,0)</f>
        <v>#N/A</v>
      </c>
      <c r="P170" s="13" t="e">
        <f t="shared" si="141"/>
        <v>#N/A</v>
      </c>
      <c r="Q170" s="20" t="e">
        <f t="shared" si="162"/>
        <v>#N/A</v>
      </c>
      <c r="R170" s="59" t="e">
        <f t="shared" si="109"/>
        <v>#N/A</v>
      </c>
      <c r="S170" s="59" t="e">
        <f ca="1">AVERAGE(OFFSET($R$3,0,0,'Données projet'!$E$9+1,1))-AVERAGE(OFFSET($H$3,0,0,'Données projet'!$E$9+1,1))</f>
        <v>#N/A</v>
      </c>
      <c r="T170" s="59" t="e">
        <f t="shared" si="142"/>
        <v>#N/A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 t="e">
        <f>EXP(-LN(2)/35)*Z169+(1-EXP(-LN(2)/35))/(LN(2)/35)*V170*W170*VLOOKUP('Données projet'!$B$9,Paramètres!$A$1:$I$89,3,0)*0.475*44/12</f>
        <v>#N/A</v>
      </c>
      <c r="AA170" s="21" t="e">
        <f>EXP(-LN(2)/25)*AA169+(1-EXP(-LN(2)/25))/(LN(2)/25)*Calculateur!V170*Calculateur!X170*VLOOKUP('Données projet'!$B$9,Paramètres!$A$1:$I$89,3,0)*0.475*44/12</f>
        <v>#N/A</v>
      </c>
      <c r="AB170" s="21" t="e">
        <f>EXP(-LN(2)/2)*AB169+(1-EXP(-LN(2)/2))/(LN(2)/2)*V170*Y170*VLOOKUP('Données projet'!$B$9,Paramètres!$A$1:$I$89,3,0)*0.475*44/12</f>
        <v>#N/A</v>
      </c>
      <c r="AC170" s="22" t="e">
        <f t="shared" si="163"/>
        <v>#N/A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-1.4897523215040567E-13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338.55719679154777</v>
      </c>
      <c r="AO170" s="59">
        <f t="shared" si="144"/>
        <v>371.26234252426531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-2.1636878955177963E-13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351.6178679548006</v>
      </c>
      <c r="BJ170" s="59">
        <f t="shared" si="146"/>
        <v>244.7141066773861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6.1538461538532374E-2</v>
      </c>
      <c r="BZ170" s="13">
        <f>BY170*VLOOKUP('Données projet'!$B$12,Paramètres!$A$1:$I$89,3,0)*VLOOKUP('Données projet'!$B$12,Paramètres!$A$1:$I$89,5,0)</f>
        <v>2.880000000003315E-2</v>
      </c>
      <c r="CA170" s="13">
        <f t="shared" si="170"/>
        <v>2.0057244427106876E-2</v>
      </c>
      <c r="CB170" s="20">
        <f t="shared" si="171"/>
        <v>8.5093034043935534E-2</v>
      </c>
      <c r="CC170" s="59">
        <f t="shared" si="119"/>
        <v>293.41842636737726</v>
      </c>
      <c r="CD170" s="59">
        <f ca="1">AVERAGE(OFFSET($CC$3,0,0,'Données projet'!$E$12+1,1))-AVERAGE(OFFSET($H$3,0,0,'Données projet'!$E$12+1,1))</f>
        <v>246.66630850723385</v>
      </c>
      <c r="CE170" s="59">
        <f t="shared" si="148"/>
        <v>145.34368562171613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1.1368683772161603E-13</v>
      </c>
      <c r="CU170" s="17">
        <f>CT170*VLOOKUP('Données projet'!$B$13,Paramètres!$A$1:$I$89,3,0)*VLOOKUP('Données projet'!$B$13,Paramètres!$A$1:$I$89,5,0)</f>
        <v>8.8675733422860506E-14</v>
      </c>
      <c r="CV170" s="13">
        <f t="shared" si="173"/>
        <v>1.3509285393066301E-12</v>
      </c>
      <c r="CW170" s="20">
        <f t="shared" si="174"/>
        <v>2.5073107750038623E-12</v>
      </c>
      <c r="CX170" s="59">
        <f t="shared" si="122"/>
        <v>293.33333333333582</v>
      </c>
      <c r="CY170" s="59">
        <f ca="1">AVERAGE(OFFSET($CX$3,0,0,'Données projet'!$E$13+1,1))-AVERAGE(OFFSET($H$3,0,0,'Données projet'!$E$13+1,1))</f>
        <v>292.57482726862594</v>
      </c>
      <c r="CZ170" s="59">
        <f t="shared" si="150"/>
        <v>283.48738729114024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-9.6633812063373625E-13</v>
      </c>
      <c r="DP170" s="17">
        <f>DO170*VLOOKUP('Données projet'!$B$14,Paramètres!$A$1:$I$89,3,0)*VLOOKUP('Données projet'!$B$14,Paramètres!$A$1:$I$89,5,0)</f>
        <v>-9.7986685432260874E-13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475.47920969424894</v>
      </c>
      <c r="DU170" s="59">
        <f t="shared" si="152"/>
        <v>271.73544012419364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-9.6633812063373625E-13</v>
      </c>
      <c r="EK170" s="17">
        <f>EJ170*VLOOKUP('Données projet'!$B$15,Paramètres!$A$1:$I$89,3,0)*VLOOKUP('Données projet'!$B$15,Paramètres!$A$1:$I$89,5,0)</f>
        <v>-8.7434273154940449E-13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428.8489304403459</v>
      </c>
      <c r="EP170" s="59">
        <f t="shared" si="154"/>
        <v>247.01165577562966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245.25496369542458</v>
      </c>
      <c r="FK170" s="59">
        <f t="shared" si="156"/>
        <v>342.30266518164211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0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 t="e">
        <f>N171*VLOOKUP('Données projet'!$B$9,Paramètres!$A$1:$I$89,3,0)*VLOOKUP('Données projet'!$B$9,Paramètres!$A$1:$I$89,5,0)</f>
        <v>#N/A</v>
      </c>
      <c r="P171" s="13" t="e">
        <f t="shared" si="141"/>
        <v>#N/A</v>
      </c>
      <c r="Q171" s="20" t="e">
        <f t="shared" si="162"/>
        <v>#N/A</v>
      </c>
      <c r="R171" s="59" t="e">
        <f t="shared" si="109"/>
        <v>#N/A</v>
      </c>
      <c r="S171" s="59" t="e">
        <f ca="1">AVERAGE(OFFSET($R$3,0,0,'Données projet'!$E$9+1,1))-AVERAGE(OFFSET($H$3,0,0,'Données projet'!$E$9+1,1))</f>
        <v>#N/A</v>
      </c>
      <c r="T171" s="59" t="e">
        <f t="shared" si="142"/>
        <v>#N/A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 t="e">
        <f>EXP(-LN(2)/35)*Z170+(1-EXP(-LN(2)/35))/(LN(2)/35)*V171*W171*VLOOKUP('Données projet'!$B$9,Paramètres!$A$1:$I$89,3,0)*0.475*44/12</f>
        <v>#N/A</v>
      </c>
      <c r="AA171" s="21" t="e">
        <f>EXP(-LN(2)/25)*AA170+(1-EXP(-LN(2)/25))/(LN(2)/25)*Calculateur!V171*Calculateur!X171*VLOOKUP('Données projet'!$B$9,Paramètres!$A$1:$I$89,3,0)*0.475*44/12</f>
        <v>#N/A</v>
      </c>
      <c r="AB171" s="21" t="e">
        <f>EXP(-LN(2)/2)*AB170+(1-EXP(-LN(2)/2))/(LN(2)/2)*V171*Y171*VLOOKUP('Données projet'!$B$9,Paramètres!$A$1:$I$89,3,0)*0.475*44/12</f>
        <v>#N/A</v>
      </c>
      <c r="AC171" s="22" t="e">
        <f t="shared" si="163"/>
        <v>#N/A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-1.4897523215040567E-13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338.55719679154777</v>
      </c>
      <c r="AO171" s="59">
        <f t="shared" si="144"/>
        <v>371.26234252426531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-2.1636878955177963E-13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351.6178679548006</v>
      </c>
      <c r="BJ171" s="59">
        <f t="shared" si="146"/>
        <v>244.7141066773861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6.1538461538532374E-2</v>
      </c>
      <c r="BZ171" s="13">
        <f>BY171*VLOOKUP('Données projet'!$B$12,Paramètres!$A$1:$I$89,3,0)*VLOOKUP('Données projet'!$B$12,Paramètres!$A$1:$I$89,5,0)</f>
        <v>2.880000000003315E-2</v>
      </c>
      <c r="CA171" s="13">
        <f t="shared" si="170"/>
        <v>2.0057244427106876E-2</v>
      </c>
      <c r="CB171" s="20">
        <f t="shared" si="171"/>
        <v>8.5093034043935534E-2</v>
      </c>
      <c r="CC171" s="59">
        <f t="shared" si="119"/>
        <v>293.41842636737726</v>
      </c>
      <c r="CD171" s="59">
        <f ca="1">AVERAGE(OFFSET($CC$3,0,0,'Données projet'!$E$12+1,1))-AVERAGE(OFFSET($H$3,0,0,'Données projet'!$E$12+1,1))</f>
        <v>246.66630850723385</v>
      </c>
      <c r="CE171" s="59">
        <f t="shared" si="148"/>
        <v>145.34368562171613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1.1368683772161603E-13</v>
      </c>
      <c r="CU171" s="17">
        <f>CT171*VLOOKUP('Données projet'!$B$13,Paramètres!$A$1:$I$89,3,0)*VLOOKUP('Données projet'!$B$13,Paramètres!$A$1:$I$89,5,0)</f>
        <v>8.8675733422860506E-14</v>
      </c>
      <c r="CV171" s="13">
        <f t="shared" si="173"/>
        <v>1.3509285393066301E-12</v>
      </c>
      <c r="CW171" s="20">
        <f t="shared" si="174"/>
        <v>2.5073107750038623E-12</v>
      </c>
      <c r="CX171" s="59">
        <f t="shared" si="122"/>
        <v>293.33333333333582</v>
      </c>
      <c r="CY171" s="59">
        <f ca="1">AVERAGE(OFFSET($CX$3,0,0,'Données projet'!$E$13+1,1))-AVERAGE(OFFSET($H$3,0,0,'Données projet'!$E$13+1,1))</f>
        <v>292.57482726862594</v>
      </c>
      <c r="CZ171" s="59">
        <f t="shared" si="150"/>
        <v>283.48738729114024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-9.6633812063373625E-13</v>
      </c>
      <c r="DP171" s="17">
        <f>DO171*VLOOKUP('Données projet'!$B$14,Paramètres!$A$1:$I$89,3,0)*VLOOKUP('Données projet'!$B$14,Paramètres!$A$1:$I$89,5,0)</f>
        <v>-9.7986685432260874E-13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475.47920969424894</v>
      </c>
      <c r="DU171" s="59">
        <f t="shared" si="152"/>
        <v>271.73544012419364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-9.6633812063373625E-13</v>
      </c>
      <c r="EK171" s="17">
        <f>EJ171*VLOOKUP('Données projet'!$B$15,Paramètres!$A$1:$I$89,3,0)*VLOOKUP('Données projet'!$B$15,Paramètres!$A$1:$I$89,5,0)</f>
        <v>-8.7434273154940449E-13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428.8489304403459</v>
      </c>
      <c r="EP171" s="59">
        <f t="shared" si="154"/>
        <v>247.01165577562966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245.25496369542458</v>
      </c>
      <c r="FK171" s="59">
        <f t="shared" si="156"/>
        <v>342.30266518164211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0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 t="e">
        <f>N172*VLOOKUP('Données projet'!$B$9,Paramètres!$A$1:$I$89,3,0)*VLOOKUP('Données projet'!$B$9,Paramètres!$A$1:$I$89,5,0)</f>
        <v>#N/A</v>
      </c>
      <c r="P172" s="13" t="e">
        <f t="shared" si="141"/>
        <v>#N/A</v>
      </c>
      <c r="Q172" s="20" t="e">
        <f t="shared" si="162"/>
        <v>#N/A</v>
      </c>
      <c r="R172" s="59" t="e">
        <f t="shared" si="109"/>
        <v>#N/A</v>
      </c>
      <c r="S172" s="59" t="e">
        <f ca="1">AVERAGE(OFFSET($R$3,0,0,'Données projet'!$E$9+1,1))-AVERAGE(OFFSET($H$3,0,0,'Données projet'!$E$9+1,1))</f>
        <v>#N/A</v>
      </c>
      <c r="T172" s="59" t="e">
        <f t="shared" si="142"/>
        <v>#N/A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 t="e">
        <f>EXP(-LN(2)/35)*Z171+(1-EXP(-LN(2)/35))/(LN(2)/35)*V172*W172*VLOOKUP('Données projet'!$B$9,Paramètres!$A$1:$I$89,3,0)*0.475*44/12</f>
        <v>#N/A</v>
      </c>
      <c r="AA172" s="21" t="e">
        <f>EXP(-LN(2)/25)*AA171+(1-EXP(-LN(2)/25))/(LN(2)/25)*Calculateur!V172*Calculateur!X172*VLOOKUP('Données projet'!$B$9,Paramètres!$A$1:$I$89,3,0)*0.475*44/12</f>
        <v>#N/A</v>
      </c>
      <c r="AB172" s="21" t="e">
        <f>EXP(-LN(2)/2)*AB171+(1-EXP(-LN(2)/2))/(LN(2)/2)*V172*Y172*VLOOKUP('Données projet'!$B$9,Paramètres!$A$1:$I$89,3,0)*0.475*44/12</f>
        <v>#N/A</v>
      </c>
      <c r="AC172" s="22" t="e">
        <f t="shared" si="163"/>
        <v>#N/A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-1.4897523215040567E-13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338.55719679154777</v>
      </c>
      <c r="AO172" s="59">
        <f t="shared" si="144"/>
        <v>371.26234252426531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-2.1636878955177963E-13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351.6178679548006</v>
      </c>
      <c r="BJ172" s="59">
        <f t="shared" si="146"/>
        <v>244.7141066773861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6.1538461538532374E-2</v>
      </c>
      <c r="BZ172" s="13">
        <f>BY172*VLOOKUP('Données projet'!$B$12,Paramètres!$A$1:$I$89,3,0)*VLOOKUP('Données projet'!$B$12,Paramètres!$A$1:$I$89,5,0)</f>
        <v>2.880000000003315E-2</v>
      </c>
      <c r="CA172" s="13">
        <f t="shared" si="170"/>
        <v>2.0057244427106876E-2</v>
      </c>
      <c r="CB172" s="20">
        <f t="shared" si="171"/>
        <v>8.5093034043935534E-2</v>
      </c>
      <c r="CC172" s="59">
        <f t="shared" si="119"/>
        <v>293.41842636737726</v>
      </c>
      <c r="CD172" s="59">
        <f ca="1">AVERAGE(OFFSET($CC$3,0,0,'Données projet'!$E$12+1,1))-AVERAGE(OFFSET($H$3,0,0,'Données projet'!$E$12+1,1))</f>
        <v>246.66630850723385</v>
      </c>
      <c r="CE172" s="59">
        <f t="shared" si="148"/>
        <v>145.34368562171613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1.1368683772161603E-13</v>
      </c>
      <c r="CU172" s="17">
        <f>CT172*VLOOKUP('Données projet'!$B$13,Paramètres!$A$1:$I$89,3,0)*VLOOKUP('Données projet'!$B$13,Paramètres!$A$1:$I$89,5,0)</f>
        <v>8.8675733422860506E-14</v>
      </c>
      <c r="CV172" s="13">
        <f t="shared" si="173"/>
        <v>1.3509285393066301E-12</v>
      </c>
      <c r="CW172" s="20">
        <f t="shared" si="174"/>
        <v>2.5073107750038623E-12</v>
      </c>
      <c r="CX172" s="59">
        <f t="shared" si="122"/>
        <v>293.33333333333582</v>
      </c>
      <c r="CY172" s="59">
        <f ca="1">AVERAGE(OFFSET($CX$3,0,0,'Données projet'!$E$13+1,1))-AVERAGE(OFFSET($H$3,0,0,'Données projet'!$E$13+1,1))</f>
        <v>292.57482726862594</v>
      </c>
      <c r="CZ172" s="59">
        <f t="shared" si="150"/>
        <v>283.48738729114024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-9.6633812063373625E-13</v>
      </c>
      <c r="DP172" s="17">
        <f>DO172*VLOOKUP('Données projet'!$B$14,Paramètres!$A$1:$I$89,3,0)*VLOOKUP('Données projet'!$B$14,Paramètres!$A$1:$I$89,5,0)</f>
        <v>-9.7986685432260874E-13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475.47920969424894</v>
      </c>
      <c r="DU172" s="59">
        <f t="shared" si="152"/>
        <v>271.73544012419364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-9.6633812063373625E-13</v>
      </c>
      <c r="EK172" s="17">
        <f>EJ172*VLOOKUP('Données projet'!$B$15,Paramètres!$A$1:$I$89,3,0)*VLOOKUP('Données projet'!$B$15,Paramètres!$A$1:$I$89,5,0)</f>
        <v>-8.7434273154940449E-13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428.8489304403459</v>
      </c>
      <c r="EP172" s="59">
        <f t="shared" si="154"/>
        <v>247.01165577562966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245.25496369542458</v>
      </c>
      <c r="FK172" s="59">
        <f t="shared" si="156"/>
        <v>342.30266518164211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0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 t="e">
        <f>N173*VLOOKUP('Données projet'!$B$9,Paramètres!$A$1:$I$89,3,0)*VLOOKUP('Données projet'!$B$9,Paramètres!$A$1:$I$89,5,0)</f>
        <v>#N/A</v>
      </c>
      <c r="P173" s="13" t="e">
        <f t="shared" si="141"/>
        <v>#N/A</v>
      </c>
      <c r="Q173" s="20" t="e">
        <f t="shared" si="162"/>
        <v>#N/A</v>
      </c>
      <c r="R173" s="59" t="e">
        <f t="shared" si="109"/>
        <v>#N/A</v>
      </c>
      <c r="S173" s="59" t="e">
        <f ca="1">AVERAGE(OFFSET($R$3,0,0,'Données projet'!$E$9+1,1))-AVERAGE(OFFSET($H$3,0,0,'Données projet'!$E$9+1,1))</f>
        <v>#N/A</v>
      </c>
      <c r="T173" s="59" t="e">
        <f t="shared" si="142"/>
        <v>#N/A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 t="e">
        <f>EXP(-LN(2)/35)*Z172+(1-EXP(-LN(2)/35))/(LN(2)/35)*V173*W173*VLOOKUP('Données projet'!$B$9,Paramètres!$A$1:$I$89,3,0)*0.475*44/12</f>
        <v>#N/A</v>
      </c>
      <c r="AA173" s="21" t="e">
        <f>EXP(-LN(2)/25)*AA172+(1-EXP(-LN(2)/25))/(LN(2)/25)*Calculateur!V173*Calculateur!X173*VLOOKUP('Données projet'!$B$9,Paramètres!$A$1:$I$89,3,0)*0.475*44/12</f>
        <v>#N/A</v>
      </c>
      <c r="AB173" s="21" t="e">
        <f>EXP(-LN(2)/2)*AB172+(1-EXP(-LN(2)/2))/(LN(2)/2)*V173*Y173*VLOOKUP('Données projet'!$B$9,Paramètres!$A$1:$I$89,3,0)*0.475*44/12</f>
        <v>#N/A</v>
      </c>
      <c r="AC173" s="22" t="e">
        <f t="shared" si="163"/>
        <v>#N/A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-1.4897523215040567E-13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338.55719679154777</v>
      </c>
      <c r="AO173" s="59">
        <f t="shared" si="144"/>
        <v>371.26234252426531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-2.1636878955177963E-13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351.6178679548006</v>
      </c>
      <c r="BJ173" s="59">
        <f t="shared" si="146"/>
        <v>244.7141066773861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6.1538461538532374E-2</v>
      </c>
      <c r="BZ173" s="13">
        <f>BY173*VLOOKUP('Données projet'!$B$12,Paramètres!$A$1:$I$89,3,0)*VLOOKUP('Données projet'!$B$12,Paramètres!$A$1:$I$89,5,0)</f>
        <v>2.880000000003315E-2</v>
      </c>
      <c r="CA173" s="13">
        <f t="shared" si="170"/>
        <v>2.0057244427106876E-2</v>
      </c>
      <c r="CB173" s="20">
        <f t="shared" si="171"/>
        <v>8.5093034043935534E-2</v>
      </c>
      <c r="CC173" s="59">
        <f t="shared" si="119"/>
        <v>293.41842636737726</v>
      </c>
      <c r="CD173" s="59">
        <f ca="1">AVERAGE(OFFSET($CC$3,0,0,'Données projet'!$E$12+1,1))-AVERAGE(OFFSET($H$3,0,0,'Données projet'!$E$12+1,1))</f>
        <v>246.66630850723385</v>
      </c>
      <c r="CE173" s="59">
        <f t="shared" si="148"/>
        <v>145.34368562171613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1.1368683772161603E-13</v>
      </c>
      <c r="CU173" s="17">
        <f>CT173*VLOOKUP('Données projet'!$B$13,Paramètres!$A$1:$I$89,3,0)*VLOOKUP('Données projet'!$B$13,Paramètres!$A$1:$I$89,5,0)</f>
        <v>8.8675733422860506E-14</v>
      </c>
      <c r="CV173" s="13">
        <f t="shared" si="173"/>
        <v>1.3509285393066301E-12</v>
      </c>
      <c r="CW173" s="20">
        <f t="shared" si="174"/>
        <v>2.5073107750038623E-12</v>
      </c>
      <c r="CX173" s="59">
        <f t="shared" si="122"/>
        <v>293.33333333333582</v>
      </c>
      <c r="CY173" s="59">
        <f ca="1">AVERAGE(OFFSET($CX$3,0,0,'Données projet'!$E$13+1,1))-AVERAGE(OFFSET($H$3,0,0,'Données projet'!$E$13+1,1))</f>
        <v>292.57482726862594</v>
      </c>
      <c r="CZ173" s="59">
        <f t="shared" si="150"/>
        <v>283.48738729114024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-9.6633812063373625E-13</v>
      </c>
      <c r="DP173" s="17">
        <f>DO173*VLOOKUP('Données projet'!$B$14,Paramètres!$A$1:$I$89,3,0)*VLOOKUP('Données projet'!$B$14,Paramètres!$A$1:$I$89,5,0)</f>
        <v>-9.7986685432260874E-13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475.47920969424894</v>
      </c>
      <c r="DU173" s="59">
        <f t="shared" si="152"/>
        <v>271.73544012419364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-9.6633812063373625E-13</v>
      </c>
      <c r="EK173" s="17">
        <f>EJ173*VLOOKUP('Données projet'!$B$15,Paramètres!$A$1:$I$89,3,0)*VLOOKUP('Données projet'!$B$15,Paramètres!$A$1:$I$89,5,0)</f>
        <v>-8.7434273154940449E-13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428.8489304403459</v>
      </c>
      <c r="EP173" s="59">
        <f t="shared" si="154"/>
        <v>247.01165577562966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245.25496369542458</v>
      </c>
      <c r="FK173" s="59">
        <f t="shared" si="156"/>
        <v>342.30266518164211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0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 t="e">
        <f>N174*VLOOKUP('Données projet'!$B$9,Paramètres!$A$1:$I$89,3,0)*VLOOKUP('Données projet'!$B$9,Paramètres!$A$1:$I$89,5,0)</f>
        <v>#N/A</v>
      </c>
      <c r="P174" s="13" t="e">
        <f t="shared" si="141"/>
        <v>#N/A</v>
      </c>
      <c r="Q174" s="20" t="e">
        <f t="shared" si="162"/>
        <v>#N/A</v>
      </c>
      <c r="R174" s="59" t="e">
        <f t="shared" si="109"/>
        <v>#N/A</v>
      </c>
      <c r="S174" s="59" t="e">
        <f ca="1">AVERAGE(OFFSET($R$3,0,0,'Données projet'!$E$9+1,1))-AVERAGE(OFFSET($H$3,0,0,'Données projet'!$E$9+1,1))</f>
        <v>#N/A</v>
      </c>
      <c r="T174" s="59" t="e">
        <f t="shared" si="142"/>
        <v>#N/A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 t="e">
        <f>EXP(-LN(2)/35)*Z173+(1-EXP(-LN(2)/35))/(LN(2)/35)*V174*W174*VLOOKUP('Données projet'!$B$9,Paramètres!$A$1:$I$89,3,0)*0.475*44/12</f>
        <v>#N/A</v>
      </c>
      <c r="AA174" s="21" t="e">
        <f>EXP(-LN(2)/25)*AA173+(1-EXP(-LN(2)/25))/(LN(2)/25)*Calculateur!V174*Calculateur!X174*VLOOKUP('Données projet'!$B$9,Paramètres!$A$1:$I$89,3,0)*0.475*44/12</f>
        <v>#N/A</v>
      </c>
      <c r="AB174" s="21" t="e">
        <f>EXP(-LN(2)/2)*AB173+(1-EXP(-LN(2)/2))/(LN(2)/2)*V174*Y174*VLOOKUP('Données projet'!$B$9,Paramètres!$A$1:$I$89,3,0)*0.475*44/12</f>
        <v>#N/A</v>
      </c>
      <c r="AC174" s="22" t="e">
        <f t="shared" si="163"/>
        <v>#N/A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-1.4897523215040567E-13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338.55719679154777</v>
      </c>
      <c r="AO174" s="59">
        <f t="shared" si="144"/>
        <v>371.26234252426531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-2.1636878955177963E-13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351.6178679548006</v>
      </c>
      <c r="BJ174" s="59">
        <f t="shared" si="146"/>
        <v>244.7141066773861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6.1538461538532374E-2</v>
      </c>
      <c r="BZ174" s="13">
        <f>BY174*VLOOKUP('Données projet'!$B$12,Paramètres!$A$1:$I$89,3,0)*VLOOKUP('Données projet'!$B$12,Paramètres!$A$1:$I$89,5,0)</f>
        <v>2.880000000003315E-2</v>
      </c>
      <c r="CA174" s="13">
        <f t="shared" si="170"/>
        <v>2.0057244427106876E-2</v>
      </c>
      <c r="CB174" s="20">
        <f t="shared" si="171"/>
        <v>8.5093034043935534E-2</v>
      </c>
      <c r="CC174" s="59">
        <f t="shared" si="119"/>
        <v>293.41842636737726</v>
      </c>
      <c r="CD174" s="59">
        <f ca="1">AVERAGE(OFFSET($CC$3,0,0,'Données projet'!$E$12+1,1))-AVERAGE(OFFSET($H$3,0,0,'Données projet'!$E$12+1,1))</f>
        <v>246.66630850723385</v>
      </c>
      <c r="CE174" s="59">
        <f t="shared" si="148"/>
        <v>145.34368562171613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1.1368683772161603E-13</v>
      </c>
      <c r="CU174" s="17">
        <f>CT174*VLOOKUP('Données projet'!$B$13,Paramètres!$A$1:$I$89,3,0)*VLOOKUP('Données projet'!$B$13,Paramètres!$A$1:$I$89,5,0)</f>
        <v>8.8675733422860506E-14</v>
      </c>
      <c r="CV174" s="13">
        <f t="shared" si="173"/>
        <v>1.3509285393066301E-12</v>
      </c>
      <c r="CW174" s="20">
        <f t="shared" si="174"/>
        <v>2.5073107750038623E-12</v>
      </c>
      <c r="CX174" s="59">
        <f t="shared" si="122"/>
        <v>293.33333333333582</v>
      </c>
      <c r="CY174" s="59">
        <f ca="1">AVERAGE(OFFSET($CX$3,0,0,'Données projet'!$E$13+1,1))-AVERAGE(OFFSET($H$3,0,0,'Données projet'!$E$13+1,1))</f>
        <v>292.57482726862594</v>
      </c>
      <c r="CZ174" s="59">
        <f t="shared" si="150"/>
        <v>283.48738729114024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-9.6633812063373625E-13</v>
      </c>
      <c r="DP174" s="17">
        <f>DO174*VLOOKUP('Données projet'!$B$14,Paramètres!$A$1:$I$89,3,0)*VLOOKUP('Données projet'!$B$14,Paramètres!$A$1:$I$89,5,0)</f>
        <v>-9.7986685432260874E-13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475.47920969424894</v>
      </c>
      <c r="DU174" s="59">
        <f t="shared" si="152"/>
        <v>271.73544012419364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-9.6633812063373625E-13</v>
      </c>
      <c r="EK174" s="17">
        <f>EJ174*VLOOKUP('Données projet'!$B$15,Paramètres!$A$1:$I$89,3,0)*VLOOKUP('Données projet'!$B$15,Paramètres!$A$1:$I$89,5,0)</f>
        <v>-8.7434273154940449E-13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428.8489304403459</v>
      </c>
      <c r="EP174" s="59">
        <f t="shared" si="154"/>
        <v>247.01165577562966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245.25496369542458</v>
      </c>
      <c r="FK174" s="59">
        <f t="shared" si="156"/>
        <v>342.30266518164211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0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 t="e">
        <f>N175*VLOOKUP('Données projet'!$B$9,Paramètres!$A$1:$I$89,3,0)*VLOOKUP('Données projet'!$B$9,Paramètres!$A$1:$I$89,5,0)</f>
        <v>#N/A</v>
      </c>
      <c r="P175" s="13" t="e">
        <f t="shared" si="141"/>
        <v>#N/A</v>
      </c>
      <c r="Q175" s="20" t="e">
        <f t="shared" si="162"/>
        <v>#N/A</v>
      </c>
      <c r="R175" s="59" t="e">
        <f t="shared" si="109"/>
        <v>#N/A</v>
      </c>
      <c r="S175" s="59" t="e">
        <f ca="1">AVERAGE(OFFSET($R$3,0,0,'Données projet'!$E$9+1,1))-AVERAGE(OFFSET($H$3,0,0,'Données projet'!$E$9+1,1))</f>
        <v>#N/A</v>
      </c>
      <c r="T175" s="59" t="e">
        <f t="shared" si="142"/>
        <v>#N/A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 t="e">
        <f>EXP(-LN(2)/35)*Z174+(1-EXP(-LN(2)/35))/(LN(2)/35)*V175*W175*VLOOKUP('Données projet'!$B$9,Paramètres!$A$1:$I$89,3,0)*0.475*44/12</f>
        <v>#N/A</v>
      </c>
      <c r="AA175" s="21" t="e">
        <f>EXP(-LN(2)/25)*AA174+(1-EXP(-LN(2)/25))/(LN(2)/25)*Calculateur!V175*Calculateur!X175*VLOOKUP('Données projet'!$B$9,Paramètres!$A$1:$I$89,3,0)*0.475*44/12</f>
        <v>#N/A</v>
      </c>
      <c r="AB175" s="21" t="e">
        <f>EXP(-LN(2)/2)*AB174+(1-EXP(-LN(2)/2))/(LN(2)/2)*V175*Y175*VLOOKUP('Données projet'!$B$9,Paramètres!$A$1:$I$89,3,0)*0.475*44/12</f>
        <v>#N/A</v>
      </c>
      <c r="AC175" s="22" t="e">
        <f t="shared" si="163"/>
        <v>#N/A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-1.4897523215040567E-13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338.55719679154777</v>
      </c>
      <c r="AO175" s="59">
        <f t="shared" si="144"/>
        <v>371.26234252426531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-2.1636878955177963E-13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351.6178679548006</v>
      </c>
      <c r="BJ175" s="59">
        <f t="shared" si="146"/>
        <v>244.7141066773861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6.1538461538532374E-2</v>
      </c>
      <c r="BZ175" s="13">
        <f>BY175*VLOOKUP('Données projet'!$B$12,Paramètres!$A$1:$I$89,3,0)*VLOOKUP('Données projet'!$B$12,Paramètres!$A$1:$I$89,5,0)</f>
        <v>2.880000000003315E-2</v>
      </c>
      <c r="CA175" s="13">
        <f t="shared" si="170"/>
        <v>2.0057244427106876E-2</v>
      </c>
      <c r="CB175" s="20">
        <f t="shared" si="171"/>
        <v>8.5093034043935534E-2</v>
      </c>
      <c r="CC175" s="59">
        <f t="shared" si="119"/>
        <v>293.41842636737726</v>
      </c>
      <c r="CD175" s="59">
        <f ca="1">AVERAGE(OFFSET($CC$3,0,0,'Données projet'!$E$12+1,1))-AVERAGE(OFFSET($H$3,0,0,'Données projet'!$E$12+1,1))</f>
        <v>246.66630850723385</v>
      </c>
      <c r="CE175" s="59">
        <f t="shared" si="148"/>
        <v>145.34368562171613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1.1368683772161603E-13</v>
      </c>
      <c r="CU175" s="17">
        <f>CT175*VLOOKUP('Données projet'!$B$13,Paramètres!$A$1:$I$89,3,0)*VLOOKUP('Données projet'!$B$13,Paramètres!$A$1:$I$89,5,0)</f>
        <v>8.8675733422860506E-14</v>
      </c>
      <c r="CV175" s="13">
        <f t="shared" si="173"/>
        <v>1.3509285393066301E-12</v>
      </c>
      <c r="CW175" s="20">
        <f t="shared" si="174"/>
        <v>2.5073107750038623E-12</v>
      </c>
      <c r="CX175" s="59">
        <f t="shared" si="122"/>
        <v>293.33333333333582</v>
      </c>
      <c r="CY175" s="59">
        <f ca="1">AVERAGE(OFFSET($CX$3,0,0,'Données projet'!$E$13+1,1))-AVERAGE(OFFSET($H$3,0,0,'Données projet'!$E$13+1,1))</f>
        <v>292.57482726862594</v>
      </c>
      <c r="CZ175" s="59">
        <f t="shared" si="150"/>
        <v>283.48738729114024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-9.6633812063373625E-13</v>
      </c>
      <c r="DP175" s="17">
        <f>DO175*VLOOKUP('Données projet'!$B$14,Paramètres!$A$1:$I$89,3,0)*VLOOKUP('Données projet'!$B$14,Paramètres!$A$1:$I$89,5,0)</f>
        <v>-9.7986685432260874E-13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475.47920969424894</v>
      </c>
      <c r="DU175" s="59">
        <f t="shared" si="152"/>
        <v>271.73544012419364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-9.6633812063373625E-13</v>
      </c>
      <c r="EK175" s="17">
        <f>EJ175*VLOOKUP('Données projet'!$B$15,Paramètres!$A$1:$I$89,3,0)*VLOOKUP('Données projet'!$B$15,Paramètres!$A$1:$I$89,5,0)</f>
        <v>-8.7434273154940449E-13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428.8489304403459</v>
      </c>
      <c r="EP175" s="59">
        <f t="shared" si="154"/>
        <v>247.01165577562966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245.25496369542458</v>
      </c>
      <c r="FK175" s="59">
        <f t="shared" si="156"/>
        <v>342.30266518164211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0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 t="e">
        <f>N176*VLOOKUP('Données projet'!$B$9,Paramètres!$A$1:$I$89,3,0)*VLOOKUP('Données projet'!$B$9,Paramètres!$A$1:$I$89,5,0)</f>
        <v>#N/A</v>
      </c>
      <c r="P176" s="13" t="e">
        <f t="shared" si="141"/>
        <v>#N/A</v>
      </c>
      <c r="Q176" s="20" t="e">
        <f t="shared" si="162"/>
        <v>#N/A</v>
      </c>
      <c r="R176" s="59" t="e">
        <f t="shared" si="109"/>
        <v>#N/A</v>
      </c>
      <c r="S176" s="59" t="e">
        <f ca="1">AVERAGE(OFFSET($R$3,0,0,'Données projet'!$E$9+1,1))-AVERAGE(OFFSET($H$3,0,0,'Données projet'!$E$9+1,1))</f>
        <v>#N/A</v>
      </c>
      <c r="T176" s="59" t="e">
        <f t="shared" si="142"/>
        <v>#N/A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 t="e">
        <f>EXP(-LN(2)/35)*Z175+(1-EXP(-LN(2)/35))/(LN(2)/35)*V176*W176*VLOOKUP('Données projet'!$B$9,Paramètres!$A$1:$I$89,3,0)*0.475*44/12</f>
        <v>#N/A</v>
      </c>
      <c r="AA176" s="21" t="e">
        <f>EXP(-LN(2)/25)*AA175+(1-EXP(-LN(2)/25))/(LN(2)/25)*Calculateur!V176*Calculateur!X176*VLOOKUP('Données projet'!$B$9,Paramètres!$A$1:$I$89,3,0)*0.475*44/12</f>
        <v>#N/A</v>
      </c>
      <c r="AB176" s="21" t="e">
        <f>EXP(-LN(2)/2)*AB175+(1-EXP(-LN(2)/2))/(LN(2)/2)*V176*Y176*VLOOKUP('Données projet'!$B$9,Paramètres!$A$1:$I$89,3,0)*0.475*44/12</f>
        <v>#N/A</v>
      </c>
      <c r="AC176" s="22" t="e">
        <f t="shared" si="163"/>
        <v>#N/A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-1.4897523215040567E-13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338.55719679154777</v>
      </c>
      <c r="AO176" s="59">
        <f t="shared" si="144"/>
        <v>371.26234252426531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-2.1636878955177963E-13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351.6178679548006</v>
      </c>
      <c r="BJ176" s="59">
        <f t="shared" si="146"/>
        <v>244.7141066773861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6.1538461538532374E-2</v>
      </c>
      <c r="BZ176" s="13">
        <f>BY176*VLOOKUP('Données projet'!$B$12,Paramètres!$A$1:$I$89,3,0)*VLOOKUP('Données projet'!$B$12,Paramètres!$A$1:$I$89,5,0)</f>
        <v>2.880000000003315E-2</v>
      </c>
      <c r="CA176" s="13">
        <f t="shared" si="170"/>
        <v>2.0057244427106876E-2</v>
      </c>
      <c r="CB176" s="20">
        <f t="shared" si="171"/>
        <v>8.5093034043935534E-2</v>
      </c>
      <c r="CC176" s="59">
        <f t="shared" si="119"/>
        <v>293.41842636737726</v>
      </c>
      <c r="CD176" s="59">
        <f ca="1">AVERAGE(OFFSET($CC$3,0,0,'Données projet'!$E$12+1,1))-AVERAGE(OFFSET($H$3,0,0,'Données projet'!$E$12+1,1))</f>
        <v>246.66630850723385</v>
      </c>
      <c r="CE176" s="59">
        <f t="shared" si="148"/>
        <v>145.34368562171613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1.1368683772161603E-13</v>
      </c>
      <c r="CU176" s="17">
        <f>CT176*VLOOKUP('Données projet'!$B$13,Paramètres!$A$1:$I$89,3,0)*VLOOKUP('Données projet'!$B$13,Paramètres!$A$1:$I$89,5,0)</f>
        <v>8.8675733422860506E-14</v>
      </c>
      <c r="CV176" s="13">
        <f t="shared" si="173"/>
        <v>1.3509285393066301E-12</v>
      </c>
      <c r="CW176" s="20">
        <f t="shared" si="174"/>
        <v>2.5073107750038623E-12</v>
      </c>
      <c r="CX176" s="59">
        <f t="shared" si="122"/>
        <v>293.33333333333582</v>
      </c>
      <c r="CY176" s="59">
        <f ca="1">AVERAGE(OFFSET($CX$3,0,0,'Données projet'!$E$13+1,1))-AVERAGE(OFFSET($H$3,0,0,'Données projet'!$E$13+1,1))</f>
        <v>292.57482726862594</v>
      </c>
      <c r="CZ176" s="59">
        <f t="shared" si="150"/>
        <v>283.48738729114024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-9.6633812063373625E-13</v>
      </c>
      <c r="DP176" s="17">
        <f>DO176*VLOOKUP('Données projet'!$B$14,Paramètres!$A$1:$I$89,3,0)*VLOOKUP('Données projet'!$B$14,Paramètres!$A$1:$I$89,5,0)</f>
        <v>-9.7986685432260874E-13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475.47920969424894</v>
      </c>
      <c r="DU176" s="59">
        <f t="shared" si="152"/>
        <v>271.73544012419364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-9.6633812063373625E-13</v>
      </c>
      <c r="EK176" s="17">
        <f>EJ176*VLOOKUP('Données projet'!$B$15,Paramètres!$A$1:$I$89,3,0)*VLOOKUP('Données projet'!$B$15,Paramètres!$A$1:$I$89,5,0)</f>
        <v>-8.7434273154940449E-13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428.8489304403459</v>
      </c>
      <c r="EP176" s="59">
        <f t="shared" si="154"/>
        <v>247.01165577562966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245.25496369542458</v>
      </c>
      <c r="FK176" s="59">
        <f t="shared" si="156"/>
        <v>342.30266518164211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0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 t="e">
        <f>N177*VLOOKUP('Données projet'!$B$9,Paramètres!$A$1:$I$89,3,0)*VLOOKUP('Données projet'!$B$9,Paramètres!$A$1:$I$89,5,0)</f>
        <v>#N/A</v>
      </c>
      <c r="P177" s="13" t="e">
        <f t="shared" si="141"/>
        <v>#N/A</v>
      </c>
      <c r="Q177" s="20" t="e">
        <f t="shared" si="162"/>
        <v>#N/A</v>
      </c>
      <c r="R177" s="59" t="e">
        <f t="shared" si="109"/>
        <v>#N/A</v>
      </c>
      <c r="S177" s="59" t="e">
        <f ca="1">AVERAGE(OFFSET($R$3,0,0,'Données projet'!$E$9+1,1))-AVERAGE(OFFSET($H$3,0,0,'Données projet'!$E$9+1,1))</f>
        <v>#N/A</v>
      </c>
      <c r="T177" s="59" t="e">
        <f t="shared" si="142"/>
        <v>#N/A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 t="e">
        <f>EXP(-LN(2)/35)*Z176+(1-EXP(-LN(2)/35))/(LN(2)/35)*V177*W177*VLOOKUP('Données projet'!$B$9,Paramètres!$A$1:$I$89,3,0)*0.475*44/12</f>
        <v>#N/A</v>
      </c>
      <c r="AA177" s="21" t="e">
        <f>EXP(-LN(2)/25)*AA176+(1-EXP(-LN(2)/25))/(LN(2)/25)*Calculateur!V177*Calculateur!X177*VLOOKUP('Données projet'!$B$9,Paramètres!$A$1:$I$89,3,0)*0.475*44/12</f>
        <v>#N/A</v>
      </c>
      <c r="AB177" s="21" t="e">
        <f>EXP(-LN(2)/2)*AB176+(1-EXP(-LN(2)/2))/(LN(2)/2)*V177*Y177*VLOOKUP('Données projet'!$B$9,Paramètres!$A$1:$I$89,3,0)*0.475*44/12</f>
        <v>#N/A</v>
      </c>
      <c r="AC177" s="22" t="e">
        <f t="shared" si="163"/>
        <v>#N/A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-1.4897523215040567E-13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338.55719679154777</v>
      </c>
      <c r="AO177" s="59">
        <f t="shared" si="144"/>
        <v>371.26234252426531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-2.1636878955177963E-13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351.6178679548006</v>
      </c>
      <c r="BJ177" s="59">
        <f t="shared" si="146"/>
        <v>244.7141066773861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6.1538461538532374E-2</v>
      </c>
      <c r="BZ177" s="13">
        <f>BY177*VLOOKUP('Données projet'!$B$12,Paramètres!$A$1:$I$89,3,0)*VLOOKUP('Données projet'!$B$12,Paramètres!$A$1:$I$89,5,0)</f>
        <v>2.880000000003315E-2</v>
      </c>
      <c r="CA177" s="13">
        <f t="shared" si="170"/>
        <v>2.0057244427106876E-2</v>
      </c>
      <c r="CB177" s="20">
        <f t="shared" si="171"/>
        <v>8.5093034043935534E-2</v>
      </c>
      <c r="CC177" s="59">
        <f t="shared" si="119"/>
        <v>293.41842636737726</v>
      </c>
      <c r="CD177" s="59">
        <f ca="1">AVERAGE(OFFSET($CC$3,0,0,'Données projet'!$E$12+1,1))-AVERAGE(OFFSET($H$3,0,0,'Données projet'!$E$12+1,1))</f>
        <v>246.66630850723385</v>
      </c>
      <c r="CE177" s="59">
        <f t="shared" si="148"/>
        <v>145.34368562171613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1.1368683772161603E-13</v>
      </c>
      <c r="CU177" s="17">
        <f>CT177*VLOOKUP('Données projet'!$B$13,Paramètres!$A$1:$I$89,3,0)*VLOOKUP('Données projet'!$B$13,Paramètres!$A$1:$I$89,5,0)</f>
        <v>8.8675733422860506E-14</v>
      </c>
      <c r="CV177" s="13">
        <f t="shared" si="173"/>
        <v>1.3509285393066301E-12</v>
      </c>
      <c r="CW177" s="20">
        <f t="shared" si="174"/>
        <v>2.5073107750038623E-12</v>
      </c>
      <c r="CX177" s="59">
        <f t="shared" si="122"/>
        <v>293.33333333333582</v>
      </c>
      <c r="CY177" s="59">
        <f ca="1">AVERAGE(OFFSET($CX$3,0,0,'Données projet'!$E$13+1,1))-AVERAGE(OFFSET($H$3,0,0,'Données projet'!$E$13+1,1))</f>
        <v>292.57482726862594</v>
      </c>
      <c r="CZ177" s="59">
        <f t="shared" si="150"/>
        <v>283.48738729114024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-9.6633812063373625E-13</v>
      </c>
      <c r="DP177" s="17">
        <f>DO177*VLOOKUP('Données projet'!$B$14,Paramètres!$A$1:$I$89,3,0)*VLOOKUP('Données projet'!$B$14,Paramètres!$A$1:$I$89,5,0)</f>
        <v>-9.7986685432260874E-13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475.47920969424894</v>
      </c>
      <c r="DU177" s="59">
        <f t="shared" si="152"/>
        <v>271.73544012419364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-9.6633812063373625E-13</v>
      </c>
      <c r="EK177" s="17">
        <f>EJ177*VLOOKUP('Données projet'!$B$15,Paramètres!$A$1:$I$89,3,0)*VLOOKUP('Données projet'!$B$15,Paramètres!$A$1:$I$89,5,0)</f>
        <v>-8.7434273154940449E-13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428.8489304403459</v>
      </c>
      <c r="EP177" s="59">
        <f t="shared" si="154"/>
        <v>247.01165577562966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245.25496369542458</v>
      </c>
      <c r="FK177" s="59">
        <f t="shared" si="156"/>
        <v>342.30266518164211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0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 t="e">
        <f>N178*VLOOKUP('Données projet'!$B$9,Paramètres!$A$1:$I$89,3,0)*VLOOKUP('Données projet'!$B$9,Paramètres!$A$1:$I$89,5,0)</f>
        <v>#N/A</v>
      </c>
      <c r="P178" s="13" t="e">
        <f t="shared" si="141"/>
        <v>#N/A</v>
      </c>
      <c r="Q178" s="20" t="e">
        <f t="shared" si="162"/>
        <v>#N/A</v>
      </c>
      <c r="R178" s="59" t="e">
        <f t="shared" si="109"/>
        <v>#N/A</v>
      </c>
      <c r="S178" s="59" t="e">
        <f ca="1">AVERAGE(OFFSET($R$3,0,0,'Données projet'!$E$9+1,1))-AVERAGE(OFFSET($H$3,0,0,'Données projet'!$E$9+1,1))</f>
        <v>#N/A</v>
      </c>
      <c r="T178" s="59" t="e">
        <f t="shared" si="142"/>
        <v>#N/A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 t="e">
        <f>EXP(-LN(2)/35)*Z177+(1-EXP(-LN(2)/35))/(LN(2)/35)*V178*W178*VLOOKUP('Données projet'!$B$9,Paramètres!$A$1:$I$89,3,0)*0.475*44/12</f>
        <v>#N/A</v>
      </c>
      <c r="AA178" s="21" t="e">
        <f>EXP(-LN(2)/25)*AA177+(1-EXP(-LN(2)/25))/(LN(2)/25)*Calculateur!V178*Calculateur!X178*VLOOKUP('Données projet'!$B$9,Paramètres!$A$1:$I$89,3,0)*0.475*44/12</f>
        <v>#N/A</v>
      </c>
      <c r="AB178" s="21" t="e">
        <f>EXP(-LN(2)/2)*AB177+(1-EXP(-LN(2)/2))/(LN(2)/2)*V178*Y178*VLOOKUP('Données projet'!$B$9,Paramètres!$A$1:$I$89,3,0)*0.475*44/12</f>
        <v>#N/A</v>
      </c>
      <c r="AC178" s="22" t="e">
        <f t="shared" si="163"/>
        <v>#N/A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-1.4897523215040567E-13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338.55719679154777</v>
      </c>
      <c r="AO178" s="59">
        <f t="shared" si="144"/>
        <v>371.26234252426531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-2.1636878955177963E-13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351.6178679548006</v>
      </c>
      <c r="BJ178" s="59">
        <f t="shared" si="146"/>
        <v>244.7141066773861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6.1538461538532374E-2</v>
      </c>
      <c r="BZ178" s="13">
        <f>BY178*VLOOKUP('Données projet'!$B$12,Paramètres!$A$1:$I$89,3,0)*VLOOKUP('Données projet'!$B$12,Paramètres!$A$1:$I$89,5,0)</f>
        <v>2.880000000003315E-2</v>
      </c>
      <c r="CA178" s="13">
        <f t="shared" si="170"/>
        <v>2.0057244427106876E-2</v>
      </c>
      <c r="CB178" s="20">
        <f t="shared" si="171"/>
        <v>8.5093034043935534E-2</v>
      </c>
      <c r="CC178" s="59">
        <f t="shared" si="119"/>
        <v>293.41842636737726</v>
      </c>
      <c r="CD178" s="59">
        <f ca="1">AVERAGE(OFFSET($CC$3,0,0,'Données projet'!$E$12+1,1))-AVERAGE(OFFSET($H$3,0,0,'Données projet'!$E$12+1,1))</f>
        <v>246.66630850723385</v>
      </c>
      <c r="CE178" s="59">
        <f t="shared" si="148"/>
        <v>145.34368562171613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1.1368683772161603E-13</v>
      </c>
      <c r="CU178" s="17">
        <f>CT178*VLOOKUP('Données projet'!$B$13,Paramètres!$A$1:$I$89,3,0)*VLOOKUP('Données projet'!$B$13,Paramètres!$A$1:$I$89,5,0)</f>
        <v>8.8675733422860506E-14</v>
      </c>
      <c r="CV178" s="13">
        <f t="shared" si="173"/>
        <v>1.3509285393066301E-12</v>
      </c>
      <c r="CW178" s="20">
        <f t="shared" si="174"/>
        <v>2.5073107750038623E-12</v>
      </c>
      <c r="CX178" s="59">
        <f t="shared" si="122"/>
        <v>293.33333333333582</v>
      </c>
      <c r="CY178" s="59">
        <f ca="1">AVERAGE(OFFSET($CX$3,0,0,'Données projet'!$E$13+1,1))-AVERAGE(OFFSET($H$3,0,0,'Données projet'!$E$13+1,1))</f>
        <v>292.57482726862594</v>
      </c>
      <c r="CZ178" s="59">
        <f t="shared" si="150"/>
        <v>283.48738729114024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-9.6633812063373625E-13</v>
      </c>
      <c r="DP178" s="17">
        <f>DO178*VLOOKUP('Données projet'!$B$14,Paramètres!$A$1:$I$89,3,0)*VLOOKUP('Données projet'!$B$14,Paramètres!$A$1:$I$89,5,0)</f>
        <v>-9.7986685432260874E-13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475.47920969424894</v>
      </c>
      <c r="DU178" s="59">
        <f t="shared" si="152"/>
        <v>271.73544012419364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-9.6633812063373625E-13</v>
      </c>
      <c r="EK178" s="17">
        <f>EJ178*VLOOKUP('Données projet'!$B$15,Paramètres!$A$1:$I$89,3,0)*VLOOKUP('Données projet'!$B$15,Paramètres!$A$1:$I$89,5,0)</f>
        <v>-8.7434273154940449E-13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428.8489304403459</v>
      </c>
      <c r="EP178" s="59">
        <f t="shared" si="154"/>
        <v>247.01165577562966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245.25496369542458</v>
      </c>
      <c r="FK178" s="59">
        <f t="shared" si="156"/>
        <v>342.30266518164211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0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 t="e">
        <f>N179*VLOOKUP('Données projet'!$B$9,Paramètres!$A$1:$I$89,3,0)*VLOOKUP('Données projet'!$B$9,Paramètres!$A$1:$I$89,5,0)</f>
        <v>#N/A</v>
      </c>
      <c r="P179" s="13" t="e">
        <f t="shared" si="141"/>
        <v>#N/A</v>
      </c>
      <c r="Q179" s="20" t="e">
        <f t="shared" si="162"/>
        <v>#N/A</v>
      </c>
      <c r="R179" s="59" t="e">
        <f t="shared" si="109"/>
        <v>#N/A</v>
      </c>
      <c r="S179" s="59" t="e">
        <f ca="1">AVERAGE(OFFSET($R$3,0,0,'Données projet'!$E$9+1,1))-AVERAGE(OFFSET($H$3,0,0,'Données projet'!$E$9+1,1))</f>
        <v>#N/A</v>
      </c>
      <c r="T179" s="59" t="e">
        <f t="shared" si="142"/>
        <v>#N/A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 t="e">
        <f>EXP(-LN(2)/35)*Z178+(1-EXP(-LN(2)/35))/(LN(2)/35)*V179*W179*VLOOKUP('Données projet'!$B$9,Paramètres!$A$1:$I$89,3,0)*0.475*44/12</f>
        <v>#N/A</v>
      </c>
      <c r="AA179" s="21" t="e">
        <f>EXP(-LN(2)/25)*AA178+(1-EXP(-LN(2)/25))/(LN(2)/25)*Calculateur!V179*Calculateur!X179*VLOOKUP('Données projet'!$B$9,Paramètres!$A$1:$I$89,3,0)*0.475*44/12</f>
        <v>#N/A</v>
      </c>
      <c r="AB179" s="21" t="e">
        <f>EXP(-LN(2)/2)*AB178+(1-EXP(-LN(2)/2))/(LN(2)/2)*V179*Y179*VLOOKUP('Données projet'!$B$9,Paramètres!$A$1:$I$89,3,0)*0.475*44/12</f>
        <v>#N/A</v>
      </c>
      <c r="AC179" s="22" t="e">
        <f t="shared" si="163"/>
        <v>#N/A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-1.4897523215040567E-13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338.55719679154777</v>
      </c>
      <c r="AO179" s="59">
        <f t="shared" si="144"/>
        <v>371.26234252426531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-2.1636878955177963E-13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351.6178679548006</v>
      </c>
      <c r="BJ179" s="59">
        <f t="shared" si="146"/>
        <v>244.7141066773861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6.1538461538532374E-2</v>
      </c>
      <c r="BZ179" s="13">
        <f>BY179*VLOOKUP('Données projet'!$B$12,Paramètres!$A$1:$I$89,3,0)*VLOOKUP('Données projet'!$B$12,Paramètres!$A$1:$I$89,5,0)</f>
        <v>2.880000000003315E-2</v>
      </c>
      <c r="CA179" s="13">
        <f t="shared" si="170"/>
        <v>2.0057244427106876E-2</v>
      </c>
      <c r="CB179" s="20">
        <f t="shared" si="171"/>
        <v>8.5093034043935534E-2</v>
      </c>
      <c r="CC179" s="59">
        <f t="shared" si="119"/>
        <v>293.41842636737726</v>
      </c>
      <c r="CD179" s="59">
        <f ca="1">AVERAGE(OFFSET($CC$3,0,0,'Données projet'!$E$12+1,1))-AVERAGE(OFFSET($H$3,0,0,'Données projet'!$E$12+1,1))</f>
        <v>246.66630850723385</v>
      </c>
      <c r="CE179" s="59">
        <f t="shared" si="148"/>
        <v>145.34368562171613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1.1368683772161603E-13</v>
      </c>
      <c r="CU179" s="17">
        <f>CT179*VLOOKUP('Données projet'!$B$13,Paramètres!$A$1:$I$89,3,0)*VLOOKUP('Données projet'!$B$13,Paramètres!$A$1:$I$89,5,0)</f>
        <v>8.8675733422860506E-14</v>
      </c>
      <c r="CV179" s="13">
        <f t="shared" si="173"/>
        <v>1.3509285393066301E-12</v>
      </c>
      <c r="CW179" s="20">
        <f t="shared" si="174"/>
        <v>2.5073107750038623E-12</v>
      </c>
      <c r="CX179" s="59">
        <f t="shared" si="122"/>
        <v>293.33333333333582</v>
      </c>
      <c r="CY179" s="59">
        <f ca="1">AVERAGE(OFFSET($CX$3,0,0,'Données projet'!$E$13+1,1))-AVERAGE(OFFSET($H$3,0,0,'Données projet'!$E$13+1,1))</f>
        <v>292.57482726862594</v>
      </c>
      <c r="CZ179" s="59">
        <f t="shared" si="150"/>
        <v>283.48738729114024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-9.6633812063373625E-13</v>
      </c>
      <c r="DP179" s="17">
        <f>DO179*VLOOKUP('Données projet'!$B$14,Paramètres!$A$1:$I$89,3,0)*VLOOKUP('Données projet'!$B$14,Paramètres!$A$1:$I$89,5,0)</f>
        <v>-9.7986685432260874E-13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475.47920969424894</v>
      </c>
      <c r="DU179" s="59">
        <f t="shared" si="152"/>
        <v>271.73544012419364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-9.6633812063373625E-13</v>
      </c>
      <c r="EK179" s="17">
        <f>EJ179*VLOOKUP('Données projet'!$B$15,Paramètres!$A$1:$I$89,3,0)*VLOOKUP('Données projet'!$B$15,Paramètres!$A$1:$I$89,5,0)</f>
        <v>-8.7434273154940449E-13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428.8489304403459</v>
      </c>
      <c r="EP179" s="59">
        <f t="shared" si="154"/>
        <v>247.01165577562966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245.25496369542458</v>
      </c>
      <c r="FK179" s="59">
        <f t="shared" si="156"/>
        <v>342.30266518164211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0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 t="e">
        <f>N180*VLOOKUP('Données projet'!$B$9,Paramètres!$A$1:$I$89,3,0)*VLOOKUP('Données projet'!$B$9,Paramètres!$A$1:$I$89,5,0)</f>
        <v>#N/A</v>
      </c>
      <c r="P180" s="13" t="e">
        <f t="shared" si="141"/>
        <v>#N/A</v>
      </c>
      <c r="Q180" s="20" t="e">
        <f t="shared" si="162"/>
        <v>#N/A</v>
      </c>
      <c r="R180" s="59" t="e">
        <f t="shared" si="109"/>
        <v>#N/A</v>
      </c>
      <c r="S180" s="59" t="e">
        <f ca="1">AVERAGE(OFFSET($R$3,0,0,'Données projet'!$E$9+1,1))-AVERAGE(OFFSET($H$3,0,0,'Données projet'!$E$9+1,1))</f>
        <v>#N/A</v>
      </c>
      <c r="T180" s="59" t="e">
        <f t="shared" si="142"/>
        <v>#N/A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 t="e">
        <f>EXP(-LN(2)/35)*Z179+(1-EXP(-LN(2)/35))/(LN(2)/35)*V180*W180*VLOOKUP('Données projet'!$B$9,Paramètres!$A$1:$I$89,3,0)*0.475*44/12</f>
        <v>#N/A</v>
      </c>
      <c r="AA180" s="21" t="e">
        <f>EXP(-LN(2)/25)*AA179+(1-EXP(-LN(2)/25))/(LN(2)/25)*Calculateur!V180*Calculateur!X180*VLOOKUP('Données projet'!$B$9,Paramètres!$A$1:$I$89,3,0)*0.475*44/12</f>
        <v>#N/A</v>
      </c>
      <c r="AB180" s="21" t="e">
        <f>EXP(-LN(2)/2)*AB179+(1-EXP(-LN(2)/2))/(LN(2)/2)*V180*Y180*VLOOKUP('Données projet'!$B$9,Paramètres!$A$1:$I$89,3,0)*0.475*44/12</f>
        <v>#N/A</v>
      </c>
      <c r="AC180" s="22" t="e">
        <f t="shared" si="163"/>
        <v>#N/A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-1.4897523215040567E-13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338.55719679154777</v>
      </c>
      <c r="AO180" s="59">
        <f t="shared" si="144"/>
        <v>371.26234252426531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-2.1636878955177963E-13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351.6178679548006</v>
      </c>
      <c r="BJ180" s="59">
        <f t="shared" si="146"/>
        <v>244.7141066773861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6.1538461538532374E-2</v>
      </c>
      <c r="BZ180" s="13">
        <f>BY180*VLOOKUP('Données projet'!$B$12,Paramètres!$A$1:$I$89,3,0)*VLOOKUP('Données projet'!$B$12,Paramètres!$A$1:$I$89,5,0)</f>
        <v>2.880000000003315E-2</v>
      </c>
      <c r="CA180" s="13">
        <f t="shared" si="170"/>
        <v>2.0057244427106876E-2</v>
      </c>
      <c r="CB180" s="20">
        <f t="shared" si="171"/>
        <v>8.5093034043935534E-2</v>
      </c>
      <c r="CC180" s="59">
        <f t="shared" si="119"/>
        <v>293.41842636737726</v>
      </c>
      <c r="CD180" s="59">
        <f ca="1">AVERAGE(OFFSET($CC$3,0,0,'Données projet'!$E$12+1,1))-AVERAGE(OFFSET($H$3,0,0,'Données projet'!$E$12+1,1))</f>
        <v>246.66630850723385</v>
      </c>
      <c r="CE180" s="59">
        <f t="shared" si="148"/>
        <v>145.34368562171613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1.1368683772161603E-13</v>
      </c>
      <c r="CU180" s="17">
        <f>CT180*VLOOKUP('Données projet'!$B$13,Paramètres!$A$1:$I$89,3,0)*VLOOKUP('Données projet'!$B$13,Paramètres!$A$1:$I$89,5,0)</f>
        <v>8.8675733422860506E-14</v>
      </c>
      <c r="CV180" s="13">
        <f t="shared" si="173"/>
        <v>1.3509285393066301E-12</v>
      </c>
      <c r="CW180" s="20">
        <f t="shared" si="174"/>
        <v>2.5073107750038623E-12</v>
      </c>
      <c r="CX180" s="59">
        <f t="shared" si="122"/>
        <v>293.33333333333582</v>
      </c>
      <c r="CY180" s="59">
        <f ca="1">AVERAGE(OFFSET($CX$3,0,0,'Données projet'!$E$13+1,1))-AVERAGE(OFFSET($H$3,0,0,'Données projet'!$E$13+1,1))</f>
        <v>292.57482726862594</v>
      </c>
      <c r="CZ180" s="59">
        <f t="shared" si="150"/>
        <v>283.48738729114024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-9.6633812063373625E-13</v>
      </c>
      <c r="DP180" s="17">
        <f>DO180*VLOOKUP('Données projet'!$B$14,Paramètres!$A$1:$I$89,3,0)*VLOOKUP('Données projet'!$B$14,Paramètres!$A$1:$I$89,5,0)</f>
        <v>-9.7986685432260874E-13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475.47920969424894</v>
      </c>
      <c r="DU180" s="59">
        <f t="shared" si="152"/>
        <v>271.73544012419364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-9.6633812063373625E-13</v>
      </c>
      <c r="EK180" s="17">
        <f>EJ180*VLOOKUP('Données projet'!$B$15,Paramètres!$A$1:$I$89,3,0)*VLOOKUP('Données projet'!$B$15,Paramètres!$A$1:$I$89,5,0)</f>
        <v>-8.7434273154940449E-13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428.8489304403459</v>
      </c>
      <c r="EP180" s="59">
        <f t="shared" si="154"/>
        <v>247.01165577562966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245.25496369542458</v>
      </c>
      <c r="FK180" s="59">
        <f t="shared" si="156"/>
        <v>342.30266518164211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0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 t="e">
        <f>N181*VLOOKUP('Données projet'!$B$9,Paramètres!$A$1:$I$89,3,0)*VLOOKUP('Données projet'!$B$9,Paramètres!$A$1:$I$89,5,0)</f>
        <v>#N/A</v>
      </c>
      <c r="P181" s="13" t="e">
        <f t="shared" si="141"/>
        <v>#N/A</v>
      </c>
      <c r="Q181" s="20" t="e">
        <f t="shared" si="162"/>
        <v>#N/A</v>
      </c>
      <c r="R181" s="59" t="e">
        <f t="shared" si="109"/>
        <v>#N/A</v>
      </c>
      <c r="S181" s="59" t="e">
        <f ca="1">AVERAGE(OFFSET($R$3,0,0,'Données projet'!$E$9+1,1))-AVERAGE(OFFSET($H$3,0,0,'Données projet'!$E$9+1,1))</f>
        <v>#N/A</v>
      </c>
      <c r="T181" s="59" t="e">
        <f t="shared" si="142"/>
        <v>#N/A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 t="e">
        <f>EXP(-LN(2)/35)*Z180+(1-EXP(-LN(2)/35))/(LN(2)/35)*V181*W181*VLOOKUP('Données projet'!$B$9,Paramètres!$A$1:$I$89,3,0)*0.475*44/12</f>
        <v>#N/A</v>
      </c>
      <c r="AA181" s="21" t="e">
        <f>EXP(-LN(2)/25)*AA180+(1-EXP(-LN(2)/25))/(LN(2)/25)*Calculateur!V181*Calculateur!X181*VLOOKUP('Données projet'!$B$9,Paramètres!$A$1:$I$89,3,0)*0.475*44/12</f>
        <v>#N/A</v>
      </c>
      <c r="AB181" s="21" t="e">
        <f>EXP(-LN(2)/2)*AB180+(1-EXP(-LN(2)/2))/(LN(2)/2)*V181*Y181*VLOOKUP('Données projet'!$B$9,Paramètres!$A$1:$I$89,3,0)*0.475*44/12</f>
        <v>#N/A</v>
      </c>
      <c r="AC181" s="22" t="e">
        <f t="shared" si="163"/>
        <v>#N/A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-1.4897523215040567E-13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338.55719679154777</v>
      </c>
      <c r="AO181" s="59">
        <f t="shared" si="144"/>
        <v>371.26234252426531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-2.1636878955177963E-13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351.6178679548006</v>
      </c>
      <c r="BJ181" s="59">
        <f t="shared" si="146"/>
        <v>244.7141066773861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6.1538461538532374E-2</v>
      </c>
      <c r="BZ181" s="13">
        <f>BY181*VLOOKUP('Données projet'!$B$12,Paramètres!$A$1:$I$89,3,0)*VLOOKUP('Données projet'!$B$12,Paramètres!$A$1:$I$89,5,0)</f>
        <v>2.880000000003315E-2</v>
      </c>
      <c r="CA181" s="13">
        <f t="shared" si="170"/>
        <v>2.0057244427106876E-2</v>
      </c>
      <c r="CB181" s="20">
        <f t="shared" si="171"/>
        <v>8.5093034043935534E-2</v>
      </c>
      <c r="CC181" s="59">
        <f t="shared" si="119"/>
        <v>293.41842636737726</v>
      </c>
      <c r="CD181" s="59">
        <f ca="1">AVERAGE(OFFSET($CC$3,0,0,'Données projet'!$E$12+1,1))-AVERAGE(OFFSET($H$3,0,0,'Données projet'!$E$12+1,1))</f>
        <v>246.66630850723385</v>
      </c>
      <c r="CE181" s="59">
        <f t="shared" si="148"/>
        <v>145.34368562171613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1.1368683772161603E-13</v>
      </c>
      <c r="CU181" s="17">
        <f>CT181*VLOOKUP('Données projet'!$B$13,Paramètres!$A$1:$I$89,3,0)*VLOOKUP('Données projet'!$B$13,Paramètres!$A$1:$I$89,5,0)</f>
        <v>8.8675733422860506E-14</v>
      </c>
      <c r="CV181" s="13">
        <f t="shared" si="173"/>
        <v>1.3509285393066301E-12</v>
      </c>
      <c r="CW181" s="20">
        <f t="shared" si="174"/>
        <v>2.5073107750038623E-12</v>
      </c>
      <c r="CX181" s="59">
        <f t="shared" si="122"/>
        <v>293.33333333333582</v>
      </c>
      <c r="CY181" s="59">
        <f ca="1">AVERAGE(OFFSET($CX$3,0,0,'Données projet'!$E$13+1,1))-AVERAGE(OFFSET($H$3,0,0,'Données projet'!$E$13+1,1))</f>
        <v>292.57482726862594</v>
      </c>
      <c r="CZ181" s="59">
        <f t="shared" si="150"/>
        <v>283.48738729114024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-9.6633812063373625E-13</v>
      </c>
      <c r="DP181" s="17">
        <f>DO181*VLOOKUP('Données projet'!$B$14,Paramètres!$A$1:$I$89,3,0)*VLOOKUP('Données projet'!$B$14,Paramètres!$A$1:$I$89,5,0)</f>
        <v>-9.7986685432260874E-13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475.47920969424894</v>
      </c>
      <c r="DU181" s="59">
        <f t="shared" si="152"/>
        <v>271.73544012419364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-9.6633812063373625E-13</v>
      </c>
      <c r="EK181" s="17">
        <f>EJ181*VLOOKUP('Données projet'!$B$15,Paramètres!$A$1:$I$89,3,0)*VLOOKUP('Données projet'!$B$15,Paramètres!$A$1:$I$89,5,0)</f>
        <v>-8.7434273154940449E-13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428.8489304403459</v>
      </c>
      <c r="EP181" s="59">
        <f t="shared" si="154"/>
        <v>247.01165577562966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245.25496369542458</v>
      </c>
      <c r="FK181" s="59">
        <f t="shared" si="156"/>
        <v>342.30266518164211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0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 t="e">
        <f>N182*VLOOKUP('Données projet'!$B$9,Paramètres!$A$1:$I$89,3,0)*VLOOKUP('Données projet'!$B$9,Paramètres!$A$1:$I$89,5,0)</f>
        <v>#N/A</v>
      </c>
      <c r="P182" s="13" t="e">
        <f t="shared" si="141"/>
        <v>#N/A</v>
      </c>
      <c r="Q182" s="20" t="e">
        <f t="shared" si="162"/>
        <v>#N/A</v>
      </c>
      <c r="R182" s="59" t="e">
        <f t="shared" si="109"/>
        <v>#N/A</v>
      </c>
      <c r="S182" s="59" t="e">
        <f ca="1">AVERAGE(OFFSET($R$3,0,0,'Données projet'!$E$9+1,1))-AVERAGE(OFFSET($H$3,0,0,'Données projet'!$E$9+1,1))</f>
        <v>#N/A</v>
      </c>
      <c r="T182" s="59" t="e">
        <f t="shared" si="142"/>
        <v>#N/A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 t="e">
        <f>EXP(-LN(2)/35)*Z181+(1-EXP(-LN(2)/35))/(LN(2)/35)*V182*W182*VLOOKUP('Données projet'!$B$9,Paramètres!$A$1:$I$89,3,0)*0.475*44/12</f>
        <v>#N/A</v>
      </c>
      <c r="AA182" s="21" t="e">
        <f>EXP(-LN(2)/25)*AA181+(1-EXP(-LN(2)/25))/(LN(2)/25)*Calculateur!V182*Calculateur!X182*VLOOKUP('Données projet'!$B$9,Paramètres!$A$1:$I$89,3,0)*0.475*44/12</f>
        <v>#N/A</v>
      </c>
      <c r="AB182" s="21" t="e">
        <f>EXP(-LN(2)/2)*AB181+(1-EXP(-LN(2)/2))/(LN(2)/2)*V182*Y182*VLOOKUP('Données projet'!$B$9,Paramètres!$A$1:$I$89,3,0)*0.475*44/12</f>
        <v>#N/A</v>
      </c>
      <c r="AC182" s="22" t="e">
        <f t="shared" si="163"/>
        <v>#N/A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-1.4897523215040567E-13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338.55719679154777</v>
      </c>
      <c r="AO182" s="59">
        <f t="shared" si="144"/>
        <v>371.26234252426531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-2.1636878955177963E-13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351.6178679548006</v>
      </c>
      <c r="BJ182" s="59">
        <f t="shared" si="146"/>
        <v>244.7141066773861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6.1538461538532374E-2</v>
      </c>
      <c r="BZ182" s="13">
        <f>BY182*VLOOKUP('Données projet'!$B$12,Paramètres!$A$1:$I$89,3,0)*VLOOKUP('Données projet'!$B$12,Paramètres!$A$1:$I$89,5,0)</f>
        <v>2.880000000003315E-2</v>
      </c>
      <c r="CA182" s="13">
        <f t="shared" si="170"/>
        <v>2.0057244427106876E-2</v>
      </c>
      <c r="CB182" s="20">
        <f t="shared" si="171"/>
        <v>8.5093034043935534E-2</v>
      </c>
      <c r="CC182" s="59">
        <f t="shared" si="119"/>
        <v>293.41842636737726</v>
      </c>
      <c r="CD182" s="59">
        <f ca="1">AVERAGE(OFFSET($CC$3,0,0,'Données projet'!$E$12+1,1))-AVERAGE(OFFSET($H$3,0,0,'Données projet'!$E$12+1,1))</f>
        <v>246.66630850723385</v>
      </c>
      <c r="CE182" s="59">
        <f t="shared" si="148"/>
        <v>145.34368562171613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1.1368683772161603E-13</v>
      </c>
      <c r="CU182" s="17">
        <f>CT182*VLOOKUP('Données projet'!$B$13,Paramètres!$A$1:$I$89,3,0)*VLOOKUP('Données projet'!$B$13,Paramètres!$A$1:$I$89,5,0)</f>
        <v>8.8675733422860506E-14</v>
      </c>
      <c r="CV182" s="13">
        <f t="shared" si="173"/>
        <v>1.3509285393066301E-12</v>
      </c>
      <c r="CW182" s="20">
        <f t="shared" si="174"/>
        <v>2.5073107750038623E-12</v>
      </c>
      <c r="CX182" s="59">
        <f t="shared" si="122"/>
        <v>293.33333333333582</v>
      </c>
      <c r="CY182" s="59">
        <f ca="1">AVERAGE(OFFSET($CX$3,0,0,'Données projet'!$E$13+1,1))-AVERAGE(OFFSET($H$3,0,0,'Données projet'!$E$13+1,1))</f>
        <v>292.57482726862594</v>
      </c>
      <c r="CZ182" s="59">
        <f t="shared" si="150"/>
        <v>283.48738729114024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-9.6633812063373625E-13</v>
      </c>
      <c r="DP182" s="17">
        <f>DO182*VLOOKUP('Données projet'!$B$14,Paramètres!$A$1:$I$89,3,0)*VLOOKUP('Données projet'!$B$14,Paramètres!$A$1:$I$89,5,0)</f>
        <v>-9.7986685432260874E-13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475.47920969424894</v>
      </c>
      <c r="DU182" s="59">
        <f t="shared" si="152"/>
        <v>271.73544012419364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-9.6633812063373625E-13</v>
      </c>
      <c r="EK182" s="17">
        <f>EJ182*VLOOKUP('Données projet'!$B$15,Paramètres!$A$1:$I$89,3,0)*VLOOKUP('Données projet'!$B$15,Paramètres!$A$1:$I$89,5,0)</f>
        <v>-8.7434273154940449E-13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428.8489304403459</v>
      </c>
      <c r="EP182" s="59">
        <f t="shared" si="154"/>
        <v>247.01165577562966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245.25496369542458</v>
      </c>
      <c r="FK182" s="59">
        <f t="shared" si="156"/>
        <v>342.30266518164211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0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 t="e">
        <f>N183*VLOOKUP('Données projet'!$B$9,Paramètres!$A$1:$I$89,3,0)*VLOOKUP('Données projet'!$B$9,Paramètres!$A$1:$I$89,5,0)</f>
        <v>#N/A</v>
      </c>
      <c r="P183" s="13" t="e">
        <f t="shared" si="141"/>
        <v>#N/A</v>
      </c>
      <c r="Q183" s="20" t="e">
        <f t="shared" si="162"/>
        <v>#N/A</v>
      </c>
      <c r="R183" s="59" t="e">
        <f t="shared" si="109"/>
        <v>#N/A</v>
      </c>
      <c r="S183" s="59" t="e">
        <f ca="1">AVERAGE(OFFSET($R$3,0,0,'Données projet'!$E$9+1,1))-AVERAGE(OFFSET($H$3,0,0,'Données projet'!$E$9+1,1))</f>
        <v>#N/A</v>
      </c>
      <c r="T183" s="59" t="e">
        <f t="shared" si="142"/>
        <v>#N/A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 t="e">
        <f>EXP(-LN(2)/35)*Z182+(1-EXP(-LN(2)/35))/(LN(2)/35)*V183*W183*VLOOKUP('Données projet'!$B$9,Paramètres!$A$1:$I$89,3,0)*0.475*44/12</f>
        <v>#N/A</v>
      </c>
      <c r="AA183" s="21" t="e">
        <f>EXP(-LN(2)/25)*AA182+(1-EXP(-LN(2)/25))/(LN(2)/25)*Calculateur!V183*Calculateur!X183*VLOOKUP('Données projet'!$B$9,Paramètres!$A$1:$I$89,3,0)*0.475*44/12</f>
        <v>#N/A</v>
      </c>
      <c r="AB183" s="21" t="e">
        <f>EXP(-LN(2)/2)*AB182+(1-EXP(-LN(2)/2))/(LN(2)/2)*V183*Y183*VLOOKUP('Données projet'!$B$9,Paramètres!$A$1:$I$89,3,0)*0.475*44/12</f>
        <v>#N/A</v>
      </c>
      <c r="AC183" s="22" t="e">
        <f t="shared" si="163"/>
        <v>#N/A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-1.4897523215040567E-13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338.55719679154777</v>
      </c>
      <c r="AO183" s="59">
        <f t="shared" si="144"/>
        <v>371.26234252426531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-2.1636878955177963E-13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351.6178679548006</v>
      </c>
      <c r="BJ183" s="59">
        <f t="shared" si="146"/>
        <v>244.7141066773861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6.1538461538532374E-2</v>
      </c>
      <c r="BZ183" s="13">
        <f>BY183*VLOOKUP('Données projet'!$B$12,Paramètres!$A$1:$I$89,3,0)*VLOOKUP('Données projet'!$B$12,Paramètres!$A$1:$I$89,5,0)</f>
        <v>2.880000000003315E-2</v>
      </c>
      <c r="CA183" s="13">
        <f t="shared" si="170"/>
        <v>2.0057244427106876E-2</v>
      </c>
      <c r="CB183" s="20">
        <f t="shared" si="171"/>
        <v>8.5093034043935534E-2</v>
      </c>
      <c r="CC183" s="59">
        <f t="shared" si="119"/>
        <v>293.41842636737726</v>
      </c>
      <c r="CD183" s="59">
        <f ca="1">AVERAGE(OFFSET($CC$3,0,0,'Données projet'!$E$12+1,1))-AVERAGE(OFFSET($H$3,0,0,'Données projet'!$E$12+1,1))</f>
        <v>246.66630850723385</v>
      </c>
      <c r="CE183" s="59">
        <f t="shared" si="148"/>
        <v>145.34368562171613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1.1368683772161603E-13</v>
      </c>
      <c r="CU183" s="17">
        <f>CT183*VLOOKUP('Données projet'!$B$13,Paramètres!$A$1:$I$89,3,0)*VLOOKUP('Données projet'!$B$13,Paramètres!$A$1:$I$89,5,0)</f>
        <v>8.8675733422860506E-14</v>
      </c>
      <c r="CV183" s="13">
        <f t="shared" si="173"/>
        <v>1.3509285393066301E-12</v>
      </c>
      <c r="CW183" s="20">
        <f t="shared" si="174"/>
        <v>2.5073107750038623E-12</v>
      </c>
      <c r="CX183" s="59">
        <f t="shared" si="122"/>
        <v>293.33333333333582</v>
      </c>
      <c r="CY183" s="59">
        <f ca="1">AVERAGE(OFFSET($CX$3,0,0,'Données projet'!$E$13+1,1))-AVERAGE(OFFSET($H$3,0,0,'Données projet'!$E$13+1,1))</f>
        <v>292.57482726862594</v>
      </c>
      <c r="CZ183" s="59">
        <f t="shared" si="150"/>
        <v>283.48738729114024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-9.6633812063373625E-13</v>
      </c>
      <c r="DP183" s="17">
        <f>DO183*VLOOKUP('Données projet'!$B$14,Paramètres!$A$1:$I$89,3,0)*VLOOKUP('Données projet'!$B$14,Paramètres!$A$1:$I$89,5,0)</f>
        <v>-9.7986685432260874E-13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475.47920969424894</v>
      </c>
      <c r="DU183" s="59">
        <f t="shared" si="152"/>
        <v>271.73544012419364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-9.6633812063373625E-13</v>
      </c>
      <c r="EK183" s="17">
        <f>EJ183*VLOOKUP('Données projet'!$B$15,Paramètres!$A$1:$I$89,3,0)*VLOOKUP('Données projet'!$B$15,Paramètres!$A$1:$I$89,5,0)</f>
        <v>-8.7434273154940449E-13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428.8489304403459</v>
      </c>
      <c r="EP183" s="59">
        <f t="shared" si="154"/>
        <v>247.01165577562966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245.25496369542458</v>
      </c>
      <c r="FK183" s="59">
        <f t="shared" si="156"/>
        <v>342.30266518164211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0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 t="e">
        <f>N184*VLOOKUP('Données projet'!$B$9,Paramètres!$A$1:$I$89,3,0)*VLOOKUP('Données projet'!$B$9,Paramètres!$A$1:$I$89,5,0)</f>
        <v>#N/A</v>
      </c>
      <c r="P184" s="13" t="e">
        <f t="shared" si="141"/>
        <v>#N/A</v>
      </c>
      <c r="Q184" s="20" t="e">
        <f t="shared" si="162"/>
        <v>#N/A</v>
      </c>
      <c r="R184" s="59" t="e">
        <f t="shared" si="109"/>
        <v>#N/A</v>
      </c>
      <c r="S184" s="59" t="e">
        <f ca="1">AVERAGE(OFFSET($R$3,0,0,'Données projet'!$E$9+1,1))-AVERAGE(OFFSET($H$3,0,0,'Données projet'!$E$9+1,1))</f>
        <v>#N/A</v>
      </c>
      <c r="T184" s="59" t="e">
        <f t="shared" si="142"/>
        <v>#N/A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 t="e">
        <f>EXP(-LN(2)/35)*Z183+(1-EXP(-LN(2)/35))/(LN(2)/35)*V184*W184*VLOOKUP('Données projet'!$B$9,Paramètres!$A$1:$I$89,3,0)*0.475*44/12</f>
        <v>#N/A</v>
      </c>
      <c r="AA184" s="21" t="e">
        <f>EXP(-LN(2)/25)*AA183+(1-EXP(-LN(2)/25))/(LN(2)/25)*Calculateur!V184*Calculateur!X184*VLOOKUP('Données projet'!$B$9,Paramètres!$A$1:$I$89,3,0)*0.475*44/12</f>
        <v>#N/A</v>
      </c>
      <c r="AB184" s="21" t="e">
        <f>EXP(-LN(2)/2)*AB183+(1-EXP(-LN(2)/2))/(LN(2)/2)*V184*Y184*VLOOKUP('Données projet'!$B$9,Paramètres!$A$1:$I$89,3,0)*0.475*44/12</f>
        <v>#N/A</v>
      </c>
      <c r="AC184" s="22" t="e">
        <f t="shared" si="163"/>
        <v>#N/A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-1.4897523215040567E-13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338.55719679154777</v>
      </c>
      <c r="AO184" s="59">
        <f t="shared" si="144"/>
        <v>371.26234252426531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-2.1636878955177963E-13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351.6178679548006</v>
      </c>
      <c r="BJ184" s="59">
        <f t="shared" si="146"/>
        <v>244.7141066773861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6.1538461538532374E-2</v>
      </c>
      <c r="BZ184" s="13">
        <f>BY184*VLOOKUP('Données projet'!$B$12,Paramètres!$A$1:$I$89,3,0)*VLOOKUP('Données projet'!$B$12,Paramètres!$A$1:$I$89,5,0)</f>
        <v>2.880000000003315E-2</v>
      </c>
      <c r="CA184" s="13">
        <f t="shared" si="170"/>
        <v>2.0057244427106876E-2</v>
      </c>
      <c r="CB184" s="20">
        <f t="shared" si="171"/>
        <v>8.5093034043935534E-2</v>
      </c>
      <c r="CC184" s="59">
        <f t="shared" si="119"/>
        <v>293.41842636737726</v>
      </c>
      <c r="CD184" s="59">
        <f ca="1">AVERAGE(OFFSET($CC$3,0,0,'Données projet'!$E$12+1,1))-AVERAGE(OFFSET($H$3,0,0,'Données projet'!$E$12+1,1))</f>
        <v>246.66630850723385</v>
      </c>
      <c r="CE184" s="59">
        <f t="shared" si="148"/>
        <v>145.34368562171613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1.1368683772161603E-13</v>
      </c>
      <c r="CU184" s="17">
        <f>CT184*VLOOKUP('Données projet'!$B$13,Paramètres!$A$1:$I$89,3,0)*VLOOKUP('Données projet'!$B$13,Paramètres!$A$1:$I$89,5,0)</f>
        <v>8.8675733422860506E-14</v>
      </c>
      <c r="CV184" s="13">
        <f t="shared" si="173"/>
        <v>1.3509285393066301E-12</v>
      </c>
      <c r="CW184" s="20">
        <f t="shared" si="174"/>
        <v>2.5073107750038623E-12</v>
      </c>
      <c r="CX184" s="59">
        <f t="shared" si="122"/>
        <v>293.33333333333582</v>
      </c>
      <c r="CY184" s="59">
        <f ca="1">AVERAGE(OFFSET($CX$3,0,0,'Données projet'!$E$13+1,1))-AVERAGE(OFFSET($H$3,0,0,'Données projet'!$E$13+1,1))</f>
        <v>292.57482726862594</v>
      </c>
      <c r="CZ184" s="59">
        <f t="shared" si="150"/>
        <v>283.48738729114024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-9.6633812063373625E-13</v>
      </c>
      <c r="DP184" s="17">
        <f>DO184*VLOOKUP('Données projet'!$B$14,Paramètres!$A$1:$I$89,3,0)*VLOOKUP('Données projet'!$B$14,Paramètres!$A$1:$I$89,5,0)</f>
        <v>-9.7986685432260874E-13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475.47920969424894</v>
      </c>
      <c r="DU184" s="59">
        <f t="shared" si="152"/>
        <v>271.73544012419364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-9.6633812063373625E-13</v>
      </c>
      <c r="EK184" s="17">
        <f>EJ184*VLOOKUP('Données projet'!$B$15,Paramètres!$A$1:$I$89,3,0)*VLOOKUP('Données projet'!$B$15,Paramètres!$A$1:$I$89,5,0)</f>
        <v>-8.7434273154940449E-13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428.8489304403459</v>
      </c>
      <c r="EP184" s="59">
        <f t="shared" si="154"/>
        <v>247.01165577562966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245.25496369542458</v>
      </c>
      <c r="FK184" s="59">
        <f t="shared" si="156"/>
        <v>342.30266518164211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0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 t="e">
        <f>N185*VLOOKUP('Données projet'!$B$9,Paramètres!$A$1:$I$89,3,0)*VLOOKUP('Données projet'!$B$9,Paramètres!$A$1:$I$89,5,0)</f>
        <v>#N/A</v>
      </c>
      <c r="P185" s="13" t="e">
        <f t="shared" si="141"/>
        <v>#N/A</v>
      </c>
      <c r="Q185" s="20" t="e">
        <f t="shared" si="162"/>
        <v>#N/A</v>
      </c>
      <c r="R185" s="59" t="e">
        <f t="shared" si="109"/>
        <v>#N/A</v>
      </c>
      <c r="S185" s="59" t="e">
        <f ca="1">AVERAGE(OFFSET($R$3,0,0,'Données projet'!$E$9+1,1))-AVERAGE(OFFSET($H$3,0,0,'Données projet'!$E$9+1,1))</f>
        <v>#N/A</v>
      </c>
      <c r="T185" s="59" t="e">
        <f t="shared" si="142"/>
        <v>#N/A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 t="e">
        <f>EXP(-LN(2)/35)*Z184+(1-EXP(-LN(2)/35))/(LN(2)/35)*V185*W185*VLOOKUP('Données projet'!$B$9,Paramètres!$A$1:$I$89,3,0)*0.475*44/12</f>
        <v>#N/A</v>
      </c>
      <c r="AA185" s="21" t="e">
        <f>EXP(-LN(2)/25)*AA184+(1-EXP(-LN(2)/25))/(LN(2)/25)*Calculateur!V185*Calculateur!X185*VLOOKUP('Données projet'!$B$9,Paramètres!$A$1:$I$89,3,0)*0.475*44/12</f>
        <v>#N/A</v>
      </c>
      <c r="AB185" s="21" t="e">
        <f>EXP(-LN(2)/2)*AB184+(1-EXP(-LN(2)/2))/(LN(2)/2)*V185*Y185*VLOOKUP('Données projet'!$B$9,Paramètres!$A$1:$I$89,3,0)*0.475*44/12</f>
        <v>#N/A</v>
      </c>
      <c r="AC185" s="22" t="e">
        <f t="shared" si="163"/>
        <v>#N/A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-1.4897523215040567E-13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338.55719679154777</v>
      </c>
      <c r="AO185" s="59">
        <f t="shared" si="144"/>
        <v>371.26234252426531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-2.1636878955177963E-13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351.6178679548006</v>
      </c>
      <c r="BJ185" s="59">
        <f t="shared" si="146"/>
        <v>244.7141066773861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6.1538461538532374E-2</v>
      </c>
      <c r="BZ185" s="13">
        <f>BY185*VLOOKUP('Données projet'!$B$12,Paramètres!$A$1:$I$89,3,0)*VLOOKUP('Données projet'!$B$12,Paramètres!$A$1:$I$89,5,0)</f>
        <v>2.880000000003315E-2</v>
      </c>
      <c r="CA185" s="13">
        <f t="shared" si="170"/>
        <v>2.0057244427106876E-2</v>
      </c>
      <c r="CB185" s="20">
        <f t="shared" si="171"/>
        <v>8.5093034043935534E-2</v>
      </c>
      <c r="CC185" s="59">
        <f t="shared" si="119"/>
        <v>293.41842636737726</v>
      </c>
      <c r="CD185" s="59">
        <f ca="1">AVERAGE(OFFSET($CC$3,0,0,'Données projet'!$E$12+1,1))-AVERAGE(OFFSET($H$3,0,0,'Données projet'!$E$12+1,1))</f>
        <v>246.66630850723385</v>
      </c>
      <c r="CE185" s="59">
        <f t="shared" si="148"/>
        <v>145.34368562171613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1.1368683772161603E-13</v>
      </c>
      <c r="CU185" s="17">
        <f>CT185*VLOOKUP('Données projet'!$B$13,Paramètres!$A$1:$I$89,3,0)*VLOOKUP('Données projet'!$B$13,Paramètres!$A$1:$I$89,5,0)</f>
        <v>8.8675733422860506E-14</v>
      </c>
      <c r="CV185" s="13">
        <f t="shared" si="173"/>
        <v>1.3509285393066301E-12</v>
      </c>
      <c r="CW185" s="20">
        <f t="shared" si="174"/>
        <v>2.5073107750038623E-12</v>
      </c>
      <c r="CX185" s="59">
        <f t="shared" si="122"/>
        <v>293.33333333333582</v>
      </c>
      <c r="CY185" s="59">
        <f ca="1">AVERAGE(OFFSET($CX$3,0,0,'Données projet'!$E$13+1,1))-AVERAGE(OFFSET($H$3,0,0,'Données projet'!$E$13+1,1))</f>
        <v>292.57482726862594</v>
      </c>
      <c r="CZ185" s="59">
        <f t="shared" si="150"/>
        <v>283.48738729114024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-9.6633812063373625E-13</v>
      </c>
      <c r="DP185" s="17">
        <f>DO185*VLOOKUP('Données projet'!$B$14,Paramètres!$A$1:$I$89,3,0)*VLOOKUP('Données projet'!$B$14,Paramètres!$A$1:$I$89,5,0)</f>
        <v>-9.7986685432260874E-13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475.47920969424894</v>
      </c>
      <c r="DU185" s="59">
        <f t="shared" si="152"/>
        <v>271.73544012419364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-9.6633812063373625E-13</v>
      </c>
      <c r="EK185" s="17">
        <f>EJ185*VLOOKUP('Données projet'!$B$15,Paramètres!$A$1:$I$89,3,0)*VLOOKUP('Données projet'!$B$15,Paramètres!$A$1:$I$89,5,0)</f>
        <v>-8.7434273154940449E-13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428.8489304403459</v>
      </c>
      <c r="EP185" s="59">
        <f t="shared" si="154"/>
        <v>247.01165577562966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245.25496369542458</v>
      </c>
      <c r="FK185" s="59">
        <f t="shared" si="156"/>
        <v>342.30266518164211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0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 t="e">
        <f>N186*VLOOKUP('Données projet'!$B$9,Paramètres!$A$1:$I$89,3,0)*VLOOKUP('Données projet'!$B$9,Paramètres!$A$1:$I$89,5,0)</f>
        <v>#N/A</v>
      </c>
      <c r="P186" s="13" t="e">
        <f t="shared" si="141"/>
        <v>#N/A</v>
      </c>
      <c r="Q186" s="20" t="e">
        <f t="shared" si="162"/>
        <v>#N/A</v>
      </c>
      <c r="R186" s="59" t="e">
        <f t="shared" si="109"/>
        <v>#N/A</v>
      </c>
      <c r="S186" s="59" t="e">
        <f ca="1">AVERAGE(OFFSET($R$3,0,0,'Données projet'!$E$9+1,1))-AVERAGE(OFFSET($H$3,0,0,'Données projet'!$E$9+1,1))</f>
        <v>#N/A</v>
      </c>
      <c r="T186" s="59" t="e">
        <f t="shared" si="142"/>
        <v>#N/A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 t="e">
        <f>EXP(-LN(2)/35)*Z185+(1-EXP(-LN(2)/35))/(LN(2)/35)*V186*W186*VLOOKUP('Données projet'!$B$9,Paramètres!$A$1:$I$89,3,0)*0.475*44/12</f>
        <v>#N/A</v>
      </c>
      <c r="AA186" s="21" t="e">
        <f>EXP(-LN(2)/25)*AA185+(1-EXP(-LN(2)/25))/(LN(2)/25)*Calculateur!V186*Calculateur!X186*VLOOKUP('Données projet'!$B$9,Paramètres!$A$1:$I$89,3,0)*0.475*44/12</f>
        <v>#N/A</v>
      </c>
      <c r="AB186" s="21" t="e">
        <f>EXP(-LN(2)/2)*AB185+(1-EXP(-LN(2)/2))/(LN(2)/2)*V186*Y186*VLOOKUP('Données projet'!$B$9,Paramètres!$A$1:$I$89,3,0)*0.475*44/12</f>
        <v>#N/A</v>
      </c>
      <c r="AC186" s="22" t="e">
        <f t="shared" si="163"/>
        <v>#N/A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-1.4897523215040567E-13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338.55719679154777</v>
      </c>
      <c r="AO186" s="59">
        <f t="shared" si="144"/>
        <v>371.26234252426531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-2.1636878955177963E-13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351.6178679548006</v>
      </c>
      <c r="BJ186" s="59">
        <f t="shared" si="146"/>
        <v>244.7141066773861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6.1538461538532374E-2</v>
      </c>
      <c r="BZ186" s="13">
        <f>BY186*VLOOKUP('Données projet'!$B$12,Paramètres!$A$1:$I$89,3,0)*VLOOKUP('Données projet'!$B$12,Paramètres!$A$1:$I$89,5,0)</f>
        <v>2.880000000003315E-2</v>
      </c>
      <c r="CA186" s="13">
        <f t="shared" si="170"/>
        <v>2.0057244427106876E-2</v>
      </c>
      <c r="CB186" s="20">
        <f t="shared" si="171"/>
        <v>8.5093034043935534E-2</v>
      </c>
      <c r="CC186" s="59">
        <f t="shared" si="119"/>
        <v>293.41842636737726</v>
      </c>
      <c r="CD186" s="59">
        <f ca="1">AVERAGE(OFFSET($CC$3,0,0,'Données projet'!$E$12+1,1))-AVERAGE(OFFSET($H$3,0,0,'Données projet'!$E$12+1,1))</f>
        <v>246.66630850723385</v>
      </c>
      <c r="CE186" s="59">
        <f t="shared" si="148"/>
        <v>145.34368562171613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1.1368683772161603E-13</v>
      </c>
      <c r="CU186" s="17">
        <f>CT186*VLOOKUP('Données projet'!$B$13,Paramètres!$A$1:$I$89,3,0)*VLOOKUP('Données projet'!$B$13,Paramètres!$A$1:$I$89,5,0)</f>
        <v>8.8675733422860506E-14</v>
      </c>
      <c r="CV186" s="13">
        <f t="shared" si="173"/>
        <v>1.3509285393066301E-12</v>
      </c>
      <c r="CW186" s="20">
        <f t="shared" si="174"/>
        <v>2.5073107750038623E-12</v>
      </c>
      <c r="CX186" s="59">
        <f t="shared" si="122"/>
        <v>293.33333333333582</v>
      </c>
      <c r="CY186" s="59">
        <f ca="1">AVERAGE(OFFSET($CX$3,0,0,'Données projet'!$E$13+1,1))-AVERAGE(OFFSET($H$3,0,0,'Données projet'!$E$13+1,1))</f>
        <v>292.57482726862594</v>
      </c>
      <c r="CZ186" s="59">
        <f t="shared" si="150"/>
        <v>283.48738729114024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-9.6633812063373625E-13</v>
      </c>
      <c r="DP186" s="17">
        <f>DO186*VLOOKUP('Données projet'!$B$14,Paramètres!$A$1:$I$89,3,0)*VLOOKUP('Données projet'!$B$14,Paramètres!$A$1:$I$89,5,0)</f>
        <v>-9.7986685432260874E-13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475.47920969424894</v>
      </c>
      <c r="DU186" s="59">
        <f t="shared" si="152"/>
        <v>271.73544012419364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-9.6633812063373625E-13</v>
      </c>
      <c r="EK186" s="17">
        <f>EJ186*VLOOKUP('Données projet'!$B$15,Paramètres!$A$1:$I$89,3,0)*VLOOKUP('Données projet'!$B$15,Paramètres!$A$1:$I$89,5,0)</f>
        <v>-8.7434273154940449E-13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428.8489304403459</v>
      </c>
      <c r="EP186" s="59">
        <f t="shared" si="154"/>
        <v>247.01165577562966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245.25496369542458</v>
      </c>
      <c r="FK186" s="59">
        <f t="shared" si="156"/>
        <v>342.30266518164211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0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 t="e">
        <f>N187*VLOOKUP('Données projet'!$B$9,Paramètres!$A$1:$I$89,3,0)*VLOOKUP('Données projet'!$B$9,Paramètres!$A$1:$I$89,5,0)</f>
        <v>#N/A</v>
      </c>
      <c r="P187" s="13" t="e">
        <f t="shared" si="141"/>
        <v>#N/A</v>
      </c>
      <c r="Q187" s="20" t="e">
        <f t="shared" si="162"/>
        <v>#N/A</v>
      </c>
      <c r="R187" s="59" t="e">
        <f t="shared" si="109"/>
        <v>#N/A</v>
      </c>
      <c r="S187" s="59" t="e">
        <f ca="1">AVERAGE(OFFSET($R$3,0,0,'Données projet'!$E$9+1,1))-AVERAGE(OFFSET($H$3,0,0,'Données projet'!$E$9+1,1))</f>
        <v>#N/A</v>
      </c>
      <c r="T187" s="59" t="e">
        <f t="shared" si="142"/>
        <v>#N/A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 t="e">
        <f>EXP(-LN(2)/35)*Z186+(1-EXP(-LN(2)/35))/(LN(2)/35)*V187*W187*VLOOKUP('Données projet'!$B$9,Paramètres!$A$1:$I$89,3,0)*0.475*44/12</f>
        <v>#N/A</v>
      </c>
      <c r="AA187" s="21" t="e">
        <f>EXP(-LN(2)/25)*AA186+(1-EXP(-LN(2)/25))/(LN(2)/25)*Calculateur!V187*Calculateur!X187*VLOOKUP('Données projet'!$B$9,Paramètres!$A$1:$I$89,3,0)*0.475*44/12</f>
        <v>#N/A</v>
      </c>
      <c r="AB187" s="21" t="e">
        <f>EXP(-LN(2)/2)*AB186+(1-EXP(-LN(2)/2))/(LN(2)/2)*V187*Y187*VLOOKUP('Données projet'!$B$9,Paramètres!$A$1:$I$89,3,0)*0.475*44/12</f>
        <v>#N/A</v>
      </c>
      <c r="AC187" s="22" t="e">
        <f t="shared" si="163"/>
        <v>#N/A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-1.4897523215040567E-13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338.55719679154777</v>
      </c>
      <c r="AO187" s="59">
        <f t="shared" si="144"/>
        <v>371.26234252426531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-2.1636878955177963E-13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351.6178679548006</v>
      </c>
      <c r="BJ187" s="59">
        <f t="shared" si="146"/>
        <v>244.7141066773861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6.1538461538532374E-2</v>
      </c>
      <c r="BZ187" s="13">
        <f>BY187*VLOOKUP('Données projet'!$B$12,Paramètres!$A$1:$I$89,3,0)*VLOOKUP('Données projet'!$B$12,Paramètres!$A$1:$I$89,5,0)</f>
        <v>2.880000000003315E-2</v>
      </c>
      <c r="CA187" s="13">
        <f t="shared" si="170"/>
        <v>2.0057244427106876E-2</v>
      </c>
      <c r="CB187" s="20">
        <f t="shared" si="171"/>
        <v>8.5093034043935534E-2</v>
      </c>
      <c r="CC187" s="59">
        <f t="shared" si="119"/>
        <v>293.41842636737726</v>
      </c>
      <c r="CD187" s="59">
        <f ca="1">AVERAGE(OFFSET($CC$3,0,0,'Données projet'!$E$12+1,1))-AVERAGE(OFFSET($H$3,0,0,'Données projet'!$E$12+1,1))</f>
        <v>246.66630850723385</v>
      </c>
      <c r="CE187" s="59">
        <f t="shared" si="148"/>
        <v>145.34368562171613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1.1368683772161603E-13</v>
      </c>
      <c r="CU187" s="17">
        <f>CT187*VLOOKUP('Données projet'!$B$13,Paramètres!$A$1:$I$89,3,0)*VLOOKUP('Données projet'!$B$13,Paramètres!$A$1:$I$89,5,0)</f>
        <v>8.8675733422860506E-14</v>
      </c>
      <c r="CV187" s="13">
        <f t="shared" si="173"/>
        <v>1.3509285393066301E-12</v>
      </c>
      <c r="CW187" s="20">
        <f t="shared" si="174"/>
        <v>2.5073107750038623E-12</v>
      </c>
      <c r="CX187" s="59">
        <f t="shared" si="122"/>
        <v>293.33333333333582</v>
      </c>
      <c r="CY187" s="59">
        <f ca="1">AVERAGE(OFFSET($CX$3,0,0,'Données projet'!$E$13+1,1))-AVERAGE(OFFSET($H$3,0,0,'Données projet'!$E$13+1,1))</f>
        <v>292.57482726862594</v>
      </c>
      <c r="CZ187" s="59">
        <f t="shared" si="150"/>
        <v>283.48738729114024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-9.6633812063373625E-13</v>
      </c>
      <c r="DP187" s="17">
        <f>DO187*VLOOKUP('Données projet'!$B$14,Paramètres!$A$1:$I$89,3,0)*VLOOKUP('Données projet'!$B$14,Paramètres!$A$1:$I$89,5,0)</f>
        <v>-9.7986685432260874E-13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475.47920969424894</v>
      </c>
      <c r="DU187" s="59">
        <f t="shared" si="152"/>
        <v>271.73544012419364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-9.6633812063373625E-13</v>
      </c>
      <c r="EK187" s="17">
        <f>EJ187*VLOOKUP('Données projet'!$B$15,Paramètres!$A$1:$I$89,3,0)*VLOOKUP('Données projet'!$B$15,Paramètres!$A$1:$I$89,5,0)</f>
        <v>-8.7434273154940449E-13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428.8489304403459</v>
      </c>
      <c r="EP187" s="59">
        <f t="shared" si="154"/>
        <v>247.01165577562966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245.25496369542458</v>
      </c>
      <c r="FK187" s="59">
        <f t="shared" si="156"/>
        <v>342.30266518164211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0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 t="e">
        <f>N188*VLOOKUP('Données projet'!$B$9,Paramètres!$A$1:$I$89,3,0)*VLOOKUP('Données projet'!$B$9,Paramètres!$A$1:$I$89,5,0)</f>
        <v>#N/A</v>
      </c>
      <c r="P188" s="13" t="e">
        <f t="shared" si="141"/>
        <v>#N/A</v>
      </c>
      <c r="Q188" s="20" t="e">
        <f t="shared" si="162"/>
        <v>#N/A</v>
      </c>
      <c r="R188" s="59" t="e">
        <f t="shared" si="109"/>
        <v>#N/A</v>
      </c>
      <c r="S188" s="59" t="e">
        <f ca="1">AVERAGE(OFFSET($R$3,0,0,'Données projet'!$E$9+1,1))-AVERAGE(OFFSET($H$3,0,0,'Données projet'!$E$9+1,1))</f>
        <v>#N/A</v>
      </c>
      <c r="T188" s="59" t="e">
        <f t="shared" si="142"/>
        <v>#N/A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 t="e">
        <f>EXP(-LN(2)/35)*Z187+(1-EXP(-LN(2)/35))/(LN(2)/35)*V188*W188*VLOOKUP('Données projet'!$B$9,Paramètres!$A$1:$I$89,3,0)*0.475*44/12</f>
        <v>#N/A</v>
      </c>
      <c r="AA188" s="21" t="e">
        <f>EXP(-LN(2)/25)*AA187+(1-EXP(-LN(2)/25))/(LN(2)/25)*Calculateur!V188*Calculateur!X188*VLOOKUP('Données projet'!$B$9,Paramètres!$A$1:$I$89,3,0)*0.475*44/12</f>
        <v>#N/A</v>
      </c>
      <c r="AB188" s="21" t="e">
        <f>EXP(-LN(2)/2)*AB187+(1-EXP(-LN(2)/2))/(LN(2)/2)*V188*Y188*VLOOKUP('Données projet'!$B$9,Paramètres!$A$1:$I$89,3,0)*0.475*44/12</f>
        <v>#N/A</v>
      </c>
      <c r="AC188" s="22" t="e">
        <f t="shared" si="163"/>
        <v>#N/A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-1.4897523215040567E-13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338.55719679154777</v>
      </c>
      <c r="AO188" s="59">
        <f t="shared" si="144"/>
        <v>371.26234252426531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-2.1636878955177963E-13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351.6178679548006</v>
      </c>
      <c r="BJ188" s="59">
        <f t="shared" si="146"/>
        <v>244.7141066773861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6.1538461538532374E-2</v>
      </c>
      <c r="BZ188" s="13">
        <f>BY188*VLOOKUP('Données projet'!$B$12,Paramètres!$A$1:$I$89,3,0)*VLOOKUP('Données projet'!$B$12,Paramètres!$A$1:$I$89,5,0)</f>
        <v>2.880000000003315E-2</v>
      </c>
      <c r="CA188" s="13">
        <f t="shared" si="170"/>
        <v>2.0057244427106876E-2</v>
      </c>
      <c r="CB188" s="20">
        <f t="shared" si="171"/>
        <v>8.5093034043935534E-2</v>
      </c>
      <c r="CC188" s="59">
        <f t="shared" si="119"/>
        <v>293.41842636737726</v>
      </c>
      <c r="CD188" s="59">
        <f ca="1">AVERAGE(OFFSET($CC$3,0,0,'Données projet'!$E$12+1,1))-AVERAGE(OFFSET($H$3,0,0,'Données projet'!$E$12+1,1))</f>
        <v>246.66630850723385</v>
      </c>
      <c r="CE188" s="59">
        <f t="shared" si="148"/>
        <v>145.34368562171613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1.1368683772161603E-13</v>
      </c>
      <c r="CU188" s="17">
        <f>CT188*VLOOKUP('Données projet'!$B$13,Paramètres!$A$1:$I$89,3,0)*VLOOKUP('Données projet'!$B$13,Paramètres!$A$1:$I$89,5,0)</f>
        <v>8.8675733422860506E-14</v>
      </c>
      <c r="CV188" s="13">
        <f t="shared" si="173"/>
        <v>1.3509285393066301E-12</v>
      </c>
      <c r="CW188" s="20">
        <f t="shared" si="174"/>
        <v>2.5073107750038623E-12</v>
      </c>
      <c r="CX188" s="59">
        <f t="shared" si="122"/>
        <v>293.33333333333582</v>
      </c>
      <c r="CY188" s="59">
        <f ca="1">AVERAGE(OFFSET($CX$3,0,0,'Données projet'!$E$13+1,1))-AVERAGE(OFFSET($H$3,0,0,'Données projet'!$E$13+1,1))</f>
        <v>292.57482726862594</v>
      </c>
      <c r="CZ188" s="59">
        <f t="shared" si="150"/>
        <v>283.48738729114024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-9.6633812063373625E-13</v>
      </c>
      <c r="DP188" s="17">
        <f>DO188*VLOOKUP('Données projet'!$B$14,Paramètres!$A$1:$I$89,3,0)*VLOOKUP('Données projet'!$B$14,Paramètres!$A$1:$I$89,5,0)</f>
        <v>-9.7986685432260874E-13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475.47920969424894</v>
      </c>
      <c r="DU188" s="59">
        <f t="shared" si="152"/>
        <v>271.73544012419364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-9.6633812063373625E-13</v>
      </c>
      <c r="EK188" s="17">
        <f>EJ188*VLOOKUP('Données projet'!$B$15,Paramètres!$A$1:$I$89,3,0)*VLOOKUP('Données projet'!$B$15,Paramètres!$A$1:$I$89,5,0)</f>
        <v>-8.7434273154940449E-13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428.8489304403459</v>
      </c>
      <c r="EP188" s="59">
        <f t="shared" si="154"/>
        <v>247.01165577562966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245.25496369542458</v>
      </c>
      <c r="FK188" s="59">
        <f t="shared" si="156"/>
        <v>342.30266518164211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0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 t="e">
        <f>N189*VLOOKUP('Données projet'!$B$9,Paramètres!$A$1:$I$89,3,0)*VLOOKUP('Données projet'!$B$9,Paramètres!$A$1:$I$89,5,0)</f>
        <v>#N/A</v>
      </c>
      <c r="P189" s="13" t="e">
        <f t="shared" si="141"/>
        <v>#N/A</v>
      </c>
      <c r="Q189" s="20" t="e">
        <f t="shared" si="162"/>
        <v>#N/A</v>
      </c>
      <c r="R189" s="59" t="e">
        <f t="shared" si="109"/>
        <v>#N/A</v>
      </c>
      <c r="S189" s="59" t="e">
        <f ca="1">AVERAGE(OFFSET($R$3,0,0,'Données projet'!$E$9+1,1))-AVERAGE(OFFSET($H$3,0,0,'Données projet'!$E$9+1,1))</f>
        <v>#N/A</v>
      </c>
      <c r="T189" s="59" t="e">
        <f t="shared" si="142"/>
        <v>#N/A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 t="e">
        <f>EXP(-LN(2)/35)*Z188+(1-EXP(-LN(2)/35))/(LN(2)/35)*V189*W189*VLOOKUP('Données projet'!$B$9,Paramètres!$A$1:$I$89,3,0)*0.475*44/12</f>
        <v>#N/A</v>
      </c>
      <c r="AA189" s="21" t="e">
        <f>EXP(-LN(2)/25)*AA188+(1-EXP(-LN(2)/25))/(LN(2)/25)*Calculateur!V189*Calculateur!X189*VLOOKUP('Données projet'!$B$9,Paramètres!$A$1:$I$89,3,0)*0.475*44/12</f>
        <v>#N/A</v>
      </c>
      <c r="AB189" s="21" t="e">
        <f>EXP(-LN(2)/2)*AB188+(1-EXP(-LN(2)/2))/(LN(2)/2)*V189*Y189*VLOOKUP('Données projet'!$B$9,Paramètres!$A$1:$I$89,3,0)*0.475*44/12</f>
        <v>#N/A</v>
      </c>
      <c r="AC189" s="22" t="e">
        <f t="shared" si="163"/>
        <v>#N/A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-1.4897523215040567E-13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338.55719679154777</v>
      </c>
      <c r="AO189" s="59">
        <f t="shared" si="144"/>
        <v>371.26234252426531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-2.1636878955177963E-13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351.6178679548006</v>
      </c>
      <c r="BJ189" s="59">
        <f t="shared" si="146"/>
        <v>244.7141066773861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6.1538461538532374E-2</v>
      </c>
      <c r="BZ189" s="13">
        <f>BY189*VLOOKUP('Données projet'!$B$12,Paramètres!$A$1:$I$89,3,0)*VLOOKUP('Données projet'!$B$12,Paramètres!$A$1:$I$89,5,0)</f>
        <v>2.880000000003315E-2</v>
      </c>
      <c r="CA189" s="13">
        <f t="shared" si="170"/>
        <v>2.0057244427106876E-2</v>
      </c>
      <c r="CB189" s="20">
        <f t="shared" si="171"/>
        <v>8.5093034043935534E-2</v>
      </c>
      <c r="CC189" s="59">
        <f t="shared" si="119"/>
        <v>293.41842636737726</v>
      </c>
      <c r="CD189" s="59">
        <f ca="1">AVERAGE(OFFSET($CC$3,0,0,'Données projet'!$E$12+1,1))-AVERAGE(OFFSET($H$3,0,0,'Données projet'!$E$12+1,1))</f>
        <v>246.66630850723385</v>
      </c>
      <c r="CE189" s="59">
        <f t="shared" si="148"/>
        <v>145.34368562171613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1.1368683772161603E-13</v>
      </c>
      <c r="CU189" s="17">
        <f>CT189*VLOOKUP('Données projet'!$B$13,Paramètres!$A$1:$I$89,3,0)*VLOOKUP('Données projet'!$B$13,Paramètres!$A$1:$I$89,5,0)</f>
        <v>8.8675733422860506E-14</v>
      </c>
      <c r="CV189" s="13">
        <f t="shared" si="173"/>
        <v>1.3509285393066301E-12</v>
      </c>
      <c r="CW189" s="20">
        <f t="shared" si="174"/>
        <v>2.5073107750038623E-12</v>
      </c>
      <c r="CX189" s="59">
        <f t="shared" si="122"/>
        <v>293.33333333333582</v>
      </c>
      <c r="CY189" s="59">
        <f ca="1">AVERAGE(OFFSET($CX$3,0,0,'Données projet'!$E$13+1,1))-AVERAGE(OFFSET($H$3,0,0,'Données projet'!$E$13+1,1))</f>
        <v>292.57482726862594</v>
      </c>
      <c r="CZ189" s="59">
        <f t="shared" si="150"/>
        <v>283.48738729114024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-9.6633812063373625E-13</v>
      </c>
      <c r="DP189" s="17">
        <f>DO189*VLOOKUP('Données projet'!$B$14,Paramètres!$A$1:$I$89,3,0)*VLOOKUP('Données projet'!$B$14,Paramètres!$A$1:$I$89,5,0)</f>
        <v>-9.7986685432260874E-13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475.47920969424894</v>
      </c>
      <c r="DU189" s="59">
        <f t="shared" si="152"/>
        <v>271.73544012419364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-9.6633812063373625E-13</v>
      </c>
      <c r="EK189" s="17">
        <f>EJ189*VLOOKUP('Données projet'!$B$15,Paramètres!$A$1:$I$89,3,0)*VLOOKUP('Données projet'!$B$15,Paramètres!$A$1:$I$89,5,0)</f>
        <v>-8.7434273154940449E-13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428.8489304403459</v>
      </c>
      <c r="EP189" s="59">
        <f t="shared" si="154"/>
        <v>247.01165577562966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245.25496369542458</v>
      </c>
      <c r="FK189" s="59">
        <f t="shared" si="156"/>
        <v>342.30266518164211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0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 t="e">
        <f>N190*VLOOKUP('Données projet'!$B$9,Paramètres!$A$1:$I$89,3,0)*VLOOKUP('Données projet'!$B$9,Paramètres!$A$1:$I$89,5,0)</f>
        <v>#N/A</v>
      </c>
      <c r="P190" s="13" t="e">
        <f t="shared" si="141"/>
        <v>#N/A</v>
      </c>
      <c r="Q190" s="20" t="e">
        <f t="shared" si="162"/>
        <v>#N/A</v>
      </c>
      <c r="R190" s="59" t="e">
        <f t="shared" si="109"/>
        <v>#N/A</v>
      </c>
      <c r="S190" s="59" t="e">
        <f ca="1">AVERAGE(OFFSET($R$3,0,0,'Données projet'!$E$9+1,1))-AVERAGE(OFFSET($H$3,0,0,'Données projet'!$E$9+1,1))</f>
        <v>#N/A</v>
      </c>
      <c r="T190" s="59" t="e">
        <f t="shared" si="142"/>
        <v>#N/A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 t="e">
        <f>EXP(-LN(2)/35)*Z189+(1-EXP(-LN(2)/35))/(LN(2)/35)*V190*W190*VLOOKUP('Données projet'!$B$9,Paramètres!$A$1:$I$89,3,0)*0.475*44/12</f>
        <v>#N/A</v>
      </c>
      <c r="AA190" s="21" t="e">
        <f>EXP(-LN(2)/25)*AA189+(1-EXP(-LN(2)/25))/(LN(2)/25)*Calculateur!V190*Calculateur!X190*VLOOKUP('Données projet'!$B$9,Paramètres!$A$1:$I$89,3,0)*0.475*44/12</f>
        <v>#N/A</v>
      </c>
      <c r="AB190" s="21" t="e">
        <f>EXP(-LN(2)/2)*AB189+(1-EXP(-LN(2)/2))/(LN(2)/2)*V190*Y190*VLOOKUP('Données projet'!$B$9,Paramètres!$A$1:$I$89,3,0)*0.475*44/12</f>
        <v>#N/A</v>
      </c>
      <c r="AC190" s="22" t="e">
        <f t="shared" si="163"/>
        <v>#N/A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-1.4897523215040567E-13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338.55719679154777</v>
      </c>
      <c r="AO190" s="59">
        <f t="shared" si="144"/>
        <v>371.26234252426531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-2.1636878955177963E-13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351.6178679548006</v>
      </c>
      <c r="BJ190" s="59">
        <f t="shared" si="146"/>
        <v>244.7141066773861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6.1538461538532374E-2</v>
      </c>
      <c r="BZ190" s="13">
        <f>BY190*VLOOKUP('Données projet'!$B$12,Paramètres!$A$1:$I$89,3,0)*VLOOKUP('Données projet'!$B$12,Paramètres!$A$1:$I$89,5,0)</f>
        <v>2.880000000003315E-2</v>
      </c>
      <c r="CA190" s="13">
        <f t="shared" si="170"/>
        <v>2.0057244427106876E-2</v>
      </c>
      <c r="CB190" s="20">
        <f t="shared" si="171"/>
        <v>8.5093034043935534E-2</v>
      </c>
      <c r="CC190" s="59">
        <f t="shared" si="119"/>
        <v>293.41842636737726</v>
      </c>
      <c r="CD190" s="59">
        <f ca="1">AVERAGE(OFFSET($CC$3,0,0,'Données projet'!$E$12+1,1))-AVERAGE(OFFSET($H$3,0,0,'Données projet'!$E$12+1,1))</f>
        <v>246.66630850723385</v>
      </c>
      <c r="CE190" s="59">
        <f t="shared" si="148"/>
        <v>145.34368562171613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1.1368683772161603E-13</v>
      </c>
      <c r="CU190" s="17">
        <f>CT190*VLOOKUP('Données projet'!$B$13,Paramètres!$A$1:$I$89,3,0)*VLOOKUP('Données projet'!$B$13,Paramètres!$A$1:$I$89,5,0)</f>
        <v>8.8675733422860506E-14</v>
      </c>
      <c r="CV190" s="13">
        <f t="shared" si="173"/>
        <v>1.3509285393066301E-12</v>
      </c>
      <c r="CW190" s="20">
        <f t="shared" si="174"/>
        <v>2.5073107750038623E-12</v>
      </c>
      <c r="CX190" s="59">
        <f t="shared" si="122"/>
        <v>293.33333333333582</v>
      </c>
      <c r="CY190" s="59">
        <f ca="1">AVERAGE(OFFSET($CX$3,0,0,'Données projet'!$E$13+1,1))-AVERAGE(OFFSET($H$3,0,0,'Données projet'!$E$13+1,1))</f>
        <v>292.57482726862594</v>
      </c>
      <c r="CZ190" s="59">
        <f t="shared" si="150"/>
        <v>283.48738729114024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-9.6633812063373625E-13</v>
      </c>
      <c r="DP190" s="17">
        <f>DO190*VLOOKUP('Données projet'!$B$14,Paramètres!$A$1:$I$89,3,0)*VLOOKUP('Données projet'!$B$14,Paramètres!$A$1:$I$89,5,0)</f>
        <v>-9.7986685432260874E-13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475.47920969424894</v>
      </c>
      <c r="DU190" s="59">
        <f t="shared" si="152"/>
        <v>271.73544012419364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-9.6633812063373625E-13</v>
      </c>
      <c r="EK190" s="17">
        <f>EJ190*VLOOKUP('Données projet'!$B$15,Paramètres!$A$1:$I$89,3,0)*VLOOKUP('Données projet'!$B$15,Paramètres!$A$1:$I$89,5,0)</f>
        <v>-8.7434273154940449E-13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428.8489304403459</v>
      </c>
      <c r="EP190" s="59">
        <f t="shared" si="154"/>
        <v>247.01165577562966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245.25496369542458</v>
      </c>
      <c r="FK190" s="59">
        <f t="shared" si="156"/>
        <v>342.30266518164211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0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 t="e">
        <f>N191*VLOOKUP('Données projet'!$B$9,Paramètres!$A$1:$I$89,3,0)*VLOOKUP('Données projet'!$B$9,Paramètres!$A$1:$I$89,5,0)</f>
        <v>#N/A</v>
      </c>
      <c r="P191" s="13" t="e">
        <f t="shared" si="141"/>
        <v>#N/A</v>
      </c>
      <c r="Q191" s="20" t="e">
        <f t="shared" si="162"/>
        <v>#N/A</v>
      </c>
      <c r="R191" s="59" t="e">
        <f t="shared" si="109"/>
        <v>#N/A</v>
      </c>
      <c r="S191" s="59" t="e">
        <f ca="1">AVERAGE(OFFSET($R$3,0,0,'Données projet'!$E$9+1,1))-AVERAGE(OFFSET($H$3,0,0,'Données projet'!$E$9+1,1))</f>
        <v>#N/A</v>
      </c>
      <c r="T191" s="59" t="e">
        <f t="shared" si="142"/>
        <v>#N/A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 t="e">
        <f>EXP(-LN(2)/35)*Z190+(1-EXP(-LN(2)/35))/(LN(2)/35)*V191*W191*VLOOKUP('Données projet'!$B$9,Paramètres!$A$1:$I$89,3,0)*0.475*44/12</f>
        <v>#N/A</v>
      </c>
      <c r="AA191" s="21" t="e">
        <f>EXP(-LN(2)/25)*AA190+(1-EXP(-LN(2)/25))/(LN(2)/25)*Calculateur!V191*Calculateur!X191*VLOOKUP('Données projet'!$B$9,Paramètres!$A$1:$I$89,3,0)*0.475*44/12</f>
        <v>#N/A</v>
      </c>
      <c r="AB191" s="21" t="e">
        <f>EXP(-LN(2)/2)*AB190+(1-EXP(-LN(2)/2))/(LN(2)/2)*V191*Y191*VLOOKUP('Données projet'!$B$9,Paramètres!$A$1:$I$89,3,0)*0.475*44/12</f>
        <v>#N/A</v>
      </c>
      <c r="AC191" s="22" t="e">
        <f t="shared" si="163"/>
        <v>#N/A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-1.4897523215040567E-13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338.55719679154777</v>
      </c>
      <c r="AO191" s="59">
        <f t="shared" si="144"/>
        <v>371.26234252426531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-2.1636878955177963E-13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351.6178679548006</v>
      </c>
      <c r="BJ191" s="59">
        <f t="shared" si="146"/>
        <v>244.7141066773861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6.1538461538532374E-2</v>
      </c>
      <c r="BZ191" s="13">
        <f>BY191*VLOOKUP('Données projet'!$B$12,Paramètres!$A$1:$I$89,3,0)*VLOOKUP('Données projet'!$B$12,Paramètres!$A$1:$I$89,5,0)</f>
        <v>2.880000000003315E-2</v>
      </c>
      <c r="CA191" s="13">
        <f t="shared" si="170"/>
        <v>2.0057244427106876E-2</v>
      </c>
      <c r="CB191" s="20">
        <f t="shared" si="171"/>
        <v>8.5093034043935534E-2</v>
      </c>
      <c r="CC191" s="59">
        <f t="shared" si="119"/>
        <v>293.41842636737726</v>
      </c>
      <c r="CD191" s="59">
        <f ca="1">AVERAGE(OFFSET($CC$3,0,0,'Données projet'!$E$12+1,1))-AVERAGE(OFFSET($H$3,0,0,'Données projet'!$E$12+1,1))</f>
        <v>246.66630850723385</v>
      </c>
      <c r="CE191" s="59">
        <f t="shared" si="148"/>
        <v>145.34368562171613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1.1368683772161603E-13</v>
      </c>
      <c r="CU191" s="17">
        <f>CT191*VLOOKUP('Données projet'!$B$13,Paramètres!$A$1:$I$89,3,0)*VLOOKUP('Données projet'!$B$13,Paramètres!$A$1:$I$89,5,0)</f>
        <v>8.8675733422860506E-14</v>
      </c>
      <c r="CV191" s="13">
        <f t="shared" si="173"/>
        <v>1.3509285393066301E-12</v>
      </c>
      <c r="CW191" s="20">
        <f t="shared" si="174"/>
        <v>2.5073107750038623E-12</v>
      </c>
      <c r="CX191" s="59">
        <f t="shared" si="122"/>
        <v>293.33333333333582</v>
      </c>
      <c r="CY191" s="59">
        <f ca="1">AVERAGE(OFFSET($CX$3,0,0,'Données projet'!$E$13+1,1))-AVERAGE(OFFSET($H$3,0,0,'Données projet'!$E$13+1,1))</f>
        <v>292.57482726862594</v>
      </c>
      <c r="CZ191" s="59">
        <f t="shared" si="150"/>
        <v>283.48738729114024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-9.6633812063373625E-13</v>
      </c>
      <c r="DP191" s="17">
        <f>DO191*VLOOKUP('Données projet'!$B$14,Paramètres!$A$1:$I$89,3,0)*VLOOKUP('Données projet'!$B$14,Paramètres!$A$1:$I$89,5,0)</f>
        <v>-9.7986685432260874E-13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475.47920969424894</v>
      </c>
      <c r="DU191" s="59">
        <f t="shared" si="152"/>
        <v>271.73544012419364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-9.6633812063373625E-13</v>
      </c>
      <c r="EK191" s="17">
        <f>EJ191*VLOOKUP('Données projet'!$B$15,Paramètres!$A$1:$I$89,3,0)*VLOOKUP('Données projet'!$B$15,Paramètres!$A$1:$I$89,5,0)</f>
        <v>-8.7434273154940449E-13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428.8489304403459</v>
      </c>
      <c r="EP191" s="59">
        <f t="shared" si="154"/>
        <v>247.01165577562966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245.25496369542458</v>
      </c>
      <c r="FK191" s="59">
        <f t="shared" si="156"/>
        <v>342.30266518164211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0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 t="e">
        <f>N192*VLOOKUP('Données projet'!$B$9,Paramètres!$A$1:$I$89,3,0)*VLOOKUP('Données projet'!$B$9,Paramètres!$A$1:$I$89,5,0)</f>
        <v>#N/A</v>
      </c>
      <c r="P192" s="13" t="e">
        <f t="shared" si="141"/>
        <v>#N/A</v>
      </c>
      <c r="Q192" s="20" t="e">
        <f t="shared" si="162"/>
        <v>#N/A</v>
      </c>
      <c r="R192" s="59" t="e">
        <f t="shared" si="109"/>
        <v>#N/A</v>
      </c>
      <c r="S192" s="59" t="e">
        <f ca="1">AVERAGE(OFFSET($R$3,0,0,'Données projet'!$E$9+1,1))-AVERAGE(OFFSET($H$3,0,0,'Données projet'!$E$9+1,1))</f>
        <v>#N/A</v>
      </c>
      <c r="T192" s="59" t="e">
        <f t="shared" si="142"/>
        <v>#N/A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 t="e">
        <f>EXP(-LN(2)/35)*Z191+(1-EXP(-LN(2)/35))/(LN(2)/35)*V192*W192*VLOOKUP('Données projet'!$B$9,Paramètres!$A$1:$I$89,3,0)*0.475*44/12</f>
        <v>#N/A</v>
      </c>
      <c r="AA192" s="21" t="e">
        <f>EXP(-LN(2)/25)*AA191+(1-EXP(-LN(2)/25))/(LN(2)/25)*Calculateur!V192*Calculateur!X192*VLOOKUP('Données projet'!$B$9,Paramètres!$A$1:$I$89,3,0)*0.475*44/12</f>
        <v>#N/A</v>
      </c>
      <c r="AB192" s="21" t="e">
        <f>EXP(-LN(2)/2)*AB191+(1-EXP(-LN(2)/2))/(LN(2)/2)*V192*Y192*VLOOKUP('Données projet'!$B$9,Paramètres!$A$1:$I$89,3,0)*0.475*44/12</f>
        <v>#N/A</v>
      </c>
      <c r="AC192" s="22" t="e">
        <f t="shared" si="163"/>
        <v>#N/A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-1.4897523215040567E-13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338.55719679154777</v>
      </c>
      <c r="AO192" s="59">
        <f t="shared" si="144"/>
        <v>371.26234252426531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-2.1636878955177963E-13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351.6178679548006</v>
      </c>
      <c r="BJ192" s="59">
        <f t="shared" si="146"/>
        <v>244.7141066773861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6.1538461538532374E-2</v>
      </c>
      <c r="BZ192" s="13">
        <f>BY192*VLOOKUP('Données projet'!$B$12,Paramètres!$A$1:$I$89,3,0)*VLOOKUP('Données projet'!$B$12,Paramètres!$A$1:$I$89,5,0)</f>
        <v>2.880000000003315E-2</v>
      </c>
      <c r="CA192" s="13">
        <f t="shared" si="170"/>
        <v>2.0057244427106876E-2</v>
      </c>
      <c r="CB192" s="20">
        <f t="shared" si="171"/>
        <v>8.5093034043935534E-2</v>
      </c>
      <c r="CC192" s="59">
        <f t="shared" si="119"/>
        <v>293.41842636737726</v>
      </c>
      <c r="CD192" s="59">
        <f ca="1">AVERAGE(OFFSET($CC$3,0,0,'Données projet'!$E$12+1,1))-AVERAGE(OFFSET($H$3,0,0,'Données projet'!$E$12+1,1))</f>
        <v>246.66630850723385</v>
      </c>
      <c r="CE192" s="59">
        <f t="shared" si="148"/>
        <v>145.34368562171613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1.1368683772161603E-13</v>
      </c>
      <c r="CU192" s="17">
        <f>CT192*VLOOKUP('Données projet'!$B$13,Paramètres!$A$1:$I$89,3,0)*VLOOKUP('Données projet'!$B$13,Paramètres!$A$1:$I$89,5,0)</f>
        <v>8.8675733422860506E-14</v>
      </c>
      <c r="CV192" s="13">
        <f t="shared" si="173"/>
        <v>1.3509285393066301E-12</v>
      </c>
      <c r="CW192" s="20">
        <f t="shared" si="174"/>
        <v>2.5073107750038623E-12</v>
      </c>
      <c r="CX192" s="59">
        <f t="shared" si="122"/>
        <v>293.33333333333582</v>
      </c>
      <c r="CY192" s="59">
        <f ca="1">AVERAGE(OFFSET($CX$3,0,0,'Données projet'!$E$13+1,1))-AVERAGE(OFFSET($H$3,0,0,'Données projet'!$E$13+1,1))</f>
        <v>292.57482726862594</v>
      </c>
      <c r="CZ192" s="59">
        <f t="shared" si="150"/>
        <v>283.48738729114024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-9.6633812063373625E-13</v>
      </c>
      <c r="DP192" s="17">
        <f>DO192*VLOOKUP('Données projet'!$B$14,Paramètres!$A$1:$I$89,3,0)*VLOOKUP('Données projet'!$B$14,Paramètres!$A$1:$I$89,5,0)</f>
        <v>-9.7986685432260874E-13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475.47920969424894</v>
      </c>
      <c r="DU192" s="59">
        <f t="shared" si="152"/>
        <v>271.73544012419364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-9.6633812063373625E-13</v>
      </c>
      <c r="EK192" s="17">
        <f>EJ192*VLOOKUP('Données projet'!$B$15,Paramètres!$A$1:$I$89,3,0)*VLOOKUP('Données projet'!$B$15,Paramètres!$A$1:$I$89,5,0)</f>
        <v>-8.7434273154940449E-13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428.8489304403459</v>
      </c>
      <c r="EP192" s="59">
        <f t="shared" si="154"/>
        <v>247.01165577562966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245.25496369542458</v>
      </c>
      <c r="FK192" s="59">
        <f t="shared" si="156"/>
        <v>342.30266518164211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0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 t="e">
        <f>N193*VLOOKUP('Données projet'!$B$9,Paramètres!$A$1:$I$89,3,0)*VLOOKUP('Données projet'!$B$9,Paramètres!$A$1:$I$89,5,0)</f>
        <v>#N/A</v>
      </c>
      <c r="P193" s="13" t="e">
        <f t="shared" si="141"/>
        <v>#N/A</v>
      </c>
      <c r="Q193" s="20" t="e">
        <f t="shared" si="162"/>
        <v>#N/A</v>
      </c>
      <c r="R193" s="59" t="e">
        <f t="shared" si="109"/>
        <v>#N/A</v>
      </c>
      <c r="S193" s="59" t="e">
        <f ca="1">AVERAGE(OFFSET($R$3,0,0,'Données projet'!$E$9+1,1))-AVERAGE(OFFSET($H$3,0,0,'Données projet'!$E$9+1,1))</f>
        <v>#N/A</v>
      </c>
      <c r="T193" s="59" t="e">
        <f t="shared" si="142"/>
        <v>#N/A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 t="e">
        <f>EXP(-LN(2)/35)*Z192+(1-EXP(-LN(2)/35))/(LN(2)/35)*V193*W193*VLOOKUP('Données projet'!$B$9,Paramètres!$A$1:$I$89,3,0)*0.475*44/12</f>
        <v>#N/A</v>
      </c>
      <c r="AA193" s="21" t="e">
        <f>EXP(-LN(2)/25)*AA192+(1-EXP(-LN(2)/25))/(LN(2)/25)*Calculateur!V193*Calculateur!X193*VLOOKUP('Données projet'!$B$9,Paramètres!$A$1:$I$89,3,0)*0.475*44/12</f>
        <v>#N/A</v>
      </c>
      <c r="AB193" s="21" t="e">
        <f>EXP(-LN(2)/2)*AB192+(1-EXP(-LN(2)/2))/(LN(2)/2)*V193*Y193*VLOOKUP('Données projet'!$B$9,Paramètres!$A$1:$I$89,3,0)*0.475*44/12</f>
        <v>#N/A</v>
      </c>
      <c r="AC193" s="22" t="e">
        <f t="shared" si="163"/>
        <v>#N/A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-1.4897523215040567E-13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338.55719679154777</v>
      </c>
      <c r="AO193" s="59">
        <f t="shared" si="144"/>
        <v>371.26234252426531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-2.1636878955177963E-13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351.6178679548006</v>
      </c>
      <c r="BJ193" s="59">
        <f t="shared" si="146"/>
        <v>244.7141066773861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6.1538461538532374E-2</v>
      </c>
      <c r="BZ193" s="13">
        <f>BY193*VLOOKUP('Données projet'!$B$12,Paramètres!$A$1:$I$89,3,0)*VLOOKUP('Données projet'!$B$12,Paramètres!$A$1:$I$89,5,0)</f>
        <v>2.880000000003315E-2</v>
      </c>
      <c r="CA193" s="13">
        <f t="shared" si="170"/>
        <v>2.0057244427106876E-2</v>
      </c>
      <c r="CB193" s="20">
        <f t="shared" si="171"/>
        <v>8.5093034043935534E-2</v>
      </c>
      <c r="CC193" s="59">
        <f t="shared" si="119"/>
        <v>293.41842636737726</v>
      </c>
      <c r="CD193" s="59">
        <f ca="1">AVERAGE(OFFSET($CC$3,0,0,'Données projet'!$E$12+1,1))-AVERAGE(OFFSET($H$3,0,0,'Données projet'!$E$12+1,1))</f>
        <v>246.66630850723385</v>
      </c>
      <c r="CE193" s="59">
        <f t="shared" si="148"/>
        <v>145.34368562171613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1.1368683772161603E-13</v>
      </c>
      <c r="CU193" s="17">
        <f>CT193*VLOOKUP('Données projet'!$B$13,Paramètres!$A$1:$I$89,3,0)*VLOOKUP('Données projet'!$B$13,Paramètres!$A$1:$I$89,5,0)</f>
        <v>8.8675733422860506E-14</v>
      </c>
      <c r="CV193" s="13">
        <f t="shared" si="173"/>
        <v>1.3509285393066301E-12</v>
      </c>
      <c r="CW193" s="20">
        <f t="shared" si="174"/>
        <v>2.5073107750038623E-12</v>
      </c>
      <c r="CX193" s="59">
        <f t="shared" si="122"/>
        <v>293.33333333333582</v>
      </c>
      <c r="CY193" s="59">
        <f ca="1">AVERAGE(OFFSET($CX$3,0,0,'Données projet'!$E$13+1,1))-AVERAGE(OFFSET($H$3,0,0,'Données projet'!$E$13+1,1))</f>
        <v>292.57482726862594</v>
      </c>
      <c r="CZ193" s="59">
        <f t="shared" si="150"/>
        <v>283.48738729114024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-9.6633812063373625E-13</v>
      </c>
      <c r="DP193" s="17">
        <f>DO193*VLOOKUP('Données projet'!$B$14,Paramètres!$A$1:$I$89,3,0)*VLOOKUP('Données projet'!$B$14,Paramètres!$A$1:$I$89,5,0)</f>
        <v>-9.7986685432260874E-13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475.47920969424894</v>
      </c>
      <c r="DU193" s="59">
        <f t="shared" si="152"/>
        <v>271.73544012419364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-9.6633812063373625E-13</v>
      </c>
      <c r="EK193" s="17">
        <f>EJ193*VLOOKUP('Données projet'!$B$15,Paramètres!$A$1:$I$89,3,0)*VLOOKUP('Données projet'!$B$15,Paramètres!$A$1:$I$89,5,0)</f>
        <v>-8.7434273154940449E-13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428.8489304403459</v>
      </c>
      <c r="EP193" s="59">
        <f t="shared" si="154"/>
        <v>247.01165577562966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245.25496369542458</v>
      </c>
      <c r="FK193" s="59">
        <f t="shared" si="156"/>
        <v>342.30266518164211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0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 t="e">
        <f>N194*VLOOKUP('Données projet'!$B$9,Paramètres!$A$1:$I$89,3,0)*VLOOKUP('Données projet'!$B$9,Paramètres!$A$1:$I$89,5,0)</f>
        <v>#N/A</v>
      </c>
      <c r="P194" s="13" t="e">
        <f t="shared" si="141"/>
        <v>#N/A</v>
      </c>
      <c r="Q194" s="20" t="e">
        <f t="shared" si="162"/>
        <v>#N/A</v>
      </c>
      <c r="R194" s="59" t="e">
        <f t="shared" si="109"/>
        <v>#N/A</v>
      </c>
      <c r="S194" s="59" t="e">
        <f ca="1">AVERAGE(OFFSET($R$3,0,0,'Données projet'!$E$9+1,1))-AVERAGE(OFFSET($H$3,0,0,'Données projet'!$E$9+1,1))</f>
        <v>#N/A</v>
      </c>
      <c r="T194" s="59" t="e">
        <f t="shared" si="142"/>
        <v>#N/A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 t="e">
        <f>EXP(-LN(2)/35)*Z193+(1-EXP(-LN(2)/35))/(LN(2)/35)*V194*W194*VLOOKUP('Données projet'!$B$9,Paramètres!$A$1:$I$89,3,0)*0.475*44/12</f>
        <v>#N/A</v>
      </c>
      <c r="AA194" s="21" t="e">
        <f>EXP(-LN(2)/25)*AA193+(1-EXP(-LN(2)/25))/(LN(2)/25)*Calculateur!V194*Calculateur!X194*VLOOKUP('Données projet'!$B$9,Paramètres!$A$1:$I$89,3,0)*0.475*44/12</f>
        <v>#N/A</v>
      </c>
      <c r="AB194" s="21" t="e">
        <f>EXP(-LN(2)/2)*AB193+(1-EXP(-LN(2)/2))/(LN(2)/2)*V194*Y194*VLOOKUP('Données projet'!$B$9,Paramètres!$A$1:$I$89,3,0)*0.475*44/12</f>
        <v>#N/A</v>
      </c>
      <c r="AC194" s="22" t="e">
        <f t="shared" si="163"/>
        <v>#N/A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-1.4897523215040567E-13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338.55719679154777</v>
      </c>
      <c r="AO194" s="59">
        <f t="shared" si="144"/>
        <v>371.26234252426531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-2.1636878955177963E-13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351.6178679548006</v>
      </c>
      <c r="BJ194" s="59">
        <f t="shared" si="146"/>
        <v>244.7141066773861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6.1538461538532374E-2</v>
      </c>
      <c r="BZ194" s="13">
        <f>BY194*VLOOKUP('Données projet'!$B$12,Paramètres!$A$1:$I$89,3,0)*VLOOKUP('Données projet'!$B$12,Paramètres!$A$1:$I$89,5,0)</f>
        <v>2.880000000003315E-2</v>
      </c>
      <c r="CA194" s="13">
        <f t="shared" si="170"/>
        <v>2.0057244427106876E-2</v>
      </c>
      <c r="CB194" s="20">
        <f t="shared" si="171"/>
        <v>8.5093034043935534E-2</v>
      </c>
      <c r="CC194" s="59">
        <f t="shared" si="119"/>
        <v>293.41842636737726</v>
      </c>
      <c r="CD194" s="59">
        <f ca="1">AVERAGE(OFFSET($CC$3,0,0,'Données projet'!$E$12+1,1))-AVERAGE(OFFSET($H$3,0,0,'Données projet'!$E$12+1,1))</f>
        <v>246.66630850723385</v>
      </c>
      <c r="CE194" s="59">
        <f t="shared" si="148"/>
        <v>145.34368562171613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1.1368683772161603E-13</v>
      </c>
      <c r="CU194" s="17">
        <f>CT194*VLOOKUP('Données projet'!$B$13,Paramètres!$A$1:$I$89,3,0)*VLOOKUP('Données projet'!$B$13,Paramètres!$A$1:$I$89,5,0)</f>
        <v>8.8675733422860506E-14</v>
      </c>
      <c r="CV194" s="13">
        <f t="shared" si="173"/>
        <v>1.3509285393066301E-12</v>
      </c>
      <c r="CW194" s="20">
        <f t="shared" si="174"/>
        <v>2.5073107750038623E-12</v>
      </c>
      <c r="CX194" s="59">
        <f t="shared" si="122"/>
        <v>293.33333333333582</v>
      </c>
      <c r="CY194" s="59">
        <f ca="1">AVERAGE(OFFSET($CX$3,0,0,'Données projet'!$E$13+1,1))-AVERAGE(OFFSET($H$3,0,0,'Données projet'!$E$13+1,1))</f>
        <v>292.57482726862594</v>
      </c>
      <c r="CZ194" s="59">
        <f t="shared" si="150"/>
        <v>283.48738729114024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-9.6633812063373625E-13</v>
      </c>
      <c r="DP194" s="17">
        <f>DO194*VLOOKUP('Données projet'!$B$14,Paramètres!$A$1:$I$89,3,0)*VLOOKUP('Données projet'!$B$14,Paramètres!$A$1:$I$89,5,0)</f>
        <v>-9.7986685432260874E-13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475.47920969424894</v>
      </c>
      <c r="DU194" s="59">
        <f t="shared" si="152"/>
        <v>271.73544012419364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-9.6633812063373625E-13</v>
      </c>
      <c r="EK194" s="17">
        <f>EJ194*VLOOKUP('Données projet'!$B$15,Paramètres!$A$1:$I$89,3,0)*VLOOKUP('Données projet'!$B$15,Paramètres!$A$1:$I$89,5,0)</f>
        <v>-8.7434273154940449E-13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428.8489304403459</v>
      </c>
      <c r="EP194" s="59">
        <f t="shared" si="154"/>
        <v>247.01165577562966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245.25496369542458</v>
      </c>
      <c r="FK194" s="59">
        <f t="shared" si="156"/>
        <v>342.30266518164211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0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 t="e">
        <f>N195*VLOOKUP('Données projet'!$B$9,Paramètres!$A$1:$I$89,3,0)*VLOOKUP('Données projet'!$B$9,Paramètres!$A$1:$I$89,5,0)</f>
        <v>#N/A</v>
      </c>
      <c r="P195" s="13" t="e">
        <f t="shared" si="141"/>
        <v>#N/A</v>
      </c>
      <c r="Q195" s="20" t="e">
        <f t="shared" si="162"/>
        <v>#N/A</v>
      </c>
      <c r="R195" s="59" t="e">
        <f t="shared" ref="R195:R203" si="191">Q195+(I195+J195)*44/12</f>
        <v>#N/A</v>
      </c>
      <c r="S195" s="59" t="e">
        <f ca="1">AVERAGE(OFFSET($R$3,0,0,'Données projet'!$E$9+1,1))-AVERAGE(OFFSET($H$3,0,0,'Données projet'!$E$9+1,1))</f>
        <v>#N/A</v>
      </c>
      <c r="T195" s="59" t="e">
        <f t="shared" si="142"/>
        <v>#N/A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 t="e">
        <f>EXP(-LN(2)/35)*Z194+(1-EXP(-LN(2)/35))/(LN(2)/35)*V195*W195*VLOOKUP('Données projet'!$B$9,Paramètres!$A$1:$I$89,3,0)*0.475*44/12</f>
        <v>#N/A</v>
      </c>
      <c r="AA195" s="21" t="e">
        <f>EXP(-LN(2)/25)*AA194+(1-EXP(-LN(2)/25))/(LN(2)/25)*Calculateur!V195*Calculateur!X195*VLOOKUP('Données projet'!$B$9,Paramètres!$A$1:$I$89,3,0)*0.475*44/12</f>
        <v>#N/A</v>
      </c>
      <c r="AB195" s="21" t="e">
        <f>EXP(-LN(2)/2)*AB194+(1-EXP(-LN(2)/2))/(LN(2)/2)*V195*Y195*VLOOKUP('Données projet'!$B$9,Paramètres!$A$1:$I$89,3,0)*0.475*44/12</f>
        <v>#N/A</v>
      </c>
      <c r="AC195" s="22" t="e">
        <f t="shared" si="163"/>
        <v>#N/A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-1.4897523215040567E-13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338.55719679154777</v>
      </c>
      <c r="AO195" s="59">
        <f t="shared" si="144"/>
        <v>371.26234252426531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-2.1636878955177963E-13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351.6178679548006</v>
      </c>
      <c r="BJ195" s="59">
        <f t="shared" si="146"/>
        <v>244.7141066773861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6.1538461538532374E-2</v>
      </c>
      <c r="BZ195" s="13">
        <f>BY195*VLOOKUP('Données projet'!$B$12,Paramètres!$A$1:$I$89,3,0)*VLOOKUP('Données projet'!$B$12,Paramètres!$A$1:$I$89,5,0)</f>
        <v>2.880000000003315E-2</v>
      </c>
      <c r="CA195" s="13">
        <f t="shared" si="170"/>
        <v>2.0057244427106876E-2</v>
      </c>
      <c r="CB195" s="20">
        <f t="shared" si="171"/>
        <v>8.5093034043935534E-2</v>
      </c>
      <c r="CC195" s="59">
        <f t="shared" si="119"/>
        <v>293.41842636737726</v>
      </c>
      <c r="CD195" s="59">
        <f ca="1">AVERAGE(OFFSET($CC$3,0,0,'Données projet'!$E$12+1,1))-AVERAGE(OFFSET($H$3,0,0,'Données projet'!$E$12+1,1))</f>
        <v>246.66630850723385</v>
      </c>
      <c r="CE195" s="59">
        <f t="shared" si="148"/>
        <v>145.34368562171613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1.1368683772161603E-13</v>
      </c>
      <c r="CU195" s="17">
        <f>CT195*VLOOKUP('Données projet'!$B$13,Paramètres!$A$1:$I$89,3,0)*VLOOKUP('Données projet'!$B$13,Paramètres!$A$1:$I$89,5,0)</f>
        <v>8.8675733422860506E-14</v>
      </c>
      <c r="CV195" s="13">
        <f t="shared" si="173"/>
        <v>1.3509285393066301E-12</v>
      </c>
      <c r="CW195" s="20">
        <f t="shared" si="174"/>
        <v>2.5073107750038623E-12</v>
      </c>
      <c r="CX195" s="59">
        <f t="shared" si="122"/>
        <v>293.33333333333582</v>
      </c>
      <c r="CY195" s="59">
        <f ca="1">AVERAGE(OFFSET($CX$3,0,0,'Données projet'!$E$13+1,1))-AVERAGE(OFFSET($H$3,0,0,'Données projet'!$E$13+1,1))</f>
        <v>292.57482726862594</v>
      </c>
      <c r="CZ195" s="59">
        <f t="shared" si="150"/>
        <v>283.48738729114024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-9.6633812063373625E-13</v>
      </c>
      <c r="DP195" s="17">
        <f>DO195*VLOOKUP('Données projet'!$B$14,Paramètres!$A$1:$I$89,3,0)*VLOOKUP('Données projet'!$B$14,Paramètres!$A$1:$I$89,5,0)</f>
        <v>-9.7986685432260874E-13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475.47920969424894</v>
      </c>
      <c r="DU195" s="59">
        <f t="shared" si="152"/>
        <v>271.73544012419364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-9.6633812063373625E-13</v>
      </c>
      <c r="EK195" s="17">
        <f>EJ195*VLOOKUP('Données projet'!$B$15,Paramètres!$A$1:$I$89,3,0)*VLOOKUP('Données projet'!$B$15,Paramètres!$A$1:$I$89,5,0)</f>
        <v>-8.7434273154940449E-13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428.8489304403459</v>
      </c>
      <c r="EP195" s="59">
        <f t="shared" si="154"/>
        <v>247.01165577562966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245.25496369542458</v>
      </c>
      <c r="FK195" s="59">
        <f t="shared" si="156"/>
        <v>342.30266518164211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0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 t="e">
        <f>N196*VLOOKUP('Données projet'!$B$9,Paramètres!$A$1:$I$89,3,0)*VLOOKUP('Données projet'!$B$9,Paramètres!$A$1:$I$89,5,0)</f>
        <v>#N/A</v>
      </c>
      <c r="P196" s="13" t="e">
        <f t="shared" si="141"/>
        <v>#N/A</v>
      </c>
      <c r="Q196" s="20" t="e">
        <f t="shared" si="162"/>
        <v>#N/A</v>
      </c>
      <c r="R196" s="59" t="e">
        <f t="shared" si="191"/>
        <v>#N/A</v>
      </c>
      <c r="S196" s="59" t="e">
        <f ca="1">AVERAGE(OFFSET($R$3,0,0,'Données projet'!$E$9+1,1))-AVERAGE(OFFSET($H$3,0,0,'Données projet'!$E$9+1,1))</f>
        <v>#N/A</v>
      </c>
      <c r="T196" s="59" t="e">
        <f t="shared" si="142"/>
        <v>#N/A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 t="e">
        <f>EXP(-LN(2)/35)*Z195+(1-EXP(-LN(2)/35))/(LN(2)/35)*V196*W196*VLOOKUP('Données projet'!$B$9,Paramètres!$A$1:$I$89,3,0)*0.475*44/12</f>
        <v>#N/A</v>
      </c>
      <c r="AA196" s="21" t="e">
        <f>EXP(-LN(2)/25)*AA195+(1-EXP(-LN(2)/25))/(LN(2)/25)*Calculateur!V196*Calculateur!X196*VLOOKUP('Données projet'!$B$9,Paramètres!$A$1:$I$89,3,0)*0.475*44/12</f>
        <v>#N/A</v>
      </c>
      <c r="AB196" s="21" t="e">
        <f>EXP(-LN(2)/2)*AB195+(1-EXP(-LN(2)/2))/(LN(2)/2)*V196*Y196*VLOOKUP('Données projet'!$B$9,Paramètres!$A$1:$I$89,3,0)*0.475*44/12</f>
        <v>#N/A</v>
      </c>
      <c r="AC196" s="22" t="e">
        <f t="shared" si="163"/>
        <v>#N/A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-1.4897523215040567E-13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338.55719679154777</v>
      </c>
      <c r="AO196" s="59">
        <f t="shared" si="144"/>
        <v>371.26234252426531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-2.1636878955177963E-13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351.6178679548006</v>
      </c>
      <c r="BJ196" s="59">
        <f t="shared" si="146"/>
        <v>244.7141066773861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6.1538461538532374E-2</v>
      </c>
      <c r="BZ196" s="13">
        <f>BY196*VLOOKUP('Données projet'!$B$12,Paramètres!$A$1:$I$89,3,0)*VLOOKUP('Données projet'!$B$12,Paramètres!$A$1:$I$89,5,0)</f>
        <v>2.880000000003315E-2</v>
      </c>
      <c r="CA196" s="13">
        <f t="shared" si="170"/>
        <v>2.0057244427106876E-2</v>
      </c>
      <c r="CB196" s="20">
        <f t="shared" si="171"/>
        <v>8.5093034043935534E-2</v>
      </c>
      <c r="CC196" s="59">
        <f t="shared" ref="CC196:CC203" si="195">CB196+(BT196+BU196)*44/12</f>
        <v>293.41842636737726</v>
      </c>
      <c r="CD196" s="59">
        <f ca="1">AVERAGE(OFFSET($CC$3,0,0,'Données projet'!$E$12+1,1))-AVERAGE(OFFSET($H$3,0,0,'Données projet'!$E$12+1,1))</f>
        <v>246.66630850723385</v>
      </c>
      <c r="CE196" s="59">
        <f t="shared" si="148"/>
        <v>145.34368562171613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1.1368683772161603E-13</v>
      </c>
      <c r="CU196" s="17">
        <f>CT196*VLOOKUP('Données projet'!$B$13,Paramètres!$A$1:$I$89,3,0)*VLOOKUP('Données projet'!$B$13,Paramètres!$A$1:$I$89,5,0)</f>
        <v>8.8675733422860506E-14</v>
      </c>
      <c r="CV196" s="13">
        <f t="shared" si="173"/>
        <v>1.3509285393066301E-12</v>
      </c>
      <c r="CW196" s="20">
        <f t="shared" si="174"/>
        <v>2.5073107750038623E-12</v>
      </c>
      <c r="CX196" s="59">
        <f t="shared" ref="CX196:CX203" si="196">CW196+(CO196+CP196)*44/12</f>
        <v>293.33333333333582</v>
      </c>
      <c r="CY196" s="59">
        <f ca="1">AVERAGE(OFFSET($CX$3,0,0,'Données projet'!$E$13+1,1))-AVERAGE(OFFSET($H$3,0,0,'Données projet'!$E$13+1,1))</f>
        <v>292.57482726862594</v>
      </c>
      <c r="CZ196" s="59">
        <f t="shared" si="150"/>
        <v>283.48738729114024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-9.6633812063373625E-13</v>
      </c>
      <c r="DP196" s="17">
        <f>DO196*VLOOKUP('Données projet'!$B$14,Paramètres!$A$1:$I$89,3,0)*VLOOKUP('Données projet'!$B$14,Paramètres!$A$1:$I$89,5,0)</f>
        <v>-9.7986685432260874E-13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475.47920969424894</v>
      </c>
      <c r="DU196" s="59">
        <f t="shared" si="152"/>
        <v>271.73544012419364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-9.6633812063373625E-13</v>
      </c>
      <c r="EK196" s="17">
        <f>EJ196*VLOOKUP('Données projet'!$B$15,Paramètres!$A$1:$I$89,3,0)*VLOOKUP('Données projet'!$B$15,Paramètres!$A$1:$I$89,5,0)</f>
        <v>-8.7434273154940449E-13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428.8489304403459</v>
      </c>
      <c r="EP196" s="59">
        <f t="shared" si="154"/>
        <v>247.01165577562966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245.25496369542458</v>
      </c>
      <c r="FK196" s="59">
        <f t="shared" si="156"/>
        <v>342.30266518164211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0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 t="e">
        <f>N197*VLOOKUP('Données projet'!$B$9,Paramètres!$A$1:$I$89,3,0)*VLOOKUP('Données projet'!$B$9,Paramètres!$A$1:$I$89,5,0)</f>
        <v>#N/A</v>
      </c>
      <c r="P197" s="13" t="e">
        <f t="shared" ref="P197:P203" si="203">EXP(-1.0587+0.8836*LN(O197)+0.284)</f>
        <v>#N/A</v>
      </c>
      <c r="Q197" s="20" t="e">
        <f t="shared" si="162"/>
        <v>#N/A</v>
      </c>
      <c r="R197" s="59" t="e">
        <f t="shared" si="191"/>
        <v>#N/A</v>
      </c>
      <c r="S197" s="59" t="e">
        <f ca="1">AVERAGE(OFFSET($R$3,0,0,'Données projet'!$E$9+1,1))-AVERAGE(OFFSET($H$3,0,0,'Données projet'!$E$9+1,1))</f>
        <v>#N/A</v>
      </c>
      <c r="T197" s="59" t="e">
        <f t="shared" ref="T197:T203" si="204">$T$3</f>
        <v>#N/A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 t="e">
        <f>EXP(-LN(2)/35)*Z196+(1-EXP(-LN(2)/35))/(LN(2)/35)*V197*W197*VLOOKUP('Données projet'!$B$9,Paramètres!$A$1:$I$89,3,0)*0.475*44/12</f>
        <v>#N/A</v>
      </c>
      <c r="AA197" s="21" t="e">
        <f>EXP(-LN(2)/25)*AA196+(1-EXP(-LN(2)/25))/(LN(2)/25)*Calculateur!V197*Calculateur!X197*VLOOKUP('Données projet'!$B$9,Paramètres!$A$1:$I$89,3,0)*0.475*44/12</f>
        <v>#N/A</v>
      </c>
      <c r="AB197" s="21" t="e">
        <f>EXP(-LN(2)/2)*AB196+(1-EXP(-LN(2)/2))/(LN(2)/2)*V197*Y197*VLOOKUP('Données projet'!$B$9,Paramètres!$A$1:$I$89,3,0)*0.475*44/12</f>
        <v>#N/A</v>
      </c>
      <c r="AC197" s="22" t="e">
        <f t="shared" si="163"/>
        <v>#N/A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-1.4897523215040567E-13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338.55719679154777</v>
      </c>
      <c r="AO197" s="59">
        <f t="shared" ref="AO197:AO203" si="205">$AO$3</f>
        <v>371.26234252426531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-2.1636878955177963E-13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351.6178679548006</v>
      </c>
      <c r="BJ197" s="59">
        <f t="shared" ref="BJ197:BJ203" si="206">$BJ$3</f>
        <v>244.7141066773861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6.1538461538532374E-2</v>
      </c>
      <c r="BZ197" s="13">
        <f>BY197*VLOOKUP('Données projet'!$B$12,Paramètres!$A$1:$I$89,3,0)*VLOOKUP('Données projet'!$B$12,Paramètres!$A$1:$I$89,5,0)</f>
        <v>2.880000000003315E-2</v>
      </c>
      <c r="CA197" s="13">
        <f t="shared" si="170"/>
        <v>2.0057244427106876E-2</v>
      </c>
      <c r="CB197" s="20">
        <f t="shared" si="171"/>
        <v>8.5093034043935534E-2</v>
      </c>
      <c r="CC197" s="59">
        <f t="shared" si="195"/>
        <v>293.41842636737726</v>
      </c>
      <c r="CD197" s="59">
        <f ca="1">AVERAGE(OFFSET($CC$3,0,0,'Données projet'!$E$12+1,1))-AVERAGE(OFFSET($H$3,0,0,'Données projet'!$E$12+1,1))</f>
        <v>246.66630850723385</v>
      </c>
      <c r="CE197" s="59">
        <f t="shared" ref="CE197:CE203" si="207">$CE$3</f>
        <v>145.34368562171613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1.1368683772161603E-13</v>
      </c>
      <c r="CU197" s="17">
        <f>CT197*VLOOKUP('Données projet'!$B$13,Paramètres!$A$1:$I$89,3,0)*VLOOKUP('Données projet'!$B$13,Paramètres!$A$1:$I$89,5,0)</f>
        <v>8.8675733422860506E-14</v>
      </c>
      <c r="CV197" s="13">
        <f t="shared" si="173"/>
        <v>1.3509285393066301E-12</v>
      </c>
      <c r="CW197" s="20">
        <f t="shared" si="174"/>
        <v>2.5073107750038623E-12</v>
      </c>
      <c r="CX197" s="59">
        <f t="shared" si="196"/>
        <v>293.33333333333582</v>
      </c>
      <c r="CY197" s="59">
        <f ca="1">AVERAGE(OFFSET($CX$3,0,0,'Données projet'!$E$13+1,1))-AVERAGE(OFFSET($H$3,0,0,'Données projet'!$E$13+1,1))</f>
        <v>292.57482726862594</v>
      </c>
      <c r="CZ197" s="59">
        <f t="shared" ref="CZ197:CZ203" si="208">$CZ$3</f>
        <v>283.48738729114024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-9.6633812063373625E-13</v>
      </c>
      <c r="DP197" s="17">
        <f>DO197*VLOOKUP('Données projet'!$B$14,Paramètres!$A$1:$I$89,3,0)*VLOOKUP('Données projet'!$B$14,Paramètres!$A$1:$I$89,5,0)</f>
        <v>-9.7986685432260874E-13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475.47920969424894</v>
      </c>
      <c r="DU197" s="59">
        <f t="shared" ref="DU197:DU203" si="209">$DU$3</f>
        <v>271.73544012419364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-9.6633812063373625E-13</v>
      </c>
      <c r="EK197" s="17">
        <f>EJ197*VLOOKUP('Données projet'!$B$15,Paramètres!$A$1:$I$89,3,0)*VLOOKUP('Données projet'!$B$15,Paramètres!$A$1:$I$89,5,0)</f>
        <v>-8.7434273154940449E-13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428.8489304403459</v>
      </c>
      <c r="EP197" s="59">
        <f t="shared" ref="EP197:EP203" si="210">$EP$3</f>
        <v>247.01165577562966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245.25496369542458</v>
      </c>
      <c r="FK197" s="59">
        <f t="shared" ref="FK197:FK203" si="211">$FK$3</f>
        <v>342.30266518164211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0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 t="e">
        <f>N198*VLOOKUP('Données projet'!$B$9,Paramètres!$A$1:$I$89,3,0)*VLOOKUP('Données projet'!$B$9,Paramètres!$A$1:$I$89,5,0)</f>
        <v>#N/A</v>
      </c>
      <c r="P198" s="13" t="e">
        <f t="shared" si="203"/>
        <v>#N/A</v>
      </c>
      <c r="Q198" s="20" t="e">
        <f t="shared" si="162"/>
        <v>#N/A</v>
      </c>
      <c r="R198" s="59" t="e">
        <f t="shared" si="191"/>
        <v>#N/A</v>
      </c>
      <c r="S198" s="59" t="e">
        <f ca="1">AVERAGE(OFFSET($R$3,0,0,'Données projet'!$E$9+1,1))-AVERAGE(OFFSET($H$3,0,0,'Données projet'!$E$9+1,1))</f>
        <v>#N/A</v>
      </c>
      <c r="T198" s="59" t="e">
        <f t="shared" si="204"/>
        <v>#N/A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 t="e">
        <f>EXP(-LN(2)/35)*Z197+(1-EXP(-LN(2)/35))/(LN(2)/35)*V198*W198*VLOOKUP('Données projet'!$B$9,Paramètres!$A$1:$I$89,3,0)*0.475*44/12</f>
        <v>#N/A</v>
      </c>
      <c r="AA198" s="21" t="e">
        <f>EXP(-LN(2)/25)*AA197+(1-EXP(-LN(2)/25))/(LN(2)/25)*Calculateur!V198*Calculateur!X198*VLOOKUP('Données projet'!$B$9,Paramètres!$A$1:$I$89,3,0)*0.475*44/12</f>
        <v>#N/A</v>
      </c>
      <c r="AB198" s="21" t="e">
        <f>EXP(-LN(2)/2)*AB197+(1-EXP(-LN(2)/2))/(LN(2)/2)*V198*Y198*VLOOKUP('Données projet'!$B$9,Paramètres!$A$1:$I$89,3,0)*0.475*44/12</f>
        <v>#N/A</v>
      </c>
      <c r="AC198" s="22" t="e">
        <f t="shared" si="163"/>
        <v>#N/A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-1.4897523215040567E-13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338.55719679154777</v>
      </c>
      <c r="AO198" s="59">
        <f t="shared" si="205"/>
        <v>371.26234252426531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-2.1636878955177963E-13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351.6178679548006</v>
      </c>
      <c r="BJ198" s="59">
        <f t="shared" si="206"/>
        <v>244.7141066773861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6.1538461538532374E-2</v>
      </c>
      <c r="BZ198" s="13">
        <f>BY198*VLOOKUP('Données projet'!$B$12,Paramètres!$A$1:$I$89,3,0)*VLOOKUP('Données projet'!$B$12,Paramètres!$A$1:$I$89,5,0)</f>
        <v>2.880000000003315E-2</v>
      </c>
      <c r="CA198" s="13">
        <f t="shared" si="170"/>
        <v>2.0057244427106876E-2</v>
      </c>
      <c r="CB198" s="20">
        <f t="shared" si="171"/>
        <v>8.5093034043935534E-2</v>
      </c>
      <c r="CC198" s="59">
        <f t="shared" si="195"/>
        <v>293.41842636737726</v>
      </c>
      <c r="CD198" s="59">
        <f ca="1">AVERAGE(OFFSET($CC$3,0,0,'Données projet'!$E$12+1,1))-AVERAGE(OFFSET($H$3,0,0,'Données projet'!$E$12+1,1))</f>
        <v>246.66630850723385</v>
      </c>
      <c r="CE198" s="59">
        <f t="shared" si="207"/>
        <v>145.34368562171613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1.1368683772161603E-13</v>
      </c>
      <c r="CU198" s="17">
        <f>CT198*VLOOKUP('Données projet'!$B$13,Paramètres!$A$1:$I$89,3,0)*VLOOKUP('Données projet'!$B$13,Paramètres!$A$1:$I$89,5,0)</f>
        <v>8.8675733422860506E-14</v>
      </c>
      <c r="CV198" s="13">
        <f t="shared" si="173"/>
        <v>1.3509285393066301E-12</v>
      </c>
      <c r="CW198" s="20">
        <f t="shared" si="174"/>
        <v>2.5073107750038623E-12</v>
      </c>
      <c r="CX198" s="59">
        <f t="shared" si="196"/>
        <v>293.33333333333582</v>
      </c>
      <c r="CY198" s="59">
        <f ca="1">AVERAGE(OFFSET($CX$3,0,0,'Données projet'!$E$13+1,1))-AVERAGE(OFFSET($H$3,0,0,'Données projet'!$E$13+1,1))</f>
        <v>292.57482726862594</v>
      </c>
      <c r="CZ198" s="59">
        <f t="shared" si="208"/>
        <v>283.48738729114024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-9.6633812063373625E-13</v>
      </c>
      <c r="DP198" s="17">
        <f>DO198*VLOOKUP('Données projet'!$B$14,Paramètres!$A$1:$I$89,3,0)*VLOOKUP('Données projet'!$B$14,Paramètres!$A$1:$I$89,5,0)</f>
        <v>-9.7986685432260874E-13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475.47920969424894</v>
      </c>
      <c r="DU198" s="59">
        <f t="shared" si="209"/>
        <v>271.73544012419364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-9.6633812063373625E-13</v>
      </c>
      <c r="EK198" s="17">
        <f>EJ198*VLOOKUP('Données projet'!$B$15,Paramètres!$A$1:$I$89,3,0)*VLOOKUP('Données projet'!$B$15,Paramètres!$A$1:$I$89,5,0)</f>
        <v>-8.7434273154940449E-13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428.8489304403459</v>
      </c>
      <c r="EP198" s="59">
        <f t="shared" si="210"/>
        <v>247.01165577562966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245.25496369542458</v>
      </c>
      <c r="FK198" s="59">
        <f t="shared" si="211"/>
        <v>342.30266518164211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0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 t="e">
        <f>N199*VLOOKUP('Données projet'!$B$9,Paramètres!$A$1:$I$89,3,0)*VLOOKUP('Données projet'!$B$9,Paramètres!$A$1:$I$89,5,0)</f>
        <v>#N/A</v>
      </c>
      <c r="P199" s="13" t="e">
        <f t="shared" si="203"/>
        <v>#N/A</v>
      </c>
      <c r="Q199" s="20" t="e">
        <f t="shared" si="162"/>
        <v>#N/A</v>
      </c>
      <c r="R199" s="59" t="e">
        <f t="shared" si="191"/>
        <v>#N/A</v>
      </c>
      <c r="S199" s="59" t="e">
        <f ca="1">AVERAGE(OFFSET($R$3,0,0,'Données projet'!$E$9+1,1))-AVERAGE(OFFSET($H$3,0,0,'Données projet'!$E$9+1,1))</f>
        <v>#N/A</v>
      </c>
      <c r="T199" s="59" t="e">
        <f t="shared" si="204"/>
        <v>#N/A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 t="e">
        <f>EXP(-LN(2)/35)*Z198+(1-EXP(-LN(2)/35))/(LN(2)/35)*V199*W199*VLOOKUP('Données projet'!$B$9,Paramètres!$A$1:$I$89,3,0)*0.475*44/12</f>
        <v>#N/A</v>
      </c>
      <c r="AA199" s="21" t="e">
        <f>EXP(-LN(2)/25)*AA198+(1-EXP(-LN(2)/25))/(LN(2)/25)*Calculateur!V199*Calculateur!X199*VLOOKUP('Données projet'!$B$9,Paramètres!$A$1:$I$89,3,0)*0.475*44/12</f>
        <v>#N/A</v>
      </c>
      <c r="AB199" s="21" t="e">
        <f>EXP(-LN(2)/2)*AB198+(1-EXP(-LN(2)/2))/(LN(2)/2)*V199*Y199*VLOOKUP('Données projet'!$B$9,Paramètres!$A$1:$I$89,3,0)*0.475*44/12</f>
        <v>#N/A</v>
      </c>
      <c r="AC199" s="22" t="e">
        <f t="shared" si="163"/>
        <v>#N/A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-1.4897523215040567E-13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338.55719679154777</v>
      </c>
      <c r="AO199" s="59">
        <f t="shared" si="205"/>
        <v>371.26234252426531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-2.1636878955177963E-13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351.6178679548006</v>
      </c>
      <c r="BJ199" s="59">
        <f t="shared" si="206"/>
        <v>244.7141066773861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6.1538461538532374E-2</v>
      </c>
      <c r="BZ199" s="13">
        <f>BY199*VLOOKUP('Données projet'!$B$12,Paramètres!$A$1:$I$89,3,0)*VLOOKUP('Données projet'!$B$12,Paramètres!$A$1:$I$89,5,0)</f>
        <v>2.880000000003315E-2</v>
      </c>
      <c r="CA199" s="13">
        <f t="shared" si="170"/>
        <v>2.0057244427106876E-2</v>
      </c>
      <c r="CB199" s="20">
        <f t="shared" si="171"/>
        <v>8.5093034043935534E-2</v>
      </c>
      <c r="CC199" s="59">
        <f t="shared" si="195"/>
        <v>293.41842636737726</v>
      </c>
      <c r="CD199" s="59">
        <f ca="1">AVERAGE(OFFSET($CC$3,0,0,'Données projet'!$E$12+1,1))-AVERAGE(OFFSET($H$3,0,0,'Données projet'!$E$12+1,1))</f>
        <v>246.66630850723385</v>
      </c>
      <c r="CE199" s="59">
        <f t="shared" si="207"/>
        <v>145.34368562171613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1.1368683772161603E-13</v>
      </c>
      <c r="CU199" s="17">
        <f>CT199*VLOOKUP('Données projet'!$B$13,Paramètres!$A$1:$I$89,3,0)*VLOOKUP('Données projet'!$B$13,Paramètres!$A$1:$I$89,5,0)</f>
        <v>8.8675733422860506E-14</v>
      </c>
      <c r="CV199" s="13">
        <f t="shared" si="173"/>
        <v>1.3509285393066301E-12</v>
      </c>
      <c r="CW199" s="20">
        <f t="shared" si="174"/>
        <v>2.5073107750038623E-12</v>
      </c>
      <c r="CX199" s="59">
        <f t="shared" si="196"/>
        <v>293.33333333333582</v>
      </c>
      <c r="CY199" s="59">
        <f ca="1">AVERAGE(OFFSET($CX$3,0,0,'Données projet'!$E$13+1,1))-AVERAGE(OFFSET($H$3,0,0,'Données projet'!$E$13+1,1))</f>
        <v>292.57482726862594</v>
      </c>
      <c r="CZ199" s="59">
        <f t="shared" si="208"/>
        <v>283.48738729114024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-9.6633812063373625E-13</v>
      </c>
      <c r="DP199" s="17">
        <f>DO199*VLOOKUP('Données projet'!$B$14,Paramètres!$A$1:$I$89,3,0)*VLOOKUP('Données projet'!$B$14,Paramètres!$A$1:$I$89,5,0)</f>
        <v>-9.7986685432260874E-13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475.47920969424894</v>
      </c>
      <c r="DU199" s="59">
        <f t="shared" si="209"/>
        <v>271.73544012419364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-9.6633812063373625E-13</v>
      </c>
      <c r="EK199" s="17">
        <f>EJ199*VLOOKUP('Données projet'!$B$15,Paramètres!$A$1:$I$89,3,0)*VLOOKUP('Données projet'!$B$15,Paramètres!$A$1:$I$89,5,0)</f>
        <v>-8.7434273154940449E-13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428.8489304403459</v>
      </c>
      <c r="EP199" s="59">
        <f t="shared" si="210"/>
        <v>247.01165577562966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245.25496369542458</v>
      </c>
      <c r="FK199" s="59">
        <f t="shared" si="211"/>
        <v>342.30266518164211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0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 t="e">
        <f>N200*VLOOKUP('Données projet'!$B$9,Paramètres!$A$1:$I$89,3,0)*VLOOKUP('Données projet'!$B$9,Paramètres!$A$1:$I$89,5,0)</f>
        <v>#N/A</v>
      </c>
      <c r="P200" s="13" t="e">
        <f t="shared" si="203"/>
        <v>#N/A</v>
      </c>
      <c r="Q200" s="20" t="e">
        <f t="shared" si="162"/>
        <v>#N/A</v>
      </c>
      <c r="R200" s="59" t="e">
        <f t="shared" si="191"/>
        <v>#N/A</v>
      </c>
      <c r="S200" s="59" t="e">
        <f ca="1">AVERAGE(OFFSET($R$3,0,0,'Données projet'!$E$9+1,1))-AVERAGE(OFFSET($H$3,0,0,'Données projet'!$E$9+1,1))</f>
        <v>#N/A</v>
      </c>
      <c r="T200" s="59" t="e">
        <f t="shared" si="204"/>
        <v>#N/A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 t="e">
        <f>EXP(-LN(2)/35)*Z199+(1-EXP(-LN(2)/35))/(LN(2)/35)*V200*W200*VLOOKUP('Données projet'!$B$9,Paramètres!$A$1:$I$89,3,0)*0.475*44/12</f>
        <v>#N/A</v>
      </c>
      <c r="AA200" s="21" t="e">
        <f>EXP(-LN(2)/25)*AA199+(1-EXP(-LN(2)/25))/(LN(2)/25)*Calculateur!V200*Calculateur!X200*VLOOKUP('Données projet'!$B$9,Paramètres!$A$1:$I$89,3,0)*0.475*44/12</f>
        <v>#N/A</v>
      </c>
      <c r="AB200" s="21" t="e">
        <f>EXP(-LN(2)/2)*AB199+(1-EXP(-LN(2)/2))/(LN(2)/2)*V200*Y200*VLOOKUP('Données projet'!$B$9,Paramètres!$A$1:$I$89,3,0)*0.475*44/12</f>
        <v>#N/A</v>
      </c>
      <c r="AC200" s="22" t="e">
        <f t="shared" si="163"/>
        <v>#N/A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-1.4897523215040567E-13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338.55719679154777</v>
      </c>
      <c r="AO200" s="59">
        <f t="shared" si="205"/>
        <v>371.26234252426531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-2.1636878955177963E-13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351.6178679548006</v>
      </c>
      <c r="BJ200" s="59">
        <f t="shared" si="206"/>
        <v>244.7141066773861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6.1538461538532374E-2</v>
      </c>
      <c r="BZ200" s="13">
        <f>BY200*VLOOKUP('Données projet'!$B$12,Paramètres!$A$1:$I$89,3,0)*VLOOKUP('Données projet'!$B$12,Paramètres!$A$1:$I$89,5,0)</f>
        <v>2.880000000003315E-2</v>
      </c>
      <c r="CA200" s="13">
        <f t="shared" si="170"/>
        <v>2.0057244427106876E-2</v>
      </c>
      <c r="CB200" s="20">
        <f t="shared" si="171"/>
        <v>8.5093034043935534E-2</v>
      </c>
      <c r="CC200" s="59">
        <f t="shared" si="195"/>
        <v>293.41842636737726</v>
      </c>
      <c r="CD200" s="59">
        <f ca="1">AVERAGE(OFFSET($CC$3,0,0,'Données projet'!$E$12+1,1))-AVERAGE(OFFSET($H$3,0,0,'Données projet'!$E$12+1,1))</f>
        <v>246.66630850723385</v>
      </c>
      <c r="CE200" s="59">
        <f t="shared" si="207"/>
        <v>145.34368562171613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1.1368683772161603E-13</v>
      </c>
      <c r="CU200" s="17">
        <f>CT200*VLOOKUP('Données projet'!$B$13,Paramètres!$A$1:$I$89,3,0)*VLOOKUP('Données projet'!$B$13,Paramètres!$A$1:$I$89,5,0)</f>
        <v>8.8675733422860506E-14</v>
      </c>
      <c r="CV200" s="13">
        <f t="shared" si="173"/>
        <v>1.3509285393066301E-12</v>
      </c>
      <c r="CW200" s="20">
        <f t="shared" si="174"/>
        <v>2.5073107750038623E-12</v>
      </c>
      <c r="CX200" s="59">
        <f t="shared" si="196"/>
        <v>293.33333333333582</v>
      </c>
      <c r="CY200" s="59">
        <f ca="1">AVERAGE(OFFSET($CX$3,0,0,'Données projet'!$E$13+1,1))-AVERAGE(OFFSET($H$3,0,0,'Données projet'!$E$13+1,1))</f>
        <v>292.57482726862594</v>
      </c>
      <c r="CZ200" s="59">
        <f t="shared" si="208"/>
        <v>283.48738729114024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-9.6633812063373625E-13</v>
      </c>
      <c r="DP200" s="17">
        <f>DO200*VLOOKUP('Données projet'!$B$14,Paramètres!$A$1:$I$89,3,0)*VLOOKUP('Données projet'!$B$14,Paramètres!$A$1:$I$89,5,0)</f>
        <v>-9.7986685432260874E-13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475.47920969424894</v>
      </c>
      <c r="DU200" s="59">
        <f t="shared" si="209"/>
        <v>271.73544012419364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-9.6633812063373625E-13</v>
      </c>
      <c r="EK200" s="17">
        <f>EJ200*VLOOKUP('Données projet'!$B$15,Paramètres!$A$1:$I$89,3,0)*VLOOKUP('Données projet'!$B$15,Paramètres!$A$1:$I$89,5,0)</f>
        <v>-8.7434273154940449E-13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428.8489304403459</v>
      </c>
      <c r="EP200" s="59">
        <f t="shared" si="210"/>
        <v>247.01165577562966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245.25496369542458</v>
      </c>
      <c r="FK200" s="59">
        <f t="shared" si="211"/>
        <v>342.30266518164211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0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 t="e">
        <f>N201*VLOOKUP('Données projet'!$B$9,Paramètres!$A$1:$I$89,3,0)*VLOOKUP('Données projet'!$B$9,Paramètres!$A$1:$I$89,5,0)</f>
        <v>#N/A</v>
      </c>
      <c r="P201" s="13" t="e">
        <f t="shared" si="203"/>
        <v>#N/A</v>
      </c>
      <c r="Q201" s="20" t="e">
        <f t="shared" si="162"/>
        <v>#N/A</v>
      </c>
      <c r="R201" s="59" t="e">
        <f t="shared" si="191"/>
        <v>#N/A</v>
      </c>
      <c r="S201" s="59" t="e">
        <f ca="1">AVERAGE(OFFSET($R$3,0,0,'Données projet'!$E$9+1,1))-AVERAGE(OFFSET($H$3,0,0,'Données projet'!$E$9+1,1))</f>
        <v>#N/A</v>
      </c>
      <c r="T201" s="59" t="e">
        <f t="shared" si="204"/>
        <v>#N/A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 t="e">
        <f>EXP(-LN(2)/35)*Z200+(1-EXP(-LN(2)/35))/(LN(2)/35)*V201*W201*VLOOKUP('Données projet'!$B$9,Paramètres!$A$1:$I$89,3,0)*0.475*44/12</f>
        <v>#N/A</v>
      </c>
      <c r="AA201" s="21" t="e">
        <f>EXP(-LN(2)/25)*AA200+(1-EXP(-LN(2)/25))/(LN(2)/25)*Calculateur!V201*Calculateur!X201*VLOOKUP('Données projet'!$B$9,Paramètres!$A$1:$I$89,3,0)*0.475*44/12</f>
        <v>#N/A</v>
      </c>
      <c r="AB201" s="21" t="e">
        <f>EXP(-LN(2)/2)*AB200+(1-EXP(-LN(2)/2))/(LN(2)/2)*V201*Y201*VLOOKUP('Données projet'!$B$9,Paramètres!$A$1:$I$89,3,0)*0.475*44/12</f>
        <v>#N/A</v>
      </c>
      <c r="AC201" s="22" t="e">
        <f t="shared" si="163"/>
        <v>#N/A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-1.4897523215040567E-13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338.55719679154777</v>
      </c>
      <c r="AO201" s="59">
        <f t="shared" si="205"/>
        <v>371.26234252426531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-2.1636878955177963E-13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351.6178679548006</v>
      </c>
      <c r="BJ201" s="59">
        <f t="shared" si="206"/>
        <v>244.7141066773861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6.1538461538532374E-2</v>
      </c>
      <c r="BZ201" s="13">
        <f>BY201*VLOOKUP('Données projet'!$B$12,Paramètres!$A$1:$I$89,3,0)*VLOOKUP('Données projet'!$B$12,Paramètres!$A$1:$I$89,5,0)</f>
        <v>2.880000000003315E-2</v>
      </c>
      <c r="CA201" s="13">
        <f t="shared" si="170"/>
        <v>2.0057244427106876E-2</v>
      </c>
      <c r="CB201" s="20">
        <f t="shared" si="171"/>
        <v>8.5093034043935534E-2</v>
      </c>
      <c r="CC201" s="59">
        <f t="shared" si="195"/>
        <v>293.41842636737726</v>
      </c>
      <c r="CD201" s="59">
        <f ca="1">AVERAGE(OFFSET($CC$3,0,0,'Données projet'!$E$12+1,1))-AVERAGE(OFFSET($H$3,0,0,'Données projet'!$E$12+1,1))</f>
        <v>246.66630850723385</v>
      </c>
      <c r="CE201" s="59">
        <f t="shared" si="207"/>
        <v>145.34368562171613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1.1368683772161603E-13</v>
      </c>
      <c r="CU201" s="17">
        <f>CT201*VLOOKUP('Données projet'!$B$13,Paramètres!$A$1:$I$89,3,0)*VLOOKUP('Données projet'!$B$13,Paramètres!$A$1:$I$89,5,0)</f>
        <v>8.8675733422860506E-14</v>
      </c>
      <c r="CV201" s="13">
        <f t="shared" si="173"/>
        <v>1.3509285393066301E-12</v>
      </c>
      <c r="CW201" s="20">
        <f t="shared" si="174"/>
        <v>2.5073107750038623E-12</v>
      </c>
      <c r="CX201" s="59">
        <f t="shared" si="196"/>
        <v>293.33333333333582</v>
      </c>
      <c r="CY201" s="59">
        <f ca="1">AVERAGE(OFFSET($CX$3,0,0,'Données projet'!$E$13+1,1))-AVERAGE(OFFSET($H$3,0,0,'Données projet'!$E$13+1,1))</f>
        <v>292.57482726862594</v>
      </c>
      <c r="CZ201" s="59">
        <f t="shared" si="208"/>
        <v>283.48738729114024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-9.6633812063373625E-13</v>
      </c>
      <c r="DP201" s="17">
        <f>DO201*VLOOKUP('Données projet'!$B$14,Paramètres!$A$1:$I$89,3,0)*VLOOKUP('Données projet'!$B$14,Paramètres!$A$1:$I$89,5,0)</f>
        <v>-9.7986685432260874E-13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475.47920969424894</v>
      </c>
      <c r="DU201" s="59">
        <f t="shared" si="209"/>
        <v>271.73544012419364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-9.6633812063373625E-13</v>
      </c>
      <c r="EK201" s="17">
        <f>EJ201*VLOOKUP('Données projet'!$B$15,Paramètres!$A$1:$I$89,3,0)*VLOOKUP('Données projet'!$B$15,Paramètres!$A$1:$I$89,5,0)</f>
        <v>-8.7434273154940449E-13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428.8489304403459</v>
      </c>
      <c r="EP201" s="59">
        <f t="shared" si="210"/>
        <v>247.01165577562966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245.25496369542458</v>
      </c>
      <c r="FK201" s="59">
        <f t="shared" si="211"/>
        <v>342.30266518164211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0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 t="e">
        <f>N202*VLOOKUP('Données projet'!$B$9,Paramètres!$A$1:$I$89,3,0)*VLOOKUP('Données projet'!$B$9,Paramètres!$A$1:$I$89,5,0)</f>
        <v>#N/A</v>
      </c>
      <c r="P202" s="13" t="e">
        <f t="shared" si="203"/>
        <v>#N/A</v>
      </c>
      <c r="Q202" s="20" t="e">
        <f t="shared" si="162"/>
        <v>#N/A</v>
      </c>
      <c r="R202" s="59" t="e">
        <f t="shared" si="191"/>
        <v>#N/A</v>
      </c>
      <c r="S202" s="59" t="e">
        <f ca="1">AVERAGE(OFFSET($R$3,0,0,'Données projet'!$E$9+1,1))-AVERAGE(OFFSET($H$3,0,0,'Données projet'!$E$9+1,1))</f>
        <v>#N/A</v>
      </c>
      <c r="T202" s="59" t="e">
        <f t="shared" si="204"/>
        <v>#N/A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 t="e">
        <f>EXP(-LN(2)/35)*Z201+(1-EXP(-LN(2)/35))/(LN(2)/35)*V202*W202*VLOOKUP('Données projet'!$B$9,Paramètres!$A$1:$I$89,3,0)*0.475*44/12</f>
        <v>#N/A</v>
      </c>
      <c r="AA202" s="21" t="e">
        <f>EXP(-LN(2)/25)*AA201+(1-EXP(-LN(2)/25))/(LN(2)/25)*Calculateur!V202*Calculateur!X202*VLOOKUP('Données projet'!$B$9,Paramètres!$A$1:$I$89,3,0)*0.475*44/12</f>
        <v>#N/A</v>
      </c>
      <c r="AB202" s="21" t="e">
        <f>EXP(-LN(2)/2)*AB201+(1-EXP(-LN(2)/2))/(LN(2)/2)*V202*Y202*VLOOKUP('Données projet'!$B$9,Paramètres!$A$1:$I$89,3,0)*0.475*44/12</f>
        <v>#N/A</v>
      </c>
      <c r="AC202" s="22" t="e">
        <f t="shared" si="163"/>
        <v>#N/A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-1.4897523215040567E-13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338.55719679154777</v>
      </c>
      <c r="AO202" s="59">
        <f t="shared" si="205"/>
        <v>371.26234252426531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-2.1636878955177963E-13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351.6178679548006</v>
      </c>
      <c r="BJ202" s="59">
        <f t="shared" si="206"/>
        <v>244.7141066773861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6.1538461538532374E-2</v>
      </c>
      <c r="BZ202" s="13">
        <f>BY202*VLOOKUP('Données projet'!$B$12,Paramètres!$A$1:$I$89,3,0)*VLOOKUP('Données projet'!$B$12,Paramètres!$A$1:$I$89,5,0)</f>
        <v>2.880000000003315E-2</v>
      </c>
      <c r="CA202" s="13">
        <f t="shared" si="170"/>
        <v>2.0057244427106876E-2</v>
      </c>
      <c r="CB202" s="20">
        <f t="shared" si="171"/>
        <v>8.5093034043935534E-2</v>
      </c>
      <c r="CC202" s="59">
        <f t="shared" si="195"/>
        <v>293.41842636737726</v>
      </c>
      <c r="CD202" s="59">
        <f ca="1">AVERAGE(OFFSET($CC$3,0,0,'Données projet'!$E$12+1,1))-AVERAGE(OFFSET($H$3,0,0,'Données projet'!$E$12+1,1))</f>
        <v>246.66630850723385</v>
      </c>
      <c r="CE202" s="59">
        <f t="shared" si="207"/>
        <v>145.34368562171613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1.1368683772161603E-13</v>
      </c>
      <c r="CU202" s="17">
        <f>CT202*VLOOKUP('Données projet'!$B$13,Paramètres!$A$1:$I$89,3,0)*VLOOKUP('Données projet'!$B$13,Paramètres!$A$1:$I$89,5,0)</f>
        <v>8.8675733422860506E-14</v>
      </c>
      <c r="CV202" s="13">
        <f t="shared" si="173"/>
        <v>1.3509285393066301E-12</v>
      </c>
      <c r="CW202" s="20">
        <f t="shared" si="174"/>
        <v>2.5073107750038623E-12</v>
      </c>
      <c r="CX202" s="59">
        <f t="shared" si="196"/>
        <v>293.33333333333582</v>
      </c>
      <c r="CY202" s="59">
        <f ca="1">AVERAGE(OFFSET($CX$3,0,0,'Données projet'!$E$13+1,1))-AVERAGE(OFFSET($H$3,0,0,'Données projet'!$E$13+1,1))</f>
        <v>292.57482726862594</v>
      </c>
      <c r="CZ202" s="59">
        <f t="shared" si="208"/>
        <v>283.48738729114024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-9.6633812063373625E-13</v>
      </c>
      <c r="DP202" s="17">
        <f>DO202*VLOOKUP('Données projet'!$B$14,Paramètres!$A$1:$I$89,3,0)*VLOOKUP('Données projet'!$B$14,Paramètres!$A$1:$I$89,5,0)</f>
        <v>-9.7986685432260874E-13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475.47920969424894</v>
      </c>
      <c r="DU202" s="59">
        <f t="shared" si="209"/>
        <v>271.73544012419364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-9.6633812063373625E-13</v>
      </c>
      <c r="EK202" s="17">
        <f>EJ202*VLOOKUP('Données projet'!$B$15,Paramètres!$A$1:$I$89,3,0)*VLOOKUP('Données projet'!$B$15,Paramètres!$A$1:$I$89,5,0)</f>
        <v>-8.7434273154940449E-13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428.8489304403459</v>
      </c>
      <c r="EP202" s="59">
        <f t="shared" si="210"/>
        <v>247.01165577562966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245.25496369542458</v>
      </c>
      <c r="FK202" s="59">
        <f t="shared" si="211"/>
        <v>342.30266518164211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0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 t="e">
        <f>N203*VLOOKUP('Données projet'!$B$9,Paramètres!$A$1:$I$89,3,0)*VLOOKUP('Données projet'!$B$9,Paramètres!$A$1:$I$89,5,0)</f>
        <v>#N/A</v>
      </c>
      <c r="P203" s="13" t="e">
        <f t="shared" si="203"/>
        <v>#N/A</v>
      </c>
      <c r="Q203" s="20" t="e">
        <f t="shared" si="162"/>
        <v>#N/A</v>
      </c>
      <c r="R203" s="59" t="e">
        <f t="shared" si="191"/>
        <v>#N/A</v>
      </c>
      <c r="S203" s="59" t="e">
        <f ca="1">AVERAGE(OFFSET($R$3,0,0,'Données projet'!$E$9+1,1))-AVERAGE(OFFSET($H$3,0,0,'Données projet'!$E$9+1,1))</f>
        <v>#N/A</v>
      </c>
      <c r="T203" s="59" t="e">
        <f t="shared" si="204"/>
        <v>#N/A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 t="e">
        <f>EXP(-LN(2)/35)*Z202+(1-EXP(-LN(2)/35))/(LN(2)/35)*V203*W203*VLOOKUP('Données projet'!$B$9,Paramètres!$A$1:$I$89,3,0)*0.475*44/12</f>
        <v>#N/A</v>
      </c>
      <c r="AA203" s="21" t="e">
        <f>EXP(-LN(2)/25)*AA202+(1-EXP(-LN(2)/25))/(LN(2)/25)*Calculateur!V203*Calculateur!X203*VLOOKUP('Données projet'!$B$9,Paramètres!$A$1:$I$89,3,0)*0.475*44/12</f>
        <v>#N/A</v>
      </c>
      <c r="AB203" s="21" t="e">
        <f>EXP(-LN(2)/2)*AB202+(1-EXP(-LN(2)/2))/(LN(2)/2)*V203*Y203*VLOOKUP('Données projet'!$B$9,Paramètres!$A$1:$I$89,3,0)*0.475*44/12</f>
        <v>#N/A</v>
      </c>
      <c r="AC203" s="22" t="e">
        <f t="shared" si="163"/>
        <v>#N/A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-1.4897523215040567E-13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338.55719679154777</v>
      </c>
      <c r="AO203" s="59">
        <f t="shared" si="205"/>
        <v>371.26234252426531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-2.1636878955177963E-13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351.6178679548006</v>
      </c>
      <c r="BJ203" s="59">
        <f t="shared" si="206"/>
        <v>244.7141066773861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6.1538461538532374E-2</v>
      </c>
      <c r="BZ203" s="13">
        <f>BY203*VLOOKUP('Données projet'!$B$12,Paramètres!$A$1:$I$89,3,0)*VLOOKUP('Données projet'!$B$12,Paramètres!$A$1:$I$89,5,0)</f>
        <v>2.880000000003315E-2</v>
      </c>
      <c r="CA203" s="13">
        <f t="shared" si="170"/>
        <v>2.0057244427106876E-2</v>
      </c>
      <c r="CB203" s="20">
        <f t="shared" si="171"/>
        <v>8.5093034043935534E-2</v>
      </c>
      <c r="CC203" s="59">
        <f t="shared" si="195"/>
        <v>293.41842636737726</v>
      </c>
      <c r="CD203" s="59">
        <f ca="1">AVERAGE(OFFSET($CC$3,0,0,'Données projet'!$E$12+1,1))-AVERAGE(OFFSET($H$3,0,0,'Données projet'!$E$12+1,1))</f>
        <v>246.66630850723385</v>
      </c>
      <c r="CE203" s="59">
        <f t="shared" si="207"/>
        <v>145.34368562171613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1.1368683772161603E-13</v>
      </c>
      <c r="CU203" s="17">
        <f>CT203*VLOOKUP('Données projet'!$B$13,Paramètres!$A$1:$I$89,3,0)*VLOOKUP('Données projet'!$B$13,Paramètres!$A$1:$I$89,5,0)</f>
        <v>8.8675733422860506E-14</v>
      </c>
      <c r="CV203" s="13">
        <f t="shared" si="173"/>
        <v>1.3509285393066301E-12</v>
      </c>
      <c r="CW203" s="20">
        <f t="shared" si="174"/>
        <v>2.5073107750038623E-12</v>
      </c>
      <c r="CX203" s="59">
        <f t="shared" si="196"/>
        <v>293.33333333333582</v>
      </c>
      <c r="CY203" s="59">
        <f ca="1">AVERAGE(OFFSET($CX$3,0,0,'Données projet'!$E$13+1,1))-AVERAGE(OFFSET($H$3,0,0,'Données projet'!$E$13+1,1))</f>
        <v>292.57482726862594</v>
      </c>
      <c r="CZ203" s="59">
        <f t="shared" si="208"/>
        <v>283.48738729114024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-9.6633812063373625E-13</v>
      </c>
      <c r="DP203" s="17">
        <f>DO203*VLOOKUP('Données projet'!$B$14,Paramètres!$A$1:$I$89,3,0)*VLOOKUP('Données projet'!$B$14,Paramètres!$A$1:$I$89,5,0)</f>
        <v>-9.7986685432260874E-13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475.47920969424894</v>
      </c>
      <c r="DU203" s="59">
        <f t="shared" si="209"/>
        <v>271.73544012419364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-9.6633812063373625E-13</v>
      </c>
      <c r="EK203" s="17">
        <f>EJ203*VLOOKUP('Données projet'!$B$15,Paramètres!$A$1:$I$89,3,0)*VLOOKUP('Données projet'!$B$15,Paramètres!$A$1:$I$89,5,0)</f>
        <v>-8.7434273154940449E-13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428.8489304403459</v>
      </c>
      <c r="EP203" s="59">
        <f t="shared" si="210"/>
        <v>247.01165577562966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245.25496369542458</v>
      </c>
      <c r="FK203" s="59">
        <f t="shared" si="211"/>
        <v>342.30266518164211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0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189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189</v>
      </c>
      <c r="BA204" s="81" t="s">
        <v>189</v>
      </c>
      <c r="BV204" s="81" t="s">
        <v>189</v>
      </c>
      <c r="CQ204" s="81" t="s">
        <v>189</v>
      </c>
      <c r="DL204" s="81" t="s">
        <v>189</v>
      </c>
      <c r="EG204" s="81" t="s">
        <v>189</v>
      </c>
      <c r="FB204" s="81" t="s">
        <v>189</v>
      </c>
      <c r="FW204" s="81" t="s">
        <v>189</v>
      </c>
      <c r="GR204" s="81" t="s">
        <v>189</v>
      </c>
    </row>
    <row r="205" spans="1:218" ht="15" thickBot="1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 t="e">
        <f>EXP(LN('Données projet'!B36)/'Données projet'!A36)</f>
        <v>#NUM!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1.2721747796233518</v>
      </c>
      <c r="BA205" s="82">
        <f>EXP(LN('Données projet'!B88)/'Données projet'!A88)</f>
        <v>1.2649598798623627</v>
      </c>
      <c r="BV205" s="82">
        <f>EXP(LN('Données projet'!B114)/'Données projet'!A114)</f>
        <v>1.167092777711815</v>
      </c>
      <c r="CQ205" s="82">
        <f>EXP(LN('Données projet'!B140)/'Données projet'!A140)</f>
        <v>1.2788040393997409</v>
      </c>
      <c r="DL205" s="82">
        <f>EXP(LN('Données projet'!B166)/'Données projet'!A166)</f>
        <v>1.2054868146447177</v>
      </c>
      <c r="EG205" s="82">
        <f>EXP(LN('Données projet'!B192)/'Données projet'!A192)</f>
        <v>1.2054868146447177</v>
      </c>
      <c r="FB205" s="82">
        <f>EXP(LN('Données projet'!B218)/'Données projet'!A218)</f>
        <v>1.8556007362580844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workbookViewId="0">
      <selection activeCell="H63" sqref="A59:H63"/>
    </sheetView>
  </sheetViews>
  <sheetFormatPr defaultColWidth="11.42578125" defaultRowHeight="14.4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3.9" thickBot="1">
      <c r="A1" s="111" t="s">
        <v>190</v>
      </c>
      <c r="B1" s="112" t="s">
        <v>191</v>
      </c>
      <c r="C1" s="113" t="s">
        <v>192</v>
      </c>
      <c r="D1" s="112" t="s">
        <v>193</v>
      </c>
      <c r="E1" s="113" t="s">
        <v>194</v>
      </c>
      <c r="F1" s="113" t="s">
        <v>193</v>
      </c>
      <c r="G1" s="113" t="s">
        <v>195</v>
      </c>
      <c r="H1" s="113" t="s">
        <v>193</v>
      </c>
      <c r="I1" s="114" t="s">
        <v>196</v>
      </c>
      <c r="J1" s="78"/>
      <c r="K1" s="78"/>
      <c r="L1" s="78"/>
      <c r="M1" s="78"/>
      <c r="N1" s="78"/>
    </row>
    <row r="2" spans="1:16">
      <c r="A2" s="115" t="s">
        <v>197</v>
      </c>
      <c r="B2" s="116" t="s">
        <v>198</v>
      </c>
      <c r="C2" s="117">
        <v>0.62</v>
      </c>
      <c r="D2" s="117" t="s">
        <v>199</v>
      </c>
      <c r="E2" s="117">
        <v>1.56</v>
      </c>
      <c r="F2" s="117" t="s">
        <v>200</v>
      </c>
      <c r="G2" s="118">
        <v>0.43</v>
      </c>
      <c r="H2" s="119" t="s">
        <v>201</v>
      </c>
      <c r="I2" s="120">
        <v>0.25</v>
      </c>
      <c r="J2" s="78"/>
      <c r="K2" s="78"/>
      <c r="L2" s="78"/>
      <c r="M2" s="78"/>
      <c r="N2" s="78"/>
      <c r="O2" s="282" t="s">
        <v>202</v>
      </c>
      <c r="P2" s="121">
        <v>0</v>
      </c>
    </row>
    <row r="3" spans="1:16" ht="15" thickBot="1">
      <c r="A3" s="122" t="s">
        <v>203</v>
      </c>
      <c r="B3" s="123" t="s">
        <v>204</v>
      </c>
      <c r="C3" s="124">
        <v>0.64</v>
      </c>
      <c r="D3" s="124" t="s">
        <v>199</v>
      </c>
      <c r="E3" s="124">
        <v>1.56</v>
      </c>
      <c r="F3" s="125" t="s">
        <v>200</v>
      </c>
      <c r="G3" s="126">
        <v>0.43</v>
      </c>
      <c r="H3" s="124" t="s">
        <v>201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>
      <c r="A4" s="122" t="s">
        <v>205</v>
      </c>
      <c r="B4" s="123" t="s">
        <v>206</v>
      </c>
      <c r="C4" s="124">
        <v>0.42</v>
      </c>
      <c r="D4" s="124" t="s">
        <v>199</v>
      </c>
      <c r="E4" s="124">
        <v>1.56</v>
      </c>
      <c r="F4" s="125" t="s">
        <v>200</v>
      </c>
      <c r="G4" s="126">
        <v>0.43</v>
      </c>
      <c r="H4" s="124" t="s">
        <v>201</v>
      </c>
      <c r="I4" s="127">
        <v>0.25</v>
      </c>
      <c r="J4" s="78"/>
      <c r="K4" s="78"/>
      <c r="L4" s="78"/>
      <c r="M4" s="78"/>
      <c r="N4" s="78"/>
    </row>
    <row r="5" spans="1:16">
      <c r="A5" s="122" t="s">
        <v>207</v>
      </c>
      <c r="B5" s="123" t="s">
        <v>208</v>
      </c>
      <c r="C5" s="124">
        <v>0.42</v>
      </c>
      <c r="D5" s="124" t="s">
        <v>199</v>
      </c>
      <c r="E5" s="124">
        <v>1.56</v>
      </c>
      <c r="F5" s="125" t="s">
        <v>200</v>
      </c>
      <c r="G5" s="126">
        <v>0.43</v>
      </c>
      <c r="H5" s="124" t="s">
        <v>201</v>
      </c>
      <c r="I5" s="127">
        <v>0.25</v>
      </c>
      <c r="J5" s="78"/>
      <c r="K5" s="78"/>
      <c r="L5" s="78"/>
      <c r="M5" s="78"/>
      <c r="N5" s="78"/>
      <c r="O5" s="282" t="s">
        <v>209</v>
      </c>
      <c r="P5" s="121">
        <v>0</v>
      </c>
    </row>
    <row r="6" spans="1:16">
      <c r="A6" s="122" t="s">
        <v>210</v>
      </c>
      <c r="B6" s="123" t="s">
        <v>211</v>
      </c>
      <c r="C6" s="124">
        <v>0.42</v>
      </c>
      <c r="D6" s="124" t="s">
        <v>199</v>
      </c>
      <c r="E6" s="124">
        <v>1.56</v>
      </c>
      <c r="F6" s="125" t="s">
        <v>200</v>
      </c>
      <c r="G6" s="126">
        <v>0.43</v>
      </c>
      <c r="H6" s="124" t="s">
        <v>201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>
      <c r="A7" s="122" t="s">
        <v>212</v>
      </c>
      <c r="B7" s="123" t="s">
        <v>213</v>
      </c>
      <c r="C7" s="124">
        <v>0.52</v>
      </c>
      <c r="D7" s="124" t="s">
        <v>199</v>
      </c>
      <c r="E7" s="124">
        <v>1.56</v>
      </c>
      <c r="F7" s="125" t="s">
        <v>200</v>
      </c>
      <c r="G7" s="126">
        <v>0.43</v>
      </c>
      <c r="H7" s="124" t="s">
        <v>201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>
      <c r="A8" s="122" t="s">
        <v>22</v>
      </c>
      <c r="B8" s="123" t="s">
        <v>214</v>
      </c>
      <c r="C8" s="124">
        <v>0.36</v>
      </c>
      <c r="D8" s="124" t="s">
        <v>199</v>
      </c>
      <c r="E8" s="124">
        <v>1.3</v>
      </c>
      <c r="F8" s="125" t="s">
        <v>200</v>
      </c>
      <c r="G8" s="126">
        <v>0.55000000000000004</v>
      </c>
      <c r="H8" s="124" t="s">
        <v>215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>
      <c r="A9" s="122" t="s">
        <v>20</v>
      </c>
      <c r="B9" s="123" t="s">
        <v>216</v>
      </c>
      <c r="C9" s="124">
        <v>0.61</v>
      </c>
      <c r="D9" s="124" t="s">
        <v>199</v>
      </c>
      <c r="E9" s="124">
        <v>1.56</v>
      </c>
      <c r="F9" s="125" t="s">
        <v>200</v>
      </c>
      <c r="G9" s="126">
        <v>0.43</v>
      </c>
      <c r="H9" s="124" t="s">
        <v>201</v>
      </c>
      <c r="I9" s="127">
        <v>0.25</v>
      </c>
      <c r="J9" s="78"/>
      <c r="K9" s="78"/>
      <c r="L9" s="78"/>
      <c r="M9" s="78"/>
      <c r="N9" s="78"/>
    </row>
    <row r="10" spans="1:16">
      <c r="A10" s="122" t="s">
        <v>217</v>
      </c>
      <c r="B10" s="123" t="s">
        <v>218</v>
      </c>
      <c r="C10" s="124">
        <v>0.66</v>
      </c>
      <c r="D10" s="124" t="s">
        <v>199</v>
      </c>
      <c r="E10" s="124">
        <v>1.56</v>
      </c>
      <c r="F10" s="125" t="s">
        <v>200</v>
      </c>
      <c r="G10" s="126">
        <v>0.43</v>
      </c>
      <c r="H10" s="124" t="s">
        <v>201</v>
      </c>
      <c r="I10" s="127">
        <v>0.25</v>
      </c>
      <c r="J10" s="78"/>
      <c r="K10" s="78"/>
      <c r="L10" s="78"/>
      <c r="M10" s="78"/>
      <c r="N10" s="78"/>
      <c r="O10" s="282" t="s">
        <v>219</v>
      </c>
      <c r="P10" s="121">
        <v>0</v>
      </c>
    </row>
    <row r="11" spans="1:16" ht="15" thickBot="1">
      <c r="A11" s="122" t="s">
        <v>220</v>
      </c>
      <c r="B11" s="123" t="s">
        <v>221</v>
      </c>
      <c r="C11" s="124">
        <v>0.47</v>
      </c>
      <c r="D11" s="124" t="s">
        <v>199</v>
      </c>
      <c r="E11" s="124">
        <v>1.56</v>
      </c>
      <c r="F11" s="125" t="s">
        <v>200</v>
      </c>
      <c r="G11" s="126">
        <v>0.43</v>
      </c>
      <c r="H11" s="124" t="s">
        <v>201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>
      <c r="A12" s="122" t="s">
        <v>222</v>
      </c>
      <c r="B12" s="123" t="s">
        <v>223</v>
      </c>
      <c r="C12" s="124">
        <v>0.67</v>
      </c>
      <c r="D12" s="124" t="s">
        <v>199</v>
      </c>
      <c r="E12" s="124">
        <v>1.56</v>
      </c>
      <c r="F12" s="125" t="s">
        <v>200</v>
      </c>
      <c r="G12" s="126">
        <v>0.43</v>
      </c>
      <c r="H12" s="124" t="s">
        <v>224</v>
      </c>
      <c r="I12" s="127">
        <v>0.25</v>
      </c>
      <c r="J12" s="78"/>
      <c r="K12" s="78"/>
      <c r="L12" s="78"/>
      <c r="M12" s="78"/>
      <c r="N12" s="78"/>
    </row>
    <row r="13" spans="1:16">
      <c r="A13" s="122" t="s">
        <v>225</v>
      </c>
      <c r="B13" s="123" t="s">
        <v>226</v>
      </c>
      <c r="C13" s="124">
        <v>0.7</v>
      </c>
      <c r="D13" s="124" t="s">
        <v>199</v>
      </c>
      <c r="E13" s="124">
        <v>1.56</v>
      </c>
      <c r="F13" s="125" t="s">
        <v>200</v>
      </c>
      <c r="G13" s="126">
        <v>0.43</v>
      </c>
      <c r="H13" s="124" t="s">
        <v>224</v>
      </c>
      <c r="I13" s="127">
        <v>0.25</v>
      </c>
      <c r="J13" s="78"/>
      <c r="K13" s="78"/>
      <c r="L13" s="78"/>
      <c r="M13" s="78"/>
      <c r="N13" s="78"/>
    </row>
    <row r="14" spans="1:16">
      <c r="A14" s="122" t="s">
        <v>227</v>
      </c>
      <c r="B14" s="123" t="s">
        <v>228</v>
      </c>
      <c r="C14" s="124">
        <v>0.54</v>
      </c>
      <c r="D14" s="124" t="s">
        <v>199</v>
      </c>
      <c r="E14" s="124">
        <v>1.56</v>
      </c>
      <c r="F14" s="125" t="s">
        <v>200</v>
      </c>
      <c r="G14" s="126">
        <v>0.43</v>
      </c>
      <c r="H14" s="124" t="s">
        <v>224</v>
      </c>
      <c r="I14" s="127">
        <v>0.25</v>
      </c>
      <c r="J14" s="78"/>
      <c r="K14" s="78"/>
      <c r="L14" s="78"/>
      <c r="M14" s="78"/>
      <c r="N14" s="78"/>
    </row>
    <row r="15" spans="1:16">
      <c r="A15" s="122" t="s">
        <v>26</v>
      </c>
      <c r="B15" s="123" t="s">
        <v>229</v>
      </c>
      <c r="C15" s="124">
        <v>0.65</v>
      </c>
      <c r="D15" s="124" t="s">
        <v>199</v>
      </c>
      <c r="E15" s="124">
        <v>1.56</v>
      </c>
      <c r="F15" s="125" t="s">
        <v>200</v>
      </c>
      <c r="G15" s="126">
        <v>0.43</v>
      </c>
      <c r="H15" s="124" t="s">
        <v>224</v>
      </c>
      <c r="I15" s="127">
        <v>0.25</v>
      </c>
      <c r="J15" s="78"/>
      <c r="K15" s="78"/>
      <c r="L15" s="78"/>
      <c r="M15" s="78"/>
      <c r="N15" s="78"/>
    </row>
    <row r="16" spans="1:16">
      <c r="A16" s="122" t="s">
        <v>230</v>
      </c>
      <c r="B16" s="123" t="s">
        <v>231</v>
      </c>
      <c r="C16" s="124">
        <v>0.56000000000000005</v>
      </c>
      <c r="D16" s="124" t="s">
        <v>199</v>
      </c>
      <c r="E16" s="124">
        <v>1.56</v>
      </c>
      <c r="F16" s="125" t="s">
        <v>200</v>
      </c>
      <c r="G16" s="126">
        <v>0.43</v>
      </c>
      <c r="H16" s="124" t="s">
        <v>224</v>
      </c>
      <c r="I16" s="127">
        <v>0.25</v>
      </c>
      <c r="J16" s="78"/>
      <c r="K16" s="78"/>
      <c r="L16" s="78"/>
      <c r="M16" s="78"/>
      <c r="N16" s="78"/>
    </row>
    <row r="17" spans="1:14">
      <c r="A17" s="122" t="s">
        <v>28</v>
      </c>
      <c r="B17" s="123" t="s">
        <v>232</v>
      </c>
      <c r="C17" s="124">
        <v>0.57999999999999996</v>
      </c>
      <c r="D17" s="124" t="s">
        <v>199</v>
      </c>
      <c r="E17" s="124">
        <v>1.56</v>
      </c>
      <c r="F17" s="125" t="s">
        <v>200</v>
      </c>
      <c r="G17" s="126">
        <v>0.43</v>
      </c>
      <c r="H17" s="124" t="s">
        <v>224</v>
      </c>
      <c r="I17" s="127">
        <v>0.25</v>
      </c>
      <c r="J17" s="78"/>
      <c r="K17" s="78"/>
      <c r="L17" s="78"/>
      <c r="M17" s="78"/>
      <c r="N17" s="78"/>
    </row>
    <row r="18" spans="1:14">
      <c r="A18" s="122" t="s">
        <v>233</v>
      </c>
      <c r="B18" s="123" t="s">
        <v>234</v>
      </c>
      <c r="C18" s="124">
        <v>0.64</v>
      </c>
      <c r="D18" s="124" t="s">
        <v>199</v>
      </c>
      <c r="E18" s="124">
        <v>1.56</v>
      </c>
      <c r="F18" s="125" t="s">
        <v>200</v>
      </c>
      <c r="G18" s="126">
        <v>0.43</v>
      </c>
      <c r="H18" s="124" t="s">
        <v>224</v>
      </c>
      <c r="I18" s="127">
        <v>0.25</v>
      </c>
      <c r="J18" s="78"/>
      <c r="K18" s="78"/>
      <c r="L18" s="78"/>
      <c r="M18" s="78"/>
      <c r="N18" s="78"/>
    </row>
    <row r="19" spans="1:14">
      <c r="A19" s="122" t="s">
        <v>235</v>
      </c>
      <c r="B19" s="123" t="s">
        <v>236</v>
      </c>
      <c r="C19" s="124">
        <v>0.73</v>
      </c>
      <c r="D19" s="124" t="s">
        <v>199</v>
      </c>
      <c r="E19" s="124">
        <v>1.56</v>
      </c>
      <c r="F19" s="125" t="s">
        <v>200</v>
      </c>
      <c r="G19" s="126">
        <v>0.43</v>
      </c>
      <c r="H19" s="124" t="s">
        <v>224</v>
      </c>
      <c r="I19" s="127">
        <v>0.25</v>
      </c>
      <c r="J19" s="78"/>
      <c r="K19" s="78"/>
      <c r="L19" s="78"/>
      <c r="M19" s="78"/>
      <c r="N19" s="78"/>
    </row>
    <row r="20" spans="1:14">
      <c r="A20" s="122" t="s">
        <v>237</v>
      </c>
      <c r="B20" s="123" t="s">
        <v>238</v>
      </c>
      <c r="C20" s="124">
        <v>0.69</v>
      </c>
      <c r="D20" s="124" t="s">
        <v>239</v>
      </c>
      <c r="E20" s="124">
        <v>1.56</v>
      </c>
      <c r="F20" s="125" t="s">
        <v>200</v>
      </c>
      <c r="G20" s="126">
        <v>0.43</v>
      </c>
      <c r="H20" s="124" t="s">
        <v>240</v>
      </c>
      <c r="I20" s="127">
        <v>0.25</v>
      </c>
      <c r="J20" s="78"/>
      <c r="K20" s="78"/>
      <c r="L20" s="78"/>
      <c r="M20" s="78"/>
      <c r="N20" s="78"/>
    </row>
    <row r="21" spans="1:14">
      <c r="A21" s="122" t="s">
        <v>241</v>
      </c>
      <c r="B21" s="123" t="s">
        <v>242</v>
      </c>
      <c r="C21" s="124">
        <v>0.36</v>
      </c>
      <c r="D21" s="124" t="s">
        <v>199</v>
      </c>
      <c r="E21" s="124">
        <v>1.3</v>
      </c>
      <c r="F21" s="125" t="s">
        <v>200</v>
      </c>
      <c r="G21" s="126">
        <v>0.55000000000000004</v>
      </c>
      <c r="H21" s="124" t="s">
        <v>215</v>
      </c>
      <c r="I21" s="127">
        <v>0.43</v>
      </c>
      <c r="J21" s="78"/>
      <c r="K21" s="78"/>
      <c r="L21" s="78"/>
      <c r="M21" s="78"/>
      <c r="N21" s="78"/>
    </row>
    <row r="22" spans="1:14">
      <c r="A22" s="122" t="s">
        <v>243</v>
      </c>
      <c r="B22" s="123" t="s">
        <v>244</v>
      </c>
      <c r="C22" s="124">
        <v>0.4</v>
      </c>
      <c r="D22" s="124" t="s">
        <v>199</v>
      </c>
      <c r="E22" s="124">
        <v>1.3</v>
      </c>
      <c r="F22" s="125" t="s">
        <v>200</v>
      </c>
      <c r="G22" s="126">
        <v>0.55000000000000004</v>
      </c>
      <c r="H22" s="124" t="s">
        <v>215</v>
      </c>
      <c r="I22" s="127">
        <v>0.43</v>
      </c>
      <c r="J22" s="78"/>
      <c r="K22" s="78"/>
      <c r="L22" s="78"/>
      <c r="M22" s="78"/>
      <c r="N22" s="78"/>
    </row>
    <row r="23" spans="1:14">
      <c r="A23" s="122" t="s">
        <v>245</v>
      </c>
      <c r="B23" s="123" t="s">
        <v>246</v>
      </c>
      <c r="C23" s="124">
        <v>0.43</v>
      </c>
      <c r="D23" s="124" t="s">
        <v>199</v>
      </c>
      <c r="E23" s="124">
        <v>1.3</v>
      </c>
      <c r="F23" s="125" t="s">
        <v>200</v>
      </c>
      <c r="G23" s="126">
        <v>0.55000000000000004</v>
      </c>
      <c r="H23" s="124" t="s">
        <v>215</v>
      </c>
      <c r="I23" s="127">
        <v>0.43</v>
      </c>
      <c r="J23" s="78"/>
      <c r="K23" s="78"/>
      <c r="L23" s="78"/>
      <c r="M23" s="78"/>
      <c r="N23" s="78"/>
    </row>
    <row r="24" spans="1:14">
      <c r="A24" s="122" t="s">
        <v>247</v>
      </c>
      <c r="B24" s="123" t="s">
        <v>248</v>
      </c>
      <c r="C24" s="124">
        <v>0.37</v>
      </c>
      <c r="D24" s="124" t="s">
        <v>199</v>
      </c>
      <c r="E24" s="124">
        <v>1.3</v>
      </c>
      <c r="F24" s="125" t="s">
        <v>200</v>
      </c>
      <c r="G24" s="126">
        <v>0.55000000000000004</v>
      </c>
      <c r="H24" s="124" t="s">
        <v>224</v>
      </c>
      <c r="I24" s="127">
        <v>0.43</v>
      </c>
      <c r="J24" s="78"/>
      <c r="K24" s="78"/>
      <c r="L24" s="78"/>
      <c r="M24" s="78"/>
      <c r="N24" s="78"/>
    </row>
    <row r="25" spans="1:14">
      <c r="A25" s="122" t="s">
        <v>249</v>
      </c>
      <c r="B25" s="123" t="s">
        <v>250</v>
      </c>
      <c r="C25" s="124">
        <v>0.36</v>
      </c>
      <c r="D25" s="124" t="s">
        <v>199</v>
      </c>
      <c r="E25" s="124">
        <v>1.3</v>
      </c>
      <c r="F25" s="125" t="s">
        <v>200</v>
      </c>
      <c r="G25" s="126">
        <v>0.55000000000000004</v>
      </c>
      <c r="H25" s="124" t="s">
        <v>224</v>
      </c>
      <c r="I25" s="127">
        <v>0.43</v>
      </c>
      <c r="J25" s="78"/>
      <c r="K25" s="78"/>
      <c r="L25" s="78"/>
      <c r="M25" s="78"/>
      <c r="N25" s="78"/>
    </row>
    <row r="26" spans="1:14">
      <c r="A26" s="122" t="s">
        <v>18</v>
      </c>
      <c r="B26" s="123" t="s">
        <v>251</v>
      </c>
      <c r="C26" s="124">
        <v>0.56000000000000005</v>
      </c>
      <c r="D26" s="124" t="s">
        <v>199</v>
      </c>
      <c r="E26" s="124">
        <v>1.56</v>
      </c>
      <c r="F26" s="125" t="s">
        <v>200</v>
      </c>
      <c r="G26" s="126">
        <v>0.53</v>
      </c>
      <c r="H26" s="124" t="s">
        <v>252</v>
      </c>
      <c r="I26" s="127">
        <v>0.25</v>
      </c>
      <c r="J26" s="78"/>
      <c r="K26" s="78"/>
      <c r="L26" s="78"/>
      <c r="M26" s="78"/>
      <c r="N26" s="78"/>
    </row>
    <row r="27" spans="1:14">
      <c r="A27" s="122" t="s">
        <v>253</v>
      </c>
      <c r="B27" s="123" t="s">
        <v>254</v>
      </c>
      <c r="C27" s="124">
        <v>0.51</v>
      </c>
      <c r="D27" s="124" t="s">
        <v>199</v>
      </c>
      <c r="E27" s="124">
        <v>1.56</v>
      </c>
      <c r="F27" s="125" t="s">
        <v>200</v>
      </c>
      <c r="G27" s="126">
        <v>0.53</v>
      </c>
      <c r="H27" s="124" t="s">
        <v>252</v>
      </c>
      <c r="I27" s="127">
        <v>0.25</v>
      </c>
      <c r="J27" s="78"/>
      <c r="K27" s="78"/>
      <c r="L27" s="78"/>
      <c r="M27" s="78"/>
      <c r="N27" s="78"/>
    </row>
    <row r="28" spans="1:14">
      <c r="A28" s="122" t="s">
        <v>255</v>
      </c>
      <c r="B28" s="123" t="s">
        <v>256</v>
      </c>
      <c r="C28" s="124">
        <v>0.51</v>
      </c>
      <c r="D28" s="124" t="s">
        <v>199</v>
      </c>
      <c r="E28" s="124">
        <v>1.56</v>
      </c>
      <c r="F28" s="125" t="s">
        <v>200</v>
      </c>
      <c r="G28" s="126">
        <v>0.53</v>
      </c>
      <c r="H28" s="124" t="s">
        <v>252</v>
      </c>
      <c r="I28" s="127">
        <v>0.25</v>
      </c>
      <c r="J28" s="78"/>
      <c r="K28" s="78"/>
      <c r="L28" s="78"/>
      <c r="M28" s="78"/>
      <c r="N28" s="78"/>
    </row>
    <row r="29" spans="1:14">
      <c r="A29" s="122" t="s">
        <v>257</v>
      </c>
      <c r="B29" s="123" t="s">
        <v>257</v>
      </c>
      <c r="C29" s="124">
        <v>0.56000000000000005</v>
      </c>
      <c r="D29" s="124" t="s">
        <v>199</v>
      </c>
      <c r="E29" s="124">
        <v>1.56</v>
      </c>
      <c r="F29" s="125" t="s">
        <v>200</v>
      </c>
      <c r="G29" s="126">
        <v>0.53</v>
      </c>
      <c r="H29" s="124" t="s">
        <v>252</v>
      </c>
      <c r="I29" s="127">
        <v>0.25</v>
      </c>
      <c r="J29" s="78"/>
      <c r="K29" s="78"/>
      <c r="L29" s="78"/>
      <c r="M29" s="78"/>
      <c r="N29" s="78"/>
    </row>
    <row r="30" spans="1:14">
      <c r="A30" s="122" t="s">
        <v>258</v>
      </c>
      <c r="B30" s="123" t="s">
        <v>259</v>
      </c>
      <c r="C30" s="124">
        <v>0.55000000000000004</v>
      </c>
      <c r="D30" s="124" t="s">
        <v>199</v>
      </c>
      <c r="E30" s="124">
        <v>1.56</v>
      </c>
      <c r="F30" s="125" t="s">
        <v>200</v>
      </c>
      <c r="G30" s="126">
        <v>0.53</v>
      </c>
      <c r="H30" s="124" t="s">
        <v>224</v>
      </c>
      <c r="I30" s="127">
        <v>0.25</v>
      </c>
      <c r="J30" s="78"/>
      <c r="K30" s="78"/>
      <c r="L30" s="78"/>
      <c r="M30" s="78"/>
      <c r="N30" s="78"/>
    </row>
    <row r="31" spans="1:14">
      <c r="A31" s="122" t="s">
        <v>260</v>
      </c>
      <c r="B31" s="123" t="s">
        <v>261</v>
      </c>
      <c r="C31" s="124">
        <v>0.56000000000000005</v>
      </c>
      <c r="D31" s="124" t="s">
        <v>199</v>
      </c>
      <c r="E31" s="124">
        <v>1.56</v>
      </c>
      <c r="F31" s="125" t="s">
        <v>200</v>
      </c>
      <c r="G31" s="126">
        <v>0.43</v>
      </c>
      <c r="H31" s="124" t="s">
        <v>201</v>
      </c>
      <c r="I31" s="127">
        <v>0.25</v>
      </c>
      <c r="J31" s="78"/>
      <c r="K31" s="78"/>
      <c r="L31" s="78"/>
      <c r="M31" s="78"/>
      <c r="N31" s="78"/>
    </row>
    <row r="32" spans="1:14">
      <c r="A32" s="122" t="s">
        <v>262</v>
      </c>
      <c r="B32" s="123" t="s">
        <v>263</v>
      </c>
      <c r="C32" s="124">
        <v>0.48</v>
      </c>
      <c r="D32" s="124" t="s">
        <v>199</v>
      </c>
      <c r="E32" s="124">
        <v>1.3</v>
      </c>
      <c r="F32" s="125" t="s">
        <v>200</v>
      </c>
      <c r="G32" s="126">
        <v>0.6</v>
      </c>
      <c r="H32" s="124" t="s">
        <v>264</v>
      </c>
      <c r="I32" s="127">
        <v>0.43</v>
      </c>
      <c r="J32" s="78"/>
      <c r="K32" s="78"/>
      <c r="L32" s="78"/>
      <c r="M32" s="78"/>
      <c r="N32" s="78"/>
    </row>
    <row r="33" spans="1:14">
      <c r="A33" s="122" t="s">
        <v>265</v>
      </c>
      <c r="B33" s="123" t="s">
        <v>266</v>
      </c>
      <c r="C33" s="124">
        <v>0.42</v>
      </c>
      <c r="D33" s="124" t="s">
        <v>199</v>
      </c>
      <c r="E33" s="124">
        <v>1.3</v>
      </c>
      <c r="F33" s="125" t="s">
        <v>200</v>
      </c>
      <c r="G33" s="126">
        <v>0.6</v>
      </c>
      <c r="H33" s="124" t="s">
        <v>264</v>
      </c>
      <c r="I33" s="127">
        <v>0.43</v>
      </c>
      <c r="J33" s="78"/>
      <c r="K33" s="78"/>
      <c r="L33" s="78"/>
      <c r="M33" s="78"/>
      <c r="N33" s="78"/>
    </row>
    <row r="34" spans="1:14">
      <c r="A34" s="122" t="s">
        <v>267</v>
      </c>
      <c r="B34" s="123" t="s">
        <v>268</v>
      </c>
      <c r="C34" s="124">
        <v>0.42</v>
      </c>
      <c r="D34" s="124" t="s">
        <v>269</v>
      </c>
      <c r="E34" s="124">
        <v>1.3</v>
      </c>
      <c r="F34" s="125" t="s">
        <v>200</v>
      </c>
      <c r="G34" s="126">
        <v>0.6</v>
      </c>
      <c r="H34" s="123" t="s">
        <v>270</v>
      </c>
      <c r="I34" s="127">
        <v>0.43</v>
      </c>
      <c r="J34" s="78"/>
      <c r="K34" s="78"/>
      <c r="L34" s="78"/>
      <c r="M34" s="78"/>
      <c r="N34" s="78"/>
    </row>
    <row r="35" spans="1:14">
      <c r="A35" s="122" t="s">
        <v>24</v>
      </c>
      <c r="B35" s="123" t="s">
        <v>271</v>
      </c>
      <c r="C35" s="124">
        <v>0.5</v>
      </c>
      <c r="D35" s="124" t="s">
        <v>199</v>
      </c>
      <c r="E35" s="124">
        <v>1.56</v>
      </c>
      <c r="F35" s="125" t="s">
        <v>200</v>
      </c>
      <c r="G35" s="126">
        <v>0.43</v>
      </c>
      <c r="H35" s="124" t="s">
        <v>201</v>
      </c>
      <c r="I35" s="127">
        <v>0.25</v>
      </c>
      <c r="J35" s="78"/>
      <c r="K35" s="78"/>
      <c r="L35" s="78"/>
      <c r="M35" s="78"/>
      <c r="N35" s="78"/>
    </row>
    <row r="36" spans="1:14">
      <c r="A36" s="122" t="s">
        <v>272</v>
      </c>
      <c r="B36" s="123" t="s">
        <v>273</v>
      </c>
      <c r="C36" s="124">
        <v>0.55000000000000004</v>
      </c>
      <c r="D36" s="124" t="s">
        <v>199</v>
      </c>
      <c r="E36" s="124">
        <v>1.56</v>
      </c>
      <c r="F36" s="125" t="s">
        <v>200</v>
      </c>
      <c r="G36" s="126">
        <v>0.53</v>
      </c>
      <c r="H36" s="124" t="s">
        <v>252</v>
      </c>
      <c r="I36" s="127">
        <v>0.25</v>
      </c>
      <c r="J36" s="78"/>
      <c r="K36" s="78"/>
      <c r="L36" s="78"/>
      <c r="M36" s="78"/>
      <c r="N36" s="78"/>
    </row>
    <row r="37" spans="1:14">
      <c r="A37" s="122" t="s">
        <v>274</v>
      </c>
      <c r="B37" s="123" t="s">
        <v>275</v>
      </c>
      <c r="C37" s="124">
        <v>0.52</v>
      </c>
      <c r="D37" s="124" t="s">
        <v>199</v>
      </c>
      <c r="E37" s="124">
        <v>1.56</v>
      </c>
      <c r="F37" s="125" t="s">
        <v>200</v>
      </c>
      <c r="G37" s="126">
        <v>0.53</v>
      </c>
      <c r="H37" s="124" t="s">
        <v>252</v>
      </c>
      <c r="I37" s="127">
        <v>0.25</v>
      </c>
      <c r="J37" s="78"/>
      <c r="K37" s="78"/>
      <c r="L37" s="78"/>
      <c r="M37" s="78"/>
      <c r="N37" s="78"/>
    </row>
    <row r="38" spans="1:14">
      <c r="A38" s="122" t="s">
        <v>276</v>
      </c>
      <c r="B38" s="123" t="s">
        <v>277</v>
      </c>
      <c r="C38" s="124">
        <v>0.52</v>
      </c>
      <c r="D38" s="124" t="s">
        <v>199</v>
      </c>
      <c r="E38" s="124">
        <v>1.56</v>
      </c>
      <c r="F38" s="125" t="s">
        <v>200</v>
      </c>
      <c r="G38" s="126">
        <v>0.43</v>
      </c>
      <c r="H38" s="124" t="s">
        <v>201</v>
      </c>
      <c r="I38" s="127">
        <v>0.25</v>
      </c>
      <c r="J38" s="78"/>
      <c r="K38" s="78"/>
      <c r="L38" s="78"/>
      <c r="M38" s="78"/>
      <c r="N38" s="78"/>
    </row>
    <row r="39" spans="1:14">
      <c r="A39" s="122" t="s">
        <v>278</v>
      </c>
      <c r="B39" s="123" t="s">
        <v>279</v>
      </c>
      <c r="C39" s="124">
        <v>0.313</v>
      </c>
      <c r="D39" s="124" t="s">
        <v>280</v>
      </c>
      <c r="E39" s="124">
        <v>1.56</v>
      </c>
      <c r="F39" s="125" t="s">
        <v>200</v>
      </c>
      <c r="G39" s="126">
        <v>0.6</v>
      </c>
      <c r="H39" s="124" t="s">
        <v>281</v>
      </c>
      <c r="I39" s="127">
        <v>1.03</v>
      </c>
      <c r="J39" s="78"/>
      <c r="K39" s="78"/>
      <c r="L39" s="78"/>
      <c r="M39" s="78"/>
      <c r="N39" s="78"/>
    </row>
    <row r="40" spans="1:14">
      <c r="A40" s="122" t="s">
        <v>282</v>
      </c>
      <c r="B40" s="123" t="s">
        <v>279</v>
      </c>
      <c r="C40" s="124">
        <v>0.35199999999999998</v>
      </c>
      <c r="D40" s="124" t="s">
        <v>280</v>
      </c>
      <c r="E40" s="124">
        <v>1.56</v>
      </c>
      <c r="F40" s="125" t="s">
        <v>200</v>
      </c>
      <c r="G40" s="126">
        <v>0.6</v>
      </c>
      <c r="H40" s="124" t="s">
        <v>281</v>
      </c>
      <c r="I40" s="127">
        <v>1.03</v>
      </c>
      <c r="J40" s="78"/>
      <c r="K40" s="78"/>
      <c r="L40" s="78"/>
      <c r="M40" s="78"/>
      <c r="N40" s="78"/>
    </row>
    <row r="41" spans="1:14">
      <c r="A41" s="122" t="s">
        <v>283</v>
      </c>
      <c r="B41" s="123" t="s">
        <v>279</v>
      </c>
      <c r="C41" s="124">
        <v>0.32200000000000001</v>
      </c>
      <c r="D41" s="124" t="s">
        <v>280</v>
      </c>
      <c r="E41" s="124">
        <v>1.56</v>
      </c>
      <c r="F41" s="125" t="s">
        <v>200</v>
      </c>
      <c r="G41" s="126">
        <v>0.6</v>
      </c>
      <c r="H41" s="124" t="s">
        <v>281</v>
      </c>
      <c r="I41" s="127">
        <v>1.03</v>
      </c>
      <c r="J41" s="78"/>
      <c r="K41" s="78"/>
      <c r="L41" s="78"/>
      <c r="M41" s="78"/>
      <c r="N41" s="78"/>
    </row>
    <row r="42" spans="1:14">
      <c r="A42" s="122" t="s">
        <v>284</v>
      </c>
      <c r="B42" s="123" t="s">
        <v>279</v>
      </c>
      <c r="C42" s="124">
        <v>0.311</v>
      </c>
      <c r="D42" s="124" t="s">
        <v>280</v>
      </c>
      <c r="E42" s="124">
        <v>1.56</v>
      </c>
      <c r="F42" s="125" t="s">
        <v>200</v>
      </c>
      <c r="G42" s="126">
        <v>0.6</v>
      </c>
      <c r="H42" s="124" t="s">
        <v>281</v>
      </c>
      <c r="I42" s="127">
        <v>1.03</v>
      </c>
      <c r="J42" s="78"/>
      <c r="K42" s="78"/>
      <c r="L42" s="78"/>
      <c r="M42" s="78"/>
      <c r="N42" s="78"/>
    </row>
    <row r="43" spans="1:14">
      <c r="A43" s="122" t="s">
        <v>285</v>
      </c>
      <c r="B43" s="123" t="s">
        <v>279</v>
      </c>
      <c r="C43" s="124">
        <v>0.33900000000000002</v>
      </c>
      <c r="D43" s="124" t="s">
        <v>280</v>
      </c>
      <c r="E43" s="124">
        <v>1.56</v>
      </c>
      <c r="F43" s="125" t="s">
        <v>200</v>
      </c>
      <c r="G43" s="126">
        <v>0.6</v>
      </c>
      <c r="H43" s="124" t="s">
        <v>281</v>
      </c>
      <c r="I43" s="127">
        <v>1.03</v>
      </c>
      <c r="J43" s="78"/>
      <c r="K43" s="78"/>
      <c r="L43" s="78"/>
      <c r="M43" s="78"/>
      <c r="N43" s="78"/>
    </row>
    <row r="44" spans="1:14">
      <c r="A44" s="122" t="s">
        <v>286</v>
      </c>
      <c r="B44" s="123" t="s">
        <v>279</v>
      </c>
      <c r="C44" s="124">
        <v>0.33600000000000002</v>
      </c>
      <c r="D44" s="124" t="s">
        <v>280</v>
      </c>
      <c r="E44" s="124">
        <v>1.56</v>
      </c>
      <c r="F44" s="125" t="s">
        <v>200</v>
      </c>
      <c r="G44" s="126">
        <v>0.6</v>
      </c>
      <c r="H44" s="124" t="s">
        <v>281</v>
      </c>
      <c r="I44" s="127">
        <v>1.03</v>
      </c>
      <c r="J44" s="78"/>
      <c r="K44" s="78"/>
      <c r="L44" s="78"/>
      <c r="M44" s="78"/>
      <c r="N44" s="78"/>
    </row>
    <row r="45" spans="1:14">
      <c r="A45" s="122" t="s">
        <v>287</v>
      </c>
      <c r="B45" s="123" t="s">
        <v>279</v>
      </c>
      <c r="C45" s="124">
        <v>0.32900000000000001</v>
      </c>
      <c r="D45" s="124" t="s">
        <v>280</v>
      </c>
      <c r="E45" s="124">
        <v>1.56</v>
      </c>
      <c r="F45" s="125" t="s">
        <v>200</v>
      </c>
      <c r="G45" s="126">
        <v>0.6</v>
      </c>
      <c r="H45" s="124" t="s">
        <v>281</v>
      </c>
      <c r="I45" s="127">
        <v>1.03</v>
      </c>
      <c r="J45" s="78"/>
      <c r="K45" s="78"/>
      <c r="L45" s="78"/>
      <c r="M45" s="78"/>
      <c r="N45" s="78"/>
    </row>
    <row r="46" spans="1:14">
      <c r="A46" s="122" t="s">
        <v>288</v>
      </c>
      <c r="B46" s="123" t="s">
        <v>279</v>
      </c>
      <c r="C46" s="124">
        <v>0.34300000000000003</v>
      </c>
      <c r="D46" s="124" t="s">
        <v>280</v>
      </c>
      <c r="E46" s="124">
        <v>1.56</v>
      </c>
      <c r="F46" s="125" t="s">
        <v>200</v>
      </c>
      <c r="G46" s="126">
        <v>0.6</v>
      </c>
      <c r="H46" s="124" t="s">
        <v>281</v>
      </c>
      <c r="I46" s="127">
        <v>1.03</v>
      </c>
      <c r="J46" s="78"/>
      <c r="K46" s="78"/>
      <c r="L46" s="78"/>
      <c r="M46" s="78"/>
      <c r="N46" s="78"/>
    </row>
    <row r="47" spans="1:14">
      <c r="A47" s="122" t="s">
        <v>289</v>
      </c>
      <c r="B47" s="123" t="s">
        <v>279</v>
      </c>
      <c r="C47" s="124">
        <v>0.32500000000000001</v>
      </c>
      <c r="D47" s="124" t="s">
        <v>280</v>
      </c>
      <c r="E47" s="124">
        <v>1.56</v>
      </c>
      <c r="F47" s="125" t="s">
        <v>200</v>
      </c>
      <c r="G47" s="126">
        <v>0.6</v>
      </c>
      <c r="H47" s="124" t="s">
        <v>281</v>
      </c>
      <c r="I47" s="127">
        <v>1.03</v>
      </c>
      <c r="J47" s="78"/>
      <c r="K47" s="78"/>
      <c r="L47" s="78"/>
      <c r="M47" s="78"/>
      <c r="N47" s="78"/>
    </row>
    <row r="48" spans="1:14">
      <c r="A48" s="122" t="s">
        <v>290</v>
      </c>
      <c r="B48" s="123" t="s">
        <v>279</v>
      </c>
      <c r="C48" s="124">
        <v>0.32</v>
      </c>
      <c r="D48" s="124" t="s">
        <v>280</v>
      </c>
      <c r="E48" s="124">
        <v>1.56</v>
      </c>
      <c r="F48" s="125" t="s">
        <v>200</v>
      </c>
      <c r="G48" s="126">
        <v>0.6</v>
      </c>
      <c r="H48" s="124" t="s">
        <v>281</v>
      </c>
      <c r="I48" s="127">
        <v>1.03</v>
      </c>
      <c r="J48" s="78"/>
      <c r="K48" s="78"/>
      <c r="L48" s="78"/>
      <c r="M48" s="78"/>
      <c r="N48" s="78"/>
    </row>
    <row r="49" spans="1:14">
      <c r="A49" s="122" t="s">
        <v>291</v>
      </c>
      <c r="B49" s="123" t="s">
        <v>279</v>
      </c>
      <c r="C49" s="124">
        <v>0.28199999999999997</v>
      </c>
      <c r="D49" s="124" t="s">
        <v>280</v>
      </c>
      <c r="E49" s="124">
        <v>1.56</v>
      </c>
      <c r="F49" s="125" t="s">
        <v>200</v>
      </c>
      <c r="G49" s="126">
        <v>0.6</v>
      </c>
      <c r="H49" s="124" t="s">
        <v>281</v>
      </c>
      <c r="I49" s="127">
        <v>1.03</v>
      </c>
      <c r="J49" s="78"/>
      <c r="K49" s="78"/>
      <c r="L49" s="78"/>
      <c r="M49" s="78"/>
      <c r="N49" s="78"/>
    </row>
    <row r="50" spans="1:14">
      <c r="A50" s="122" t="s">
        <v>292</v>
      </c>
      <c r="B50" s="123" t="s">
        <v>279</v>
      </c>
      <c r="C50" s="124">
        <v>0.32800000000000001</v>
      </c>
      <c r="D50" s="124" t="s">
        <v>280</v>
      </c>
      <c r="E50" s="124">
        <v>1.56</v>
      </c>
      <c r="F50" s="125" t="s">
        <v>200</v>
      </c>
      <c r="G50" s="126">
        <v>0.6</v>
      </c>
      <c r="H50" s="124" t="s">
        <v>281</v>
      </c>
      <c r="I50" s="127">
        <v>1.03</v>
      </c>
      <c r="J50" s="78"/>
      <c r="K50" s="78"/>
      <c r="L50" s="78"/>
      <c r="M50" s="78"/>
      <c r="N50" s="78"/>
    </row>
    <row r="51" spans="1:14">
      <c r="A51" s="122" t="s">
        <v>293</v>
      </c>
      <c r="B51" s="123" t="s">
        <v>279</v>
      </c>
      <c r="C51" s="124">
        <v>0.32600000000000001</v>
      </c>
      <c r="D51" s="124" t="s">
        <v>280</v>
      </c>
      <c r="E51" s="124">
        <v>1.56</v>
      </c>
      <c r="F51" s="125" t="s">
        <v>200</v>
      </c>
      <c r="G51" s="126">
        <v>0.6</v>
      </c>
      <c r="H51" s="124" t="s">
        <v>281</v>
      </c>
      <c r="I51" s="127">
        <v>1.03</v>
      </c>
      <c r="J51" s="78"/>
      <c r="K51" s="78"/>
      <c r="L51" s="78"/>
      <c r="M51" s="78"/>
      <c r="N51" s="78"/>
    </row>
    <row r="52" spans="1:14">
      <c r="A52" s="122" t="s">
        <v>294</v>
      </c>
      <c r="B52" s="123" t="s">
        <v>279</v>
      </c>
      <c r="C52" s="124">
        <v>0.35899999999999999</v>
      </c>
      <c r="D52" s="124" t="s">
        <v>280</v>
      </c>
      <c r="E52" s="124">
        <v>1.56</v>
      </c>
      <c r="F52" s="125" t="s">
        <v>200</v>
      </c>
      <c r="G52" s="126">
        <v>0.6</v>
      </c>
      <c r="H52" s="124" t="s">
        <v>281</v>
      </c>
      <c r="I52" s="127">
        <v>1.03</v>
      </c>
      <c r="J52" s="78"/>
      <c r="K52" s="78"/>
      <c r="L52" s="78"/>
      <c r="M52" s="78"/>
      <c r="N52" s="78"/>
    </row>
    <row r="53" spans="1:14">
      <c r="A53" s="122" t="s">
        <v>295</v>
      </c>
      <c r="B53" s="123" t="s">
        <v>279</v>
      </c>
      <c r="C53" s="124">
        <v>0.34599999999999997</v>
      </c>
      <c r="D53" s="124" t="s">
        <v>280</v>
      </c>
      <c r="E53" s="124">
        <v>1.56</v>
      </c>
      <c r="F53" s="125" t="s">
        <v>200</v>
      </c>
      <c r="G53" s="126">
        <v>0.6</v>
      </c>
      <c r="H53" s="124" t="s">
        <v>281</v>
      </c>
      <c r="I53" s="127">
        <v>1.03</v>
      </c>
      <c r="J53" s="78"/>
      <c r="K53" s="78"/>
      <c r="L53" s="78"/>
      <c r="M53" s="78"/>
      <c r="N53" s="78"/>
    </row>
    <row r="54" spans="1:14">
      <c r="A54" s="122" t="s">
        <v>296</v>
      </c>
      <c r="B54" s="123" t="s">
        <v>279</v>
      </c>
      <c r="C54" s="124">
        <v>0.32600000000000001</v>
      </c>
      <c r="D54" s="124" t="s">
        <v>280</v>
      </c>
      <c r="E54" s="124">
        <v>1.56</v>
      </c>
      <c r="F54" s="125" t="s">
        <v>200</v>
      </c>
      <c r="G54" s="126">
        <v>0.6</v>
      </c>
      <c r="H54" s="124" t="s">
        <v>281</v>
      </c>
      <c r="I54" s="127">
        <v>1.03</v>
      </c>
      <c r="J54" s="78"/>
      <c r="K54" s="78"/>
      <c r="L54" s="78"/>
      <c r="M54" s="78"/>
      <c r="N54" s="78"/>
    </row>
    <row r="55" spans="1:14">
      <c r="A55" s="122" t="s">
        <v>297</v>
      </c>
      <c r="B55" s="123" t="s">
        <v>279</v>
      </c>
      <c r="C55" s="124">
        <v>0.30499999999999999</v>
      </c>
      <c r="D55" s="124" t="s">
        <v>280</v>
      </c>
      <c r="E55" s="124">
        <v>1.56</v>
      </c>
      <c r="F55" s="125" t="s">
        <v>200</v>
      </c>
      <c r="G55" s="126">
        <v>0.6</v>
      </c>
      <c r="H55" s="124" t="s">
        <v>281</v>
      </c>
      <c r="I55" s="127">
        <v>1.03</v>
      </c>
      <c r="J55" s="78"/>
      <c r="K55" s="78"/>
      <c r="L55" s="78"/>
      <c r="M55" s="78"/>
      <c r="N55" s="78"/>
    </row>
    <row r="56" spans="1:14">
      <c r="A56" s="122" t="s">
        <v>298</v>
      </c>
      <c r="B56" s="123" t="s">
        <v>279</v>
      </c>
      <c r="C56" s="124">
        <v>0.32300000000000001</v>
      </c>
      <c r="D56" s="124" t="s">
        <v>280</v>
      </c>
      <c r="E56" s="124">
        <v>1.56</v>
      </c>
      <c r="F56" s="125" t="s">
        <v>200</v>
      </c>
      <c r="G56" s="126">
        <v>0.6</v>
      </c>
      <c r="H56" s="124" t="s">
        <v>281</v>
      </c>
      <c r="I56" s="127">
        <v>1.03</v>
      </c>
      <c r="J56" s="78"/>
      <c r="K56" s="78"/>
      <c r="L56" s="78"/>
      <c r="M56" s="78"/>
      <c r="N56" s="78"/>
    </row>
    <row r="57" spans="1:14">
      <c r="A57" s="122" t="s">
        <v>299</v>
      </c>
      <c r="B57" s="123" t="s">
        <v>279</v>
      </c>
      <c r="C57" s="124">
        <v>0.36699999999999999</v>
      </c>
      <c r="D57" s="124" t="s">
        <v>280</v>
      </c>
      <c r="E57" s="124">
        <v>1.56</v>
      </c>
      <c r="F57" s="125" t="s">
        <v>200</v>
      </c>
      <c r="G57" s="126">
        <v>0.6</v>
      </c>
      <c r="H57" s="124" t="s">
        <v>281</v>
      </c>
      <c r="I57" s="127">
        <v>1.03</v>
      </c>
      <c r="J57" s="78"/>
      <c r="K57" s="78"/>
      <c r="L57" s="78"/>
      <c r="M57" s="78"/>
      <c r="N57" s="78"/>
    </row>
    <row r="58" spans="1:14">
      <c r="A58" s="122" t="s">
        <v>300</v>
      </c>
      <c r="B58" s="123" t="s">
        <v>279</v>
      </c>
      <c r="C58" s="124">
        <v>0.36</v>
      </c>
      <c r="D58" s="124" t="s">
        <v>280</v>
      </c>
      <c r="E58" s="124">
        <v>1.56</v>
      </c>
      <c r="F58" s="125" t="s">
        <v>200</v>
      </c>
      <c r="G58" s="126">
        <v>0.6</v>
      </c>
      <c r="H58" s="124" t="s">
        <v>281</v>
      </c>
      <c r="I58" s="127">
        <v>1.03</v>
      </c>
      <c r="J58" s="78"/>
      <c r="K58" s="78"/>
      <c r="L58" s="78"/>
      <c r="M58" s="78"/>
      <c r="N58" s="78"/>
    </row>
    <row r="59" spans="1:14">
      <c r="A59" s="122" t="s">
        <v>301</v>
      </c>
      <c r="B59" s="123" t="s">
        <v>279</v>
      </c>
      <c r="C59" s="124">
        <v>0.36799999999999999</v>
      </c>
      <c r="D59" s="124" t="s">
        <v>280</v>
      </c>
      <c r="E59" s="124">
        <v>1.56</v>
      </c>
      <c r="F59" s="125" t="s">
        <v>200</v>
      </c>
      <c r="G59" s="126">
        <v>0.6</v>
      </c>
      <c r="H59" s="124" t="s">
        <v>281</v>
      </c>
      <c r="I59" s="127">
        <v>1.03</v>
      </c>
      <c r="J59" s="78"/>
      <c r="K59" s="78"/>
      <c r="L59" s="78"/>
      <c r="M59" s="78"/>
      <c r="N59" s="78"/>
    </row>
    <row r="60" spans="1:14">
      <c r="A60" s="122" t="s">
        <v>302</v>
      </c>
      <c r="B60" s="123" t="s">
        <v>279</v>
      </c>
      <c r="C60" s="124">
        <v>0.30599999999999999</v>
      </c>
      <c r="D60" s="124" t="s">
        <v>280</v>
      </c>
      <c r="E60" s="124">
        <v>1.56</v>
      </c>
      <c r="F60" s="125" t="s">
        <v>200</v>
      </c>
      <c r="G60" s="126">
        <v>0.6</v>
      </c>
      <c r="H60" s="124" t="s">
        <v>281</v>
      </c>
      <c r="I60" s="127">
        <v>1.03</v>
      </c>
      <c r="J60" s="78"/>
      <c r="K60" s="78"/>
      <c r="L60" s="78"/>
      <c r="M60" s="78"/>
      <c r="N60" s="78"/>
    </row>
    <row r="61" spans="1:14">
      <c r="A61" s="122" t="s">
        <v>303</v>
      </c>
      <c r="B61" s="123" t="s">
        <v>279</v>
      </c>
      <c r="C61" s="124">
        <v>0.313</v>
      </c>
      <c r="D61" s="124" t="s">
        <v>280</v>
      </c>
      <c r="E61" s="124">
        <v>1.56</v>
      </c>
      <c r="F61" s="125" t="s">
        <v>200</v>
      </c>
      <c r="G61" s="126">
        <v>0.6</v>
      </c>
      <c r="H61" s="124" t="s">
        <v>281</v>
      </c>
      <c r="I61" s="127">
        <v>1.03</v>
      </c>
      <c r="J61" s="78"/>
      <c r="K61" s="78"/>
      <c r="L61" s="78"/>
      <c r="M61" s="78"/>
      <c r="N61" s="78"/>
    </row>
    <row r="62" spans="1:14">
      <c r="A62" s="122" t="s">
        <v>304</v>
      </c>
      <c r="B62" s="123" t="s">
        <v>305</v>
      </c>
      <c r="C62" s="124">
        <v>0.37</v>
      </c>
      <c r="D62" s="124" t="s">
        <v>199</v>
      </c>
      <c r="E62" s="124">
        <v>1.56</v>
      </c>
      <c r="F62" s="125" t="s">
        <v>200</v>
      </c>
      <c r="G62" s="126">
        <v>0.6</v>
      </c>
      <c r="H62" s="124" t="s">
        <v>281</v>
      </c>
      <c r="I62" s="127">
        <v>1.03</v>
      </c>
      <c r="J62" s="78"/>
      <c r="K62" s="78"/>
      <c r="L62" s="78"/>
      <c r="M62" s="78"/>
      <c r="N62" s="78"/>
    </row>
    <row r="63" spans="1:14">
      <c r="A63" s="122" t="s">
        <v>306</v>
      </c>
      <c r="B63" s="123" t="s">
        <v>307</v>
      </c>
      <c r="C63" s="124">
        <v>0.45</v>
      </c>
      <c r="D63" s="124" t="s">
        <v>199</v>
      </c>
      <c r="E63" s="124">
        <v>1.3</v>
      </c>
      <c r="F63" s="125" t="s">
        <v>200</v>
      </c>
      <c r="G63" s="126">
        <v>0.45</v>
      </c>
      <c r="H63" s="124" t="s">
        <v>308</v>
      </c>
      <c r="I63" s="127">
        <v>0.43</v>
      </c>
      <c r="J63" s="78"/>
      <c r="K63" s="78"/>
      <c r="L63" s="78"/>
      <c r="M63" s="78"/>
      <c r="N63" s="78"/>
    </row>
    <row r="64" spans="1:14">
      <c r="A64" s="122" t="s">
        <v>309</v>
      </c>
      <c r="B64" s="123" t="s">
        <v>310</v>
      </c>
      <c r="C64" s="124">
        <v>0.39</v>
      </c>
      <c r="D64" s="124" t="s">
        <v>199</v>
      </c>
      <c r="E64" s="124">
        <v>1.3</v>
      </c>
      <c r="F64" s="125" t="s">
        <v>200</v>
      </c>
      <c r="G64" s="126">
        <v>0.45</v>
      </c>
      <c r="H64" s="124" t="s">
        <v>308</v>
      </c>
      <c r="I64" s="127">
        <v>0.43</v>
      </c>
      <c r="J64" s="78"/>
      <c r="K64" s="78"/>
      <c r="L64" s="78"/>
      <c r="M64" s="78"/>
      <c r="N64" s="78"/>
    </row>
    <row r="65" spans="1:14">
      <c r="A65" s="122" t="s">
        <v>311</v>
      </c>
      <c r="B65" s="123" t="s">
        <v>312</v>
      </c>
      <c r="C65" s="124">
        <v>0.44</v>
      </c>
      <c r="D65" s="124" t="s">
        <v>199</v>
      </c>
      <c r="E65" s="124">
        <v>1.3</v>
      </c>
      <c r="F65" s="125" t="s">
        <v>200</v>
      </c>
      <c r="G65" s="126">
        <v>0.45</v>
      </c>
      <c r="H65" s="124" t="s">
        <v>308</v>
      </c>
      <c r="I65" s="127">
        <v>0.43</v>
      </c>
      <c r="J65" s="78"/>
      <c r="K65" s="78"/>
      <c r="L65" s="78"/>
      <c r="M65" s="78"/>
      <c r="N65" s="78"/>
    </row>
    <row r="66" spans="1:14">
      <c r="A66" s="122" t="s">
        <v>313</v>
      </c>
      <c r="B66" s="123" t="s">
        <v>314</v>
      </c>
      <c r="C66" s="124">
        <v>0.46</v>
      </c>
      <c r="D66" s="124" t="s">
        <v>199</v>
      </c>
      <c r="E66" s="124">
        <v>1.3</v>
      </c>
      <c r="F66" s="125" t="s">
        <v>200</v>
      </c>
      <c r="G66" s="126">
        <v>0.45</v>
      </c>
      <c r="H66" s="124" t="s">
        <v>308</v>
      </c>
      <c r="I66" s="127">
        <v>0.43</v>
      </c>
      <c r="J66" s="78"/>
      <c r="K66" s="78"/>
      <c r="L66" s="78"/>
      <c r="M66" s="78"/>
      <c r="N66" s="78"/>
    </row>
    <row r="67" spans="1:14">
      <c r="A67" s="122" t="s">
        <v>315</v>
      </c>
      <c r="B67" s="123" t="s">
        <v>316</v>
      </c>
      <c r="C67" s="124">
        <v>0.46</v>
      </c>
      <c r="D67" s="124" t="s">
        <v>199</v>
      </c>
      <c r="E67" s="124">
        <v>1.3</v>
      </c>
      <c r="F67" s="125" t="s">
        <v>200</v>
      </c>
      <c r="G67" s="126">
        <v>0.45</v>
      </c>
      <c r="H67" s="124" t="s">
        <v>224</v>
      </c>
      <c r="I67" s="127">
        <v>0.59</v>
      </c>
      <c r="J67" s="78"/>
      <c r="K67" s="78"/>
      <c r="L67" s="78"/>
      <c r="M67" s="78"/>
      <c r="N67" s="78"/>
    </row>
    <row r="68" spans="1:14">
      <c r="A68" s="122" t="s">
        <v>317</v>
      </c>
      <c r="B68" s="123" t="s">
        <v>318</v>
      </c>
      <c r="C68" s="124">
        <v>0.44</v>
      </c>
      <c r="D68" s="124" t="s">
        <v>199</v>
      </c>
      <c r="E68" s="124">
        <v>1.3</v>
      </c>
      <c r="F68" s="125" t="s">
        <v>200</v>
      </c>
      <c r="G68" s="126">
        <v>0.45</v>
      </c>
      <c r="H68" s="124" t="s">
        <v>308</v>
      </c>
      <c r="I68" s="127">
        <v>0.43</v>
      </c>
      <c r="J68" s="78"/>
      <c r="K68" s="78"/>
      <c r="L68" s="78"/>
      <c r="M68" s="78"/>
      <c r="N68" s="78"/>
    </row>
    <row r="69" spans="1:14">
      <c r="A69" s="122" t="s">
        <v>319</v>
      </c>
      <c r="B69" s="123" t="s">
        <v>320</v>
      </c>
      <c r="C69" s="124">
        <v>0.46</v>
      </c>
      <c r="D69" s="124" t="s">
        <v>199</v>
      </c>
      <c r="E69" s="124">
        <v>1.3</v>
      </c>
      <c r="F69" s="125" t="s">
        <v>200</v>
      </c>
      <c r="G69" s="126">
        <v>0.45</v>
      </c>
      <c r="H69" s="124" t="s">
        <v>308</v>
      </c>
      <c r="I69" s="127">
        <v>0.43</v>
      </c>
      <c r="J69" s="78"/>
      <c r="K69" s="78"/>
      <c r="L69" s="78"/>
      <c r="M69" s="78"/>
      <c r="N69" s="78"/>
    </row>
    <row r="70" spans="1:14">
      <c r="A70" s="122" t="s">
        <v>321</v>
      </c>
      <c r="B70" s="123" t="s">
        <v>322</v>
      </c>
      <c r="C70" s="124">
        <v>0.48</v>
      </c>
      <c r="D70" s="124" t="s">
        <v>199</v>
      </c>
      <c r="E70" s="124">
        <v>2.4</v>
      </c>
      <c r="F70" s="124" t="s">
        <v>323</v>
      </c>
      <c r="G70" s="126">
        <v>0.45</v>
      </c>
      <c r="H70" s="124" t="s">
        <v>308</v>
      </c>
      <c r="I70" s="127">
        <v>0.43</v>
      </c>
      <c r="J70" s="78"/>
      <c r="K70" s="78"/>
      <c r="L70" s="78"/>
      <c r="M70" s="78"/>
      <c r="N70" s="78"/>
    </row>
    <row r="71" spans="1:14">
      <c r="A71" s="122" t="s">
        <v>324</v>
      </c>
      <c r="B71" s="123" t="s">
        <v>325</v>
      </c>
      <c r="C71" s="124">
        <v>0.46</v>
      </c>
      <c r="D71" s="124" t="s">
        <v>326</v>
      </c>
      <c r="E71" s="124">
        <v>1.3</v>
      </c>
      <c r="F71" s="125" t="s">
        <v>200</v>
      </c>
      <c r="G71" s="126">
        <v>0.45</v>
      </c>
      <c r="H71" s="124" t="s">
        <v>308</v>
      </c>
      <c r="I71" s="127">
        <v>0.43</v>
      </c>
      <c r="J71" s="78"/>
      <c r="K71" s="78"/>
      <c r="L71" s="78"/>
      <c r="M71" s="78"/>
      <c r="N71" s="78"/>
    </row>
    <row r="72" spans="1:14">
      <c r="A72" s="122" t="s">
        <v>327</v>
      </c>
      <c r="B72" s="123" t="s">
        <v>328</v>
      </c>
      <c r="C72" s="124">
        <v>0.44</v>
      </c>
      <c r="D72" s="124" t="s">
        <v>199</v>
      </c>
      <c r="E72" s="124">
        <v>1.3</v>
      </c>
      <c r="F72" s="125" t="s">
        <v>200</v>
      </c>
      <c r="G72" s="126">
        <v>0.45</v>
      </c>
      <c r="H72" s="124" t="s">
        <v>308</v>
      </c>
      <c r="I72" s="127">
        <v>0.43</v>
      </c>
      <c r="J72" s="78"/>
      <c r="K72" s="78"/>
      <c r="L72" s="78"/>
      <c r="M72" s="78"/>
      <c r="N72" s="78"/>
    </row>
    <row r="73" spans="1:14">
      <c r="A73" s="122" t="s">
        <v>329</v>
      </c>
      <c r="B73" s="123" t="s">
        <v>330</v>
      </c>
      <c r="C73" s="124">
        <v>0.46</v>
      </c>
      <c r="D73" s="124" t="s">
        <v>331</v>
      </c>
      <c r="E73" s="124">
        <v>1.3</v>
      </c>
      <c r="F73" s="125" t="s">
        <v>200</v>
      </c>
      <c r="G73" s="126">
        <v>0.45</v>
      </c>
      <c r="H73" s="124" t="s">
        <v>308</v>
      </c>
      <c r="I73" s="127">
        <v>0.43</v>
      </c>
      <c r="J73" s="78"/>
      <c r="K73" s="78"/>
      <c r="L73" s="78"/>
      <c r="M73" s="78"/>
      <c r="N73" s="78"/>
    </row>
    <row r="74" spans="1:14">
      <c r="A74" s="122" t="s">
        <v>332</v>
      </c>
      <c r="B74" s="123" t="s">
        <v>333</v>
      </c>
      <c r="C74" s="124">
        <v>0.34</v>
      </c>
      <c r="D74" s="124" t="s">
        <v>199</v>
      </c>
      <c r="E74" s="124">
        <v>1.3</v>
      </c>
      <c r="F74" s="125" t="s">
        <v>200</v>
      </c>
      <c r="G74" s="126">
        <v>0.45</v>
      </c>
      <c r="H74" s="124" t="s">
        <v>308</v>
      </c>
      <c r="I74" s="127">
        <v>0.43</v>
      </c>
      <c r="J74" s="78"/>
      <c r="K74" s="78"/>
      <c r="L74" s="78"/>
      <c r="M74" s="78"/>
      <c r="N74" s="78"/>
    </row>
    <row r="75" spans="1:14">
      <c r="A75" s="122" t="s">
        <v>334</v>
      </c>
      <c r="B75" s="123" t="s">
        <v>335</v>
      </c>
      <c r="C75" s="124">
        <v>0.5</v>
      </c>
      <c r="D75" s="124" t="s">
        <v>199</v>
      </c>
      <c r="E75" s="124">
        <v>1.56</v>
      </c>
      <c r="F75" s="125" t="s">
        <v>200</v>
      </c>
      <c r="G75" s="126">
        <v>0.53</v>
      </c>
      <c r="H75" s="124" t="s">
        <v>252</v>
      </c>
      <c r="I75" s="127">
        <v>0.25</v>
      </c>
      <c r="J75" s="78"/>
      <c r="K75" s="78"/>
      <c r="L75" s="78"/>
      <c r="M75" s="78"/>
      <c r="N75" s="78"/>
    </row>
    <row r="76" spans="1:14">
      <c r="A76" s="122" t="s">
        <v>30</v>
      </c>
      <c r="B76" s="123" t="s">
        <v>336</v>
      </c>
      <c r="C76" s="124">
        <v>0.57999999999999996</v>
      </c>
      <c r="D76" s="124" t="s">
        <v>199</v>
      </c>
      <c r="E76" s="124">
        <v>1.56</v>
      </c>
      <c r="F76" s="125" t="s">
        <v>200</v>
      </c>
      <c r="G76" s="126">
        <v>0.3</v>
      </c>
      <c r="H76" s="124" t="s">
        <v>337</v>
      </c>
      <c r="I76" s="127">
        <v>0.25</v>
      </c>
      <c r="J76" s="78"/>
      <c r="K76" s="78"/>
      <c r="L76" s="78"/>
      <c r="M76" s="78"/>
      <c r="N76" s="78"/>
    </row>
    <row r="77" spans="1:14">
      <c r="A77" s="122" t="s">
        <v>338</v>
      </c>
      <c r="B77" s="123" t="s">
        <v>339</v>
      </c>
      <c r="C77" s="124">
        <v>0.37</v>
      </c>
      <c r="D77" s="124" t="s">
        <v>199</v>
      </c>
      <c r="E77" s="124">
        <v>1.3</v>
      </c>
      <c r="F77" s="125" t="s">
        <v>200</v>
      </c>
      <c r="G77" s="126">
        <v>0.55000000000000004</v>
      </c>
      <c r="H77" s="124" t="s">
        <v>224</v>
      </c>
      <c r="I77" s="127">
        <v>0.43</v>
      </c>
      <c r="J77" s="78"/>
      <c r="K77" s="78"/>
      <c r="L77" s="78"/>
      <c r="M77" s="78"/>
      <c r="N77" s="78"/>
    </row>
    <row r="78" spans="1:14">
      <c r="A78" s="122" t="s">
        <v>340</v>
      </c>
      <c r="B78" s="123" t="s">
        <v>341</v>
      </c>
      <c r="C78" s="124">
        <v>0.37</v>
      </c>
      <c r="D78" s="124" t="s">
        <v>199</v>
      </c>
      <c r="E78" s="124">
        <v>1.3</v>
      </c>
      <c r="F78" s="125" t="s">
        <v>200</v>
      </c>
      <c r="G78" s="126">
        <v>0.55000000000000004</v>
      </c>
      <c r="H78" s="124" t="s">
        <v>224</v>
      </c>
      <c r="I78" s="127">
        <v>0.43</v>
      </c>
      <c r="J78" s="78"/>
      <c r="K78" s="78"/>
      <c r="L78" s="78"/>
      <c r="M78" s="78"/>
      <c r="N78" s="78"/>
    </row>
    <row r="79" spans="1:14">
      <c r="A79" s="122" t="s">
        <v>342</v>
      </c>
      <c r="B79" s="123" t="s">
        <v>343</v>
      </c>
      <c r="C79" s="124">
        <v>0.38</v>
      </c>
      <c r="D79" s="124" t="s">
        <v>199</v>
      </c>
      <c r="E79" s="124">
        <v>1.3</v>
      </c>
      <c r="F79" s="125" t="s">
        <v>200</v>
      </c>
      <c r="G79" s="126">
        <v>0.55000000000000004</v>
      </c>
      <c r="H79" s="124" t="s">
        <v>215</v>
      </c>
      <c r="I79" s="127">
        <v>0.43</v>
      </c>
      <c r="J79" s="78"/>
      <c r="K79" s="78"/>
      <c r="L79" s="78"/>
      <c r="M79" s="78"/>
      <c r="N79" s="78"/>
    </row>
    <row r="80" spans="1:14">
      <c r="A80" s="122" t="s">
        <v>344</v>
      </c>
      <c r="B80" s="123" t="s">
        <v>345</v>
      </c>
      <c r="C80" s="124">
        <v>0.36</v>
      </c>
      <c r="D80" s="124" t="s">
        <v>199</v>
      </c>
      <c r="E80" s="124">
        <v>1.3</v>
      </c>
      <c r="F80" s="125" t="s">
        <v>200</v>
      </c>
      <c r="G80" s="126">
        <v>0.55000000000000004</v>
      </c>
      <c r="H80" s="124" t="s">
        <v>215</v>
      </c>
      <c r="I80" s="127">
        <v>0.43</v>
      </c>
      <c r="J80" s="78"/>
      <c r="K80" s="78"/>
      <c r="L80" s="78"/>
      <c r="M80" s="78"/>
      <c r="N80" s="78"/>
    </row>
    <row r="81" spans="1:14">
      <c r="A81" s="122" t="s">
        <v>346</v>
      </c>
      <c r="B81" s="123" t="s">
        <v>347</v>
      </c>
      <c r="C81" s="124">
        <v>0.37</v>
      </c>
      <c r="D81" s="124" t="s">
        <v>199</v>
      </c>
      <c r="E81" s="124">
        <v>1.56</v>
      </c>
      <c r="F81" s="125" t="s">
        <v>200</v>
      </c>
      <c r="G81" s="126">
        <v>0.43</v>
      </c>
      <c r="H81" s="124" t="s">
        <v>201</v>
      </c>
      <c r="I81" s="127">
        <v>0.25</v>
      </c>
      <c r="J81" s="78"/>
      <c r="K81" s="78"/>
      <c r="L81" s="78"/>
      <c r="M81" s="78"/>
      <c r="N81" s="78"/>
    </row>
    <row r="82" spans="1:14">
      <c r="A82" s="122" t="s">
        <v>348</v>
      </c>
      <c r="B82" s="123" t="s">
        <v>349</v>
      </c>
      <c r="C82" s="124">
        <v>0.35</v>
      </c>
      <c r="D82" s="124" t="s">
        <v>350</v>
      </c>
      <c r="E82" s="124">
        <v>1.3</v>
      </c>
      <c r="F82" s="125" t="s">
        <v>200</v>
      </c>
      <c r="G82" s="126">
        <v>0.55000000000000004</v>
      </c>
      <c r="H82" s="124" t="s">
        <v>215</v>
      </c>
      <c r="I82" s="127">
        <v>0.43</v>
      </c>
      <c r="J82" s="78"/>
      <c r="K82" s="78"/>
      <c r="L82" s="78"/>
      <c r="M82" s="78"/>
      <c r="N82" s="78"/>
    </row>
    <row r="83" spans="1:14">
      <c r="A83" s="122" t="s">
        <v>351</v>
      </c>
      <c r="B83" s="123" t="s">
        <v>352</v>
      </c>
      <c r="C83" s="124">
        <v>0.34</v>
      </c>
      <c r="D83" s="124" t="s">
        <v>199</v>
      </c>
      <c r="E83" s="124">
        <v>1.3</v>
      </c>
      <c r="F83" s="125" t="s">
        <v>200</v>
      </c>
      <c r="G83" s="126">
        <v>0.55000000000000004</v>
      </c>
      <c r="H83" s="124" t="s">
        <v>215</v>
      </c>
      <c r="I83" s="127">
        <v>0.43</v>
      </c>
      <c r="J83" s="78"/>
      <c r="K83" s="78"/>
      <c r="L83" s="78"/>
      <c r="M83" s="78"/>
      <c r="N83" s="78"/>
    </row>
    <row r="84" spans="1:14">
      <c r="A84" s="122" t="s">
        <v>353</v>
      </c>
      <c r="B84" s="123" t="s">
        <v>354</v>
      </c>
      <c r="C84" s="124">
        <v>0.31</v>
      </c>
      <c r="D84" s="124" t="s">
        <v>199</v>
      </c>
      <c r="E84" s="124">
        <v>1.3</v>
      </c>
      <c r="F84" s="125" t="s">
        <v>200</v>
      </c>
      <c r="G84" s="126">
        <v>0.55000000000000004</v>
      </c>
      <c r="H84" s="124" t="s">
        <v>215</v>
      </c>
      <c r="I84" s="127">
        <v>0.43</v>
      </c>
      <c r="J84" s="78"/>
      <c r="K84" s="78"/>
      <c r="L84" s="78"/>
      <c r="M84" s="78"/>
      <c r="N84" s="78"/>
    </row>
    <row r="85" spans="1:14">
      <c r="A85" s="122" t="s">
        <v>355</v>
      </c>
      <c r="B85" s="123" t="s">
        <v>356</v>
      </c>
      <c r="C85" s="124">
        <v>0.43</v>
      </c>
      <c r="D85" s="124" t="s">
        <v>199</v>
      </c>
      <c r="E85" s="124">
        <v>1.56</v>
      </c>
      <c r="F85" s="125" t="s">
        <v>200</v>
      </c>
      <c r="G85" s="126">
        <v>0.53</v>
      </c>
      <c r="H85" s="124" t="s">
        <v>252</v>
      </c>
      <c r="I85" s="127">
        <v>0.25</v>
      </c>
      <c r="J85" s="78"/>
      <c r="K85" s="78"/>
      <c r="L85" s="78"/>
      <c r="M85" s="78"/>
      <c r="N85" s="78"/>
    </row>
    <row r="86" spans="1:14">
      <c r="A86" s="122" t="s">
        <v>357</v>
      </c>
      <c r="B86" s="123" t="s">
        <v>358</v>
      </c>
      <c r="C86" s="124">
        <v>0.38</v>
      </c>
      <c r="D86" s="124" t="s">
        <v>199</v>
      </c>
      <c r="E86" s="124">
        <v>1.56</v>
      </c>
      <c r="F86" s="125" t="s">
        <v>200</v>
      </c>
      <c r="G86" s="126">
        <v>0.6</v>
      </c>
      <c r="H86" s="124" t="s">
        <v>359</v>
      </c>
      <c r="I86" s="127">
        <v>0.25</v>
      </c>
      <c r="J86" s="78"/>
      <c r="K86" s="78"/>
      <c r="L86" s="78"/>
      <c r="M86" s="78"/>
      <c r="N86" s="78"/>
    </row>
    <row r="87" spans="1:14">
      <c r="A87" s="251" t="s">
        <v>360</v>
      </c>
      <c r="B87" s="252" t="s">
        <v>361</v>
      </c>
      <c r="C87" s="253">
        <v>0.41</v>
      </c>
      <c r="D87" s="253" t="s">
        <v>362</v>
      </c>
      <c r="E87" s="253">
        <v>1.56</v>
      </c>
      <c r="F87" s="254" t="s">
        <v>200</v>
      </c>
      <c r="G87" s="255">
        <v>0.43</v>
      </c>
      <c r="H87" s="253" t="s">
        <v>201</v>
      </c>
      <c r="I87" s="256">
        <v>0.25</v>
      </c>
      <c r="J87" s="78"/>
      <c r="K87" s="78"/>
      <c r="L87" s="78"/>
      <c r="M87" s="78"/>
      <c r="N87" s="78"/>
    </row>
    <row r="88" spans="1:14">
      <c r="A88" s="122" t="s">
        <v>159</v>
      </c>
      <c r="B88" s="130"/>
      <c r="C88" s="124">
        <v>0.42</v>
      </c>
      <c r="D88" s="124" t="s">
        <v>199</v>
      </c>
      <c r="E88" s="124">
        <v>1.3</v>
      </c>
      <c r="F88" s="125" t="s">
        <v>200</v>
      </c>
      <c r="G88" s="131"/>
      <c r="H88" s="130"/>
      <c r="I88" s="132"/>
    </row>
    <row r="89" spans="1:14" ht="15" thickBot="1">
      <c r="A89" s="133" t="s">
        <v>363</v>
      </c>
      <c r="B89" s="134"/>
      <c r="C89" s="135">
        <v>0.56999999999999995</v>
      </c>
      <c r="D89" s="136" t="s">
        <v>199</v>
      </c>
      <c r="E89" s="135">
        <v>1.56</v>
      </c>
      <c r="F89" s="135" t="s">
        <v>200</v>
      </c>
      <c r="G89" s="134"/>
      <c r="H89" s="134"/>
      <c r="I89" s="137"/>
    </row>
    <row r="93" spans="1:14">
      <c r="A93" s="122" t="s">
        <v>160</v>
      </c>
    </row>
    <row r="94" spans="1:14">
      <c r="A94" s="122" t="s">
        <v>161</v>
      </c>
    </row>
    <row r="95" spans="1:14">
      <c r="A95" s="122" t="s">
        <v>162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75" zoomScaleNormal="55" workbookViewId="0">
      <selection activeCell="E7" sqref="E7"/>
    </sheetView>
  </sheetViews>
  <sheetFormatPr defaultColWidth="11.42578125" defaultRowHeight="14.4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5" thickBot="1">
      <c r="A2" s="273" t="s">
        <v>364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>
      <c r="A5" s="138" t="s">
        <v>365</v>
      </c>
      <c r="B5" s="139" t="s">
        <v>366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367</v>
      </c>
      <c r="F5" s="140" t="s">
        <v>368</v>
      </c>
      <c r="G5" s="140" t="s">
        <v>369</v>
      </c>
      <c r="H5" s="141" t="s">
        <v>370</v>
      </c>
      <c r="I5" s="142" t="s">
        <v>371</v>
      </c>
      <c r="J5" s="143" t="s">
        <v>372</v>
      </c>
      <c r="K5" s="144" t="s">
        <v>373</v>
      </c>
      <c r="L5" s="84" t="s">
        <v>374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>
      <c r="A6" s="145" t="str">
        <f>IF('Données projet'!$B$9="","",'Données projet'!$B$9)</f>
        <v/>
      </c>
      <c r="B6" s="146">
        <f>'Données projet'!D9</f>
        <v>0</v>
      </c>
      <c r="C6" s="147">
        <f>IF(OR('Données projet'!B9="",'Données projet'!C9="",'Données projet'!C9=0%),0,Calculateur!S3)</f>
        <v>0</v>
      </c>
      <c r="D6" s="147">
        <f>IF(OR('Données projet'!B9="",'Données projet'!C9="",'Données projet'!C9=0%),0,Calculateur!T3)</f>
        <v>0</v>
      </c>
      <c r="E6" s="147">
        <f>MIN(C6,D6)</f>
        <v>0</v>
      </c>
      <c r="F6" s="147">
        <f>E6*B6</f>
        <v>0</v>
      </c>
      <c r="G6" s="147">
        <f>F6*(100%-'Données projet'!$C$24)*(100%-'Données projet'!$C$25)*(100%-'Données projet'!$C$26)*(100%-'Données projet'!$C$27)</f>
        <v>0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>G6+I6+K6</f>
        <v>0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>
      <c r="A7" s="153" t="str">
        <f>IF('Données projet'!$B$10="","",'Données projet'!$B$10)</f>
        <v>Erable champêtre</v>
      </c>
      <c r="B7" s="154">
        <f>'Données projet'!D10</f>
        <v>0.22856804733727809</v>
      </c>
      <c r="C7" s="147">
        <f ca="1">IF(OR('Données projet'!B10="",'Données projet'!C10="",'Données projet'!C10=0%),0,Calculateur!AN3)</f>
        <v>338.55719679154777</v>
      </c>
      <c r="D7" s="147">
        <f>IF(OR('Données projet'!B10="",'Données projet'!C10="",'Données projet'!C10=0%),0,Calculateur!AO3)</f>
        <v>371.26234252426531</v>
      </c>
      <c r="E7" s="147">
        <f t="shared" ref="E7:E15" ca="1" si="0">MIN(C7,D7)</f>
        <v>338.55719679154777</v>
      </c>
      <c r="F7" s="147">
        <f t="shared" ref="F7:F15" ca="1" si="1">E7*B7</f>
        <v>77.38335738262667</v>
      </c>
      <c r="G7" s="147">
        <f ca="1">F7*(100%-'Données projet'!$C$24)*(100%-'Données projet'!$C$25)*(100%-'Données projet'!$C$26)*(100%-'Données projet'!$C$27)</f>
        <v>59.546493505931231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5.6570591715976324</v>
      </c>
      <c r="K7" s="151">
        <f>J7*(100%-'Données projet'!$C$24)*(100%-'Données projet'!$C$25)*(100%-'Données projet'!$C$26)*(100%-'Données projet'!$C$27)</f>
        <v>4.3531070325443784</v>
      </c>
      <c r="L7" s="152">
        <f t="shared" ref="L7:L15" ca="1" si="2">G7+I7+K7</f>
        <v>63.89960053847561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>
      <c r="A8" s="153" t="str">
        <f>IF('Données projet'!$B$11="","",'Données projet'!$B$11)</f>
        <v>Charme</v>
      </c>
      <c r="B8" s="154">
        <f>'Données projet'!D11</f>
        <v>0.92250887573964502</v>
      </c>
      <c r="C8" s="147">
        <f ca="1">IF(OR('Données projet'!B11="",'Données projet'!C11="",'Données projet'!C11=0%),0,Calculateur!BI3)</f>
        <v>351.6178679548006</v>
      </c>
      <c r="D8" s="147">
        <f>IF(OR('Données projet'!B11="",'Données projet'!C11="",'Données projet'!C11=0%),0,Calculateur!BJ3)</f>
        <v>244.7141066773861</v>
      </c>
      <c r="E8" s="147">
        <f t="shared" ca="1" si="0"/>
        <v>244.7141066773861</v>
      </c>
      <c r="F8" s="147">
        <f t="shared" ca="1" si="1"/>
        <v>225.75093542858701</v>
      </c>
      <c r="G8" s="147">
        <f ca="1">F8*(100%-'Données projet'!$C$24)*(100%-'Données projet'!$C$25)*(100%-'Données projet'!$C$26)*(100%-'Données projet'!$C$27)</f>
        <v>173.71534481229773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6.2091943559399185</v>
      </c>
      <c r="K8" s="151">
        <f>J8*(100%-'Données projet'!$C$24)*(100%-'Données projet'!$C$25)*(100%-'Données projet'!$C$26)*(100%-'Données projet'!$C$27)</f>
        <v>4.7779750568957668</v>
      </c>
      <c r="L8" s="152">
        <f t="shared" ca="1" si="2"/>
        <v>178.4933198691935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>
      <c r="A9" s="153" t="str">
        <f>IF('Données projet'!$B$12="","",'Données projet'!$B$12)</f>
        <v>Cèdre de l'Atlas</v>
      </c>
      <c r="B9" s="154">
        <f>'Données projet'!D12</f>
        <v>0.20317159763313611</v>
      </c>
      <c r="C9" s="147">
        <f ca="1">IF(OR('Données projet'!B12="",'Données projet'!C12="",'Données projet'!C12=0%),0,Calculateur!CD3)</f>
        <v>246.66630850723385</v>
      </c>
      <c r="D9" s="147">
        <f>IF(OR('Données projet'!B12="",'Données projet'!C12="",'Données projet'!C12=0%),0,Calculateur!CE3)</f>
        <v>145.34368562171613</v>
      </c>
      <c r="E9" s="147">
        <f t="shared" ca="1" si="0"/>
        <v>145.34368562171613</v>
      </c>
      <c r="F9" s="147">
        <f t="shared" ca="1" si="1"/>
        <v>29.529708813652341</v>
      </c>
      <c r="G9" s="147">
        <f ca="1">F9*(100%-'Données projet'!$C$24)*(100%-'Données projet'!$C$25)*(100%-'Données projet'!$C$26)*(100%-'Données projet'!$C$27)</f>
        <v>22.723110932105481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22.723110932105481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>
      <c r="A10" s="153" t="str">
        <f>IF('Données projet'!$B$13="","",'Données projet'!$B$13)</f>
        <v>Merisier</v>
      </c>
      <c r="B10" s="154">
        <f>'Données projet'!D13</f>
        <v>0.41526627218934908</v>
      </c>
      <c r="C10" s="147">
        <f ca="1">IF(OR('Données projet'!B13="",'Données projet'!C13="",'Données projet'!C13=0%),0,Calculateur!CY3)</f>
        <v>292.57482726862594</v>
      </c>
      <c r="D10" s="147">
        <f>IF(OR('Données projet'!B13="",'Données projet'!C13="",'Données projet'!C13=0%),0,Calculateur!CZ3)</f>
        <v>283.48738729114024</v>
      </c>
      <c r="E10" s="147">
        <f t="shared" ca="1" si="0"/>
        <v>283.48738729114024</v>
      </c>
      <c r="F10" s="147">
        <f t="shared" ca="1" si="1"/>
        <v>117.72275053309006</v>
      </c>
      <c r="G10" s="147">
        <f ca="1">F10*(100%-'Données projet'!$C$24)*(100%-'Données projet'!$C$25)*(100%-'Données projet'!$C$26)*(100%-'Données projet'!$C$27)</f>
        <v>90.587656535212801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5.7099112426035497</v>
      </c>
      <c r="K10" s="151">
        <f>J10*(100%-'Données projet'!$C$24)*(100%-'Données projet'!$C$25)*(100%-'Données projet'!$C$26)*(100%-'Données projet'!$C$27)</f>
        <v>4.3937767011834312</v>
      </c>
      <c r="L10" s="152">
        <f t="shared" ca="1" si="2"/>
        <v>94.981433236396228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>
      <c r="A11" s="153" t="str">
        <f>IF('Données projet'!$B$14="","",'Données projet'!$B$14)</f>
        <v>Chêne pubescent</v>
      </c>
      <c r="B11" s="154">
        <f>'Données projet'!D14</f>
        <v>0.68639053254437865</v>
      </c>
      <c r="C11" s="147">
        <f ca="1">IF(OR('Données projet'!B14="",'Données projet'!C14="",'Données projet'!C14=0%),0,Calculateur!DT3)</f>
        <v>475.47920969424894</v>
      </c>
      <c r="D11" s="147">
        <f>IF(OR('Données projet'!B14="",'Données projet'!C14="",'Données projet'!C14=0%),0,Calculateur!DU3)</f>
        <v>271.73544012419364</v>
      </c>
      <c r="E11" s="147">
        <f t="shared" ca="1" si="0"/>
        <v>271.73544012419364</v>
      </c>
      <c r="F11" s="147">
        <f t="shared" ca="1" si="1"/>
        <v>186.5166334580264</v>
      </c>
      <c r="G11" s="147">
        <f ca="1">F11*(100%-'Données projet'!$C$24)*(100%-'Données projet'!$C$25)*(100%-'Données projet'!$C$26)*(100%-'Données projet'!$C$27)</f>
        <v>143.52454944595132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4.9763313609467454</v>
      </c>
      <c r="K11" s="151">
        <f>J11*(100%-'Données projet'!$C$24)*(100%-'Données projet'!$C$25)*(100%-'Données projet'!$C$26)*(100%-'Données projet'!$C$27)</f>
        <v>3.8292869822485205</v>
      </c>
      <c r="L11" s="152">
        <f t="shared" ca="1" si="2"/>
        <v>147.35383642819986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>
      <c r="A12" s="153" t="str">
        <f>IF('Données projet'!$B$15="","",'Données projet'!$B$15)</f>
        <v>Chêne sessile</v>
      </c>
      <c r="B12" s="154">
        <f>'Données projet'!D15</f>
        <v>1.74</v>
      </c>
      <c r="C12" s="147">
        <f ca="1">IF(OR('Données projet'!B15="",'Données projet'!C15="",'Données projet'!C15=0%),0,Calculateur!EO3)</f>
        <v>428.8489304403459</v>
      </c>
      <c r="D12" s="147">
        <f>IF(OR('Données projet'!B15="",'Données projet'!C15="",'Données projet'!C15=0%),0,Calculateur!EP3)</f>
        <v>247.01165577562966</v>
      </c>
      <c r="E12" s="147">
        <f t="shared" ca="1" si="0"/>
        <v>247.01165577562966</v>
      </c>
      <c r="F12" s="147">
        <f t="shared" ca="1" si="1"/>
        <v>429.80028104959564</v>
      </c>
      <c r="G12" s="147">
        <f ca="1">F12*(100%-'Données projet'!$C$24)*(100%-'Données projet'!$C$25)*(100%-'Données projet'!$C$26)*(100%-'Données projet'!$C$27)</f>
        <v>330.73131626766383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12.615</v>
      </c>
      <c r="K12" s="151">
        <f>J12*(100%-'Données projet'!$C$24)*(100%-'Données projet'!$C$25)*(100%-'Données projet'!$C$26)*(100%-'Données projet'!$C$27)</f>
        <v>9.7072424999999996</v>
      </c>
      <c r="L12" s="152">
        <f t="shared" ca="1" si="2"/>
        <v>340.43855876766384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>
      <c r="A13" s="153" t="str">
        <f>IF('Données projet'!$B$16="","",'Données projet'!$B$16)</f>
        <v>Robinier faux-acacia</v>
      </c>
      <c r="B13" s="154">
        <f>'Données projet'!D16</f>
        <v>0.57999999999999996</v>
      </c>
      <c r="C13" s="147">
        <f ca="1">IF(OR('Données projet'!B16="",'Données projet'!C16="",'Données projet'!C16=0%),0,Calculateur!FJ3)</f>
        <v>245.25496369542458</v>
      </c>
      <c r="D13" s="147">
        <f>IF(OR('Données projet'!B16="",'Données projet'!C16="",'Données projet'!C16=0%),0,Calculateur!FK3)</f>
        <v>342.30266518164211</v>
      </c>
      <c r="E13" s="147">
        <f t="shared" ca="1" si="0"/>
        <v>245.25496369542458</v>
      </c>
      <c r="F13" s="147">
        <f t="shared" ca="1" si="1"/>
        <v>142.24787894334625</v>
      </c>
      <c r="G13" s="147">
        <f ca="1">F13*(100%-'Données projet'!$C$24)*(100%-'Données projet'!$C$25)*(100%-'Données projet'!$C$26)*(100%-'Données projet'!$C$27)</f>
        <v>109.45974284690494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7.8299999999999992</v>
      </c>
      <c r="K13" s="151">
        <f>J13*(100%-'Données projet'!$C$24)*(100%-'Données projet'!$C$25)*(100%-'Données projet'!$C$26)*(100%-'Données projet'!$C$27)</f>
        <v>6.0251849999999996</v>
      </c>
      <c r="L13" s="152">
        <f t="shared" ca="1" si="2"/>
        <v>115.48492784690494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>
      <c r="A16" s="209"/>
      <c r="B16" s="213"/>
      <c r="C16" s="214"/>
      <c r="D16" s="23"/>
      <c r="E16" s="23"/>
      <c r="F16" s="165">
        <f t="shared" ref="F16:L16" ca="1" si="3">SUM(F6:F15)</f>
        <v>1208.9515456089243</v>
      </c>
      <c r="G16" s="166">
        <f t="shared" ca="1" si="3"/>
        <v>930.28821434606732</v>
      </c>
      <c r="H16" s="167">
        <f t="shared" si="3"/>
        <v>0</v>
      </c>
      <c r="I16" s="167">
        <f t="shared" si="3"/>
        <v>0</v>
      </c>
      <c r="J16" s="168">
        <f t="shared" si="3"/>
        <v>42.997496131087843</v>
      </c>
      <c r="K16" s="168">
        <f t="shared" si="3"/>
        <v>33.086573272872094</v>
      </c>
      <c r="L16" s="169">
        <f t="shared" ca="1" si="3"/>
        <v>963.37478761893954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>
      <c r="A17" s="209"/>
      <c r="B17" s="213"/>
      <c r="C17" s="214"/>
      <c r="D17" s="23"/>
      <c r="E17" s="23"/>
      <c r="F17" s="285" t="s">
        <v>375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>
      <c r="A21" s="170" t="str">
        <f>A6</f>
        <v/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>
      <c r="A39" s="170" t="str">
        <f>A7</f>
        <v>Erable champêtre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>
      <c r="A94" s="170" t="str">
        <f>A10</f>
        <v>Merisier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>
      <c r="A112" s="170" t="str">
        <f>A11</f>
        <v>Chêne pubescent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>
      <c r="A130" s="170" t="str">
        <f>A12</f>
        <v>Chêne sessile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>
      <c r="A148" s="170" t="str">
        <f>A13</f>
        <v>Robinier faux-acacia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70" zoomScaleNormal="70" workbookViewId="0">
      <selection activeCell="E17" sqref="E17"/>
    </sheetView>
  </sheetViews>
  <sheetFormatPr defaultColWidth="11.42578125" defaultRowHeight="14.4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5" thickBot="1">
      <c r="A2" s="4"/>
      <c r="B2" s="273" t="s">
        <v>376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>
      <c r="A4" s="4"/>
      <c r="B4" s="4"/>
      <c r="C4" s="4"/>
      <c r="D4" s="4"/>
      <c r="E4" s="4"/>
      <c r="G4" s="4"/>
      <c r="H4" s="259" t="s">
        <v>377</v>
      </c>
      <c r="I4" s="259"/>
      <c r="K4" s="301" t="s">
        <v>378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145</v>
      </c>
      <c r="O7" s="247"/>
      <c r="P7" s="248"/>
      <c r="Q7" s="249"/>
      <c r="R7" s="293" t="s">
        <v>379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>
      <c r="A9" s="93" t="s">
        <v>380</v>
      </c>
      <c r="C9" s="23"/>
      <c r="D9" s="23"/>
      <c r="E9" s="23"/>
      <c r="F9" s="230"/>
      <c r="G9" s="93" t="s">
        <v>381</v>
      </c>
      <c r="J9" s="200"/>
      <c r="K9" s="208"/>
      <c r="O9" s="23"/>
      <c r="P9" s="23"/>
      <c r="Q9" s="234"/>
      <c r="R9" s="23"/>
      <c r="S9" s="4"/>
      <c r="T9" s="36" t="s">
        <v>382</v>
      </c>
      <c r="U9" s="176" t="s">
        <v>383</v>
      </c>
      <c r="V9" s="36" t="s">
        <v>384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>
      <c r="A10" s="93" t="s">
        <v>385</v>
      </c>
      <c r="C10" s="23"/>
      <c r="D10" s="23"/>
      <c r="E10" s="23"/>
      <c r="F10" s="230"/>
      <c r="G10" s="93" t="s">
        <v>386</v>
      </c>
      <c r="J10" s="200"/>
      <c r="K10" s="208"/>
      <c r="O10" s="23"/>
      <c r="P10" s="23"/>
      <c r="Q10" s="234"/>
      <c r="R10" s="23"/>
      <c r="S10" s="36" t="str">
        <f>B14</f>
        <v/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0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>
      <c r="A11" s="93" t="s">
        <v>387</v>
      </c>
      <c r="B11" s="23"/>
      <c r="C11" s="23"/>
      <c r="D11" s="23"/>
      <c r="E11" s="23"/>
      <c r="F11" s="230"/>
      <c r="G11" s="93" t="s">
        <v>388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champêtre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-2567.6708479330277</v>
      </c>
      <c r="U11" s="178">
        <f>'Données projet'!D10</f>
        <v>0.22856804733727809</v>
      </c>
      <c r="V11" s="177">
        <f t="shared" ref="V11" si="0">U11*T11</f>
        <v>-586.88751191690528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Charme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-3098.957353778148</v>
      </c>
      <c r="U12" s="178">
        <f>'Données projet'!D11</f>
        <v>0.92250887573964502</v>
      </c>
      <c r="V12" s="177">
        <f t="shared" ref="V12:V19" si="1">U12*T12</f>
        <v>-2858.8156643989846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>
      <c r="B13" s="23"/>
      <c r="C13" s="23"/>
      <c r="D13" s="23"/>
      <c r="E13" s="23"/>
      <c r="F13" s="230"/>
      <c r="J13" s="23"/>
      <c r="K13" s="208"/>
      <c r="L13" s="93" t="s">
        <v>389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-2841.2324869041163</v>
      </c>
      <c r="U13" s="178">
        <f>'Données projet'!D12</f>
        <v>0.20317159763313611</v>
      </c>
      <c r="V13" s="177">
        <f t="shared" si="1"/>
        <v>-577.25774361147774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>
      <c r="A14" s="46" t="s">
        <v>15</v>
      </c>
      <c r="B14" s="174" t="str">
        <f>IF('Données projet'!$B$9="","",'Données projet'!$B$9)</f>
        <v/>
      </c>
      <c r="C14" s="4"/>
      <c r="D14" s="4"/>
      <c r="E14" s="4"/>
      <c r="F14" s="230"/>
      <c r="G14" s="23"/>
      <c r="H14" s="36" t="s">
        <v>164</v>
      </c>
      <c r="I14" s="36" t="s">
        <v>390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Merisier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-465.80686200730315</v>
      </c>
      <c r="U14" s="178">
        <f>'Données projet'!D13</f>
        <v>0.41526627218934908</v>
      </c>
      <c r="V14" s="177">
        <f t="shared" si="1"/>
        <v>-193.43387914599131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>
      <c r="A15" s="4"/>
      <c r="B15" s="4"/>
      <c r="C15" s="4"/>
      <c r="D15" s="4"/>
      <c r="E15" s="4"/>
      <c r="F15" s="230"/>
      <c r="G15" s="304" t="s">
        <v>391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pubescent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-2963.928834488765</v>
      </c>
      <c r="U15" s="178">
        <f>'Données projet'!D14</f>
        <v>0.68639053254437865</v>
      </c>
      <c r="V15" s="177">
        <f t="shared" si="1"/>
        <v>-2034.4126911283829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>
      <c r="A16" s="36" t="s">
        <v>51</v>
      </c>
      <c r="B16" s="48" t="s">
        <v>392</v>
      </c>
      <c r="C16" s="48" t="s">
        <v>393</v>
      </c>
      <c r="D16" s="36" t="s">
        <v>394</v>
      </c>
      <c r="E16" s="36" t="s">
        <v>395</v>
      </c>
      <c r="F16" s="230"/>
      <c r="G16" s="304"/>
      <c r="H16" s="190"/>
      <c r="I16" s="191"/>
      <c r="J16" s="202"/>
      <c r="K16" s="208"/>
      <c r="L16" s="301" t="s">
        <v>396</v>
      </c>
      <c r="M16" s="302"/>
      <c r="N16" s="2"/>
      <c r="O16" s="23"/>
      <c r="P16" s="23"/>
      <c r="Q16" s="234"/>
      <c r="R16" s="23"/>
      <c r="S16" s="36" t="str">
        <f>B200</f>
        <v>Chêne sessile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-2963.928834488765</v>
      </c>
      <c r="U16" s="178">
        <f>'Données projet'!D15</f>
        <v>1.74</v>
      </c>
      <c r="V16" s="177">
        <f t="shared" si="1"/>
        <v>-5157.2361720104509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>
      <c r="A17" s="49">
        <v>0</v>
      </c>
      <c r="B17" s="199" t="s">
        <v>279</v>
      </c>
      <c r="C17" s="198" t="s">
        <v>279</v>
      </c>
      <c r="D17" s="197" t="s">
        <v>279</v>
      </c>
      <c r="E17" s="193">
        <f>16996.75/4.78</f>
        <v>3555.8054393305438</v>
      </c>
      <c r="F17" s="230"/>
      <c r="G17" s="304"/>
      <c r="J17" s="202"/>
      <c r="K17" s="208"/>
      <c r="L17" s="261" t="s">
        <v>397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Robinier faux-acacia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-1546.3365456168124</v>
      </c>
      <c r="U17" s="178">
        <f>'Données projet'!D16</f>
        <v>0.57999999999999996</v>
      </c>
      <c r="V17" s="177">
        <f t="shared" si="1"/>
        <v>-896.87519645775114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>
      <c r="A18" s="49">
        <v>1</v>
      </c>
      <c r="B18" s="199" t="s">
        <v>279</v>
      </c>
      <c r="C18" s="198" t="s">
        <v>279</v>
      </c>
      <c r="D18" s="197" t="s">
        <v>279</v>
      </c>
      <c r="E18" s="193"/>
      <c r="F18" s="230"/>
      <c r="G18" s="304"/>
      <c r="J18" s="202"/>
      <c r="K18" s="208"/>
      <c r="L18" s="261" t="s">
        <v>393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>
      <c r="A19" s="49">
        <v>2</v>
      </c>
      <c r="B19" s="199" t="s">
        <v>279</v>
      </c>
      <c r="C19" s="198" t="s">
        <v>279</v>
      </c>
      <c r="D19" s="197" t="s">
        <v>279</v>
      </c>
      <c r="E19" s="193"/>
      <c r="F19" s="230"/>
      <c r="G19" s="304"/>
      <c r="H19" s="212" t="s">
        <v>164</v>
      </c>
      <c r="I19" s="212" t="s">
        <v>398</v>
      </c>
      <c r="J19" s="93"/>
      <c r="K19" s="173"/>
      <c r="L19" s="301" t="s">
        <v>399</v>
      </c>
      <c r="M19" s="302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>
      <c r="A20" s="49">
        <v>3</v>
      </c>
      <c r="B20" s="199" t="s">
        <v>279</v>
      </c>
      <c r="C20" s="198" t="s">
        <v>279</v>
      </c>
      <c r="D20" s="197" t="s">
        <v>279</v>
      </c>
      <c r="E20" s="193"/>
      <c r="F20" s="230"/>
      <c r="G20" s="304"/>
      <c r="H20" s="190">
        <v>1</v>
      </c>
      <c r="I20" s="191">
        <f>11830/4.78</f>
        <v>2474.8953974895398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>
      <c r="A21" s="49">
        <v>4</v>
      </c>
      <c r="B21" s="199" t="s">
        <v>279</v>
      </c>
      <c r="C21" s="198" t="s">
        <v>279</v>
      </c>
      <c r="D21" s="197" t="s">
        <v>279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>
      <c r="A22" s="49">
        <v>5</v>
      </c>
      <c r="B22" s="199" t="s">
        <v>279</v>
      </c>
      <c r="C22" s="198" t="s">
        <v>279</v>
      </c>
      <c r="D22" s="197" t="s">
        <v>279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>
      <c r="A23" s="180">
        <f>'Données projet'!A36</f>
        <v>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3" t="s">
        <v>400</v>
      </c>
      <c r="M23" s="303"/>
      <c r="N23" s="303"/>
      <c r="O23" s="23"/>
      <c r="P23" s="23"/>
      <c r="Q23" s="234"/>
      <c r="R23" s="23"/>
      <c r="S23" s="36" t="s">
        <v>401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-26041.180394975523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>
      <c r="A24" s="180">
        <f>'Données projet'!A37</f>
        <v>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402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>
      <c r="A25" s="180">
        <f>'Données projet'!A38</f>
        <v>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403</v>
      </c>
      <c r="M25" s="130"/>
      <c r="N25" s="130"/>
      <c r="O25" s="130"/>
      <c r="P25" s="192"/>
      <c r="Q25" s="234"/>
      <c r="R25" s="23"/>
      <c r="S25" s="186" t="s">
        <v>404</v>
      </c>
      <c r="T25" s="300">
        <f ca="1">T23-T24</f>
        <v>-26041.180394975523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7" t="s">
        <v>405</v>
      </c>
      <c r="M26" s="288"/>
      <c r="N26" s="288"/>
      <c r="O26" s="288"/>
      <c r="P26" s="289"/>
      <c r="Q26" s="234"/>
      <c r="R26" s="23"/>
      <c r="S26" s="186" t="s">
        <v>406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407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408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164</v>
      </c>
      <c r="P32" s="85" t="s">
        <v>394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>
      <c r="A45" s="46" t="s">
        <v>17</v>
      </c>
      <c r="B45" s="174" t="str">
        <f>IF('Données projet'!$B$10="","",'Données projet'!$B$10)</f>
        <v>Erable champêtre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>
      <c r="A47" s="36" t="s">
        <v>51</v>
      </c>
      <c r="B47" s="48" t="s">
        <v>392</v>
      </c>
      <c r="C47" s="48" t="s">
        <v>393</v>
      </c>
      <c r="D47" s="36" t="s">
        <v>394</v>
      </c>
      <c r="E47" s="36" t="s">
        <v>395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>
      <c r="A48" s="49">
        <v>0</v>
      </c>
      <c r="B48" s="199" t="s">
        <v>279</v>
      </c>
      <c r="C48" s="198" t="s">
        <v>279</v>
      </c>
      <c r="D48" s="197" t="s">
        <v>279</v>
      </c>
      <c r="E48" s="193">
        <f>16996.75/4.78</f>
        <v>3555.8054393305438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>
      <c r="A49" s="49">
        <v>1</v>
      </c>
      <c r="B49" s="199" t="s">
        <v>279</v>
      </c>
      <c r="C49" s="198" t="s">
        <v>279</v>
      </c>
      <c r="D49" s="197" t="s">
        <v>279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>
      <c r="A50" s="49">
        <v>2</v>
      </c>
      <c r="B50" s="199" t="s">
        <v>279</v>
      </c>
      <c r="C50" s="198" t="s">
        <v>279</v>
      </c>
      <c r="D50" s="197" t="s">
        <v>279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>
      <c r="A51" s="49">
        <v>3</v>
      </c>
      <c r="B51" s="199" t="s">
        <v>279</v>
      </c>
      <c r="C51" s="198" t="s">
        <v>279</v>
      </c>
      <c r="D51" s="197" t="s">
        <v>279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>
      <c r="A52" s="49">
        <v>4</v>
      </c>
      <c r="B52" s="199" t="s">
        <v>279</v>
      </c>
      <c r="C52" s="198" t="s">
        <v>279</v>
      </c>
      <c r="D52" s="197" t="s">
        <v>279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>
      <c r="A53" s="49">
        <v>5</v>
      </c>
      <c r="B53" s="199" t="s">
        <v>279</v>
      </c>
      <c r="C53" s="198" t="s">
        <v>279</v>
      </c>
      <c r="D53" s="197" t="s">
        <v>279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>
      <c r="A54" s="180">
        <f>'Données projet'!A62</f>
        <v>15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>
      <c r="A55" s="180">
        <f>'Données projet'!A63</f>
        <v>20</v>
      </c>
      <c r="B55" s="181">
        <f>'Données projet'!D63</f>
        <v>43</v>
      </c>
      <c r="C55" s="191">
        <v>10</v>
      </c>
      <c r="D55" s="179">
        <f t="shared" ref="D55:D73" si="4">B55*C55</f>
        <v>430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>
      <c r="A56" s="180">
        <f>'Données projet'!A64</f>
        <v>25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>
      <c r="A57" s="180">
        <f>'Données projet'!A65</f>
        <v>30</v>
      </c>
      <c r="B57" s="181">
        <f>'Données projet'!D65</f>
        <v>56</v>
      </c>
      <c r="C57" s="191">
        <v>10</v>
      </c>
      <c r="D57" s="179">
        <f t="shared" si="4"/>
        <v>560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>
      <c r="A58" s="180">
        <f>'Données projet'!A66</f>
        <v>35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>
      <c r="A59" s="180">
        <f>'Données projet'!A67</f>
        <v>40</v>
      </c>
      <c r="B59" s="181">
        <f>'Données projet'!D67</f>
        <v>56</v>
      </c>
      <c r="C59" s="191">
        <v>20</v>
      </c>
      <c r="D59" s="179">
        <f t="shared" si="4"/>
        <v>1120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>
      <c r="A60" s="180">
        <f>'Données projet'!A68</f>
        <v>45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>
      <c r="A61" s="180">
        <f>'Données projet'!A69</f>
        <v>50</v>
      </c>
      <c r="B61" s="181">
        <f>'Données projet'!D69</f>
        <v>39</v>
      </c>
      <c r="C61" s="191">
        <v>30</v>
      </c>
      <c r="D61" s="179">
        <f t="shared" si="4"/>
        <v>1170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>
      <c r="A62" s="180">
        <f>'Données projet'!A70</f>
        <v>55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>
      <c r="A63" s="180">
        <f>'Données projet'!A71</f>
        <v>60</v>
      </c>
      <c r="B63" s="181">
        <f>'Données projet'!D71</f>
        <v>25</v>
      </c>
      <c r="C63" s="191">
        <v>30</v>
      </c>
      <c r="D63" s="179">
        <f t="shared" si="4"/>
        <v>750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>
      <c r="A64" s="180">
        <f>'Données projet'!A72</f>
        <v>65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>
      <c r="A65" s="180">
        <f>'Données projet'!A73</f>
        <v>70</v>
      </c>
      <c r="B65" s="181">
        <f>'Données projet'!D73</f>
        <v>21</v>
      </c>
      <c r="C65" s="191">
        <v>40</v>
      </c>
      <c r="D65" s="179">
        <f t="shared" si="4"/>
        <v>840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>
      <c r="A66" s="180">
        <f>'Données projet'!A74</f>
        <v>75</v>
      </c>
      <c r="B66" s="181">
        <f>'Données projet'!D74</f>
        <v>9</v>
      </c>
      <c r="C66" s="191">
        <v>50</v>
      </c>
      <c r="D66" s="179">
        <f t="shared" si="4"/>
        <v>450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>
      <c r="A67" s="180">
        <f>'Données projet'!A75</f>
        <v>80</v>
      </c>
      <c r="B67" s="181">
        <f>'Données projet'!D75</f>
        <v>276</v>
      </c>
      <c r="C67" s="191">
        <v>50</v>
      </c>
      <c r="D67" s="179">
        <f t="shared" si="4"/>
        <v>13800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>
      <c r="A76" s="46" t="s">
        <v>19</v>
      </c>
      <c r="B76" s="174" t="str">
        <f>IF('Données projet'!B11="","",'Données projet'!B11)</f>
        <v>Charme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>
      <c r="A78" s="36" t="s">
        <v>51</v>
      </c>
      <c r="B78" s="48" t="s">
        <v>392</v>
      </c>
      <c r="C78" s="48" t="s">
        <v>393</v>
      </c>
      <c r="D78" s="36" t="s">
        <v>394</v>
      </c>
      <c r="E78" s="36" t="s">
        <v>395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>
      <c r="A79" s="49">
        <v>0</v>
      </c>
      <c r="B79" s="199" t="s">
        <v>279</v>
      </c>
      <c r="C79" s="198" t="s">
        <v>279</v>
      </c>
      <c r="D79" s="197" t="s">
        <v>279</v>
      </c>
      <c r="E79" s="193">
        <f>16996.75/4.78</f>
        <v>3555.8054393305438</v>
      </c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>
      <c r="A80" s="49">
        <v>1</v>
      </c>
      <c r="B80" s="199" t="s">
        <v>279</v>
      </c>
      <c r="C80" s="198" t="s">
        <v>279</v>
      </c>
      <c r="D80" s="197" t="s">
        <v>279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>
      <c r="A81" s="49">
        <v>2</v>
      </c>
      <c r="B81" s="199" t="s">
        <v>279</v>
      </c>
      <c r="C81" s="198" t="s">
        <v>279</v>
      </c>
      <c r="D81" s="197" t="s">
        <v>279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>
      <c r="A82" s="49">
        <v>3</v>
      </c>
      <c r="B82" s="199" t="s">
        <v>279</v>
      </c>
      <c r="C82" s="198" t="s">
        <v>279</v>
      </c>
      <c r="D82" s="197" t="s">
        <v>279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>
      <c r="A83" s="49">
        <v>4</v>
      </c>
      <c r="B83" s="199" t="s">
        <v>279</v>
      </c>
      <c r="C83" s="198" t="s">
        <v>279</v>
      </c>
      <c r="D83" s="197" t="s">
        <v>279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>
      <c r="A84" s="49">
        <v>5</v>
      </c>
      <c r="B84" s="199" t="s">
        <v>279</v>
      </c>
      <c r="C84" s="198" t="s">
        <v>279</v>
      </c>
      <c r="D84" s="197" t="s">
        <v>279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>
      <c r="A85" s="180">
        <f>'Données projet'!A88</f>
        <v>15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>
      <c r="A86" s="180">
        <f>'Données projet'!A89</f>
        <v>20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>
      <c r="A87" s="180">
        <f>'Données projet'!A90</f>
        <v>25</v>
      </c>
      <c r="B87" s="181">
        <f>'Données projet'!D90</f>
        <v>26.923076923076923</v>
      </c>
      <c r="C87" s="191">
        <v>10</v>
      </c>
      <c r="D87" s="179">
        <f t="shared" si="6"/>
        <v>269.23076923076923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>
      <c r="A88" s="180">
        <f>'Données projet'!A91</f>
        <v>30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>
      <c r="A89" s="180">
        <f>'Données projet'!A92</f>
        <v>35</v>
      </c>
      <c r="B89" s="181">
        <f>'Données projet'!D92</f>
        <v>26.282051282051281</v>
      </c>
      <c r="C89" s="191">
        <v>10</v>
      </c>
      <c r="D89" s="179">
        <f t="shared" si="6"/>
        <v>262.82051282051282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>
      <c r="A90" s="180">
        <f>'Données projet'!A93</f>
        <v>40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>
      <c r="A91" s="180">
        <f>'Données projet'!A94</f>
        <v>45</v>
      </c>
      <c r="B91" s="181">
        <f>'Données projet'!D94</f>
        <v>28.205128205128204</v>
      </c>
      <c r="C91" s="191">
        <v>15</v>
      </c>
      <c r="D91" s="179">
        <f t="shared" si="6"/>
        <v>423.07692307692309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>
      <c r="A92" s="180">
        <f>'Données projet'!A95</f>
        <v>50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>
      <c r="A93" s="180">
        <f>'Données projet'!A96</f>
        <v>55</v>
      </c>
      <c r="B93" s="181">
        <f>'Données projet'!D96</f>
        <v>28.205128205128204</v>
      </c>
      <c r="C93" s="191">
        <v>20</v>
      </c>
      <c r="D93" s="179">
        <f t="shared" si="6"/>
        <v>564.10256410256409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>
      <c r="A94" s="180">
        <f>'Données projet'!A97</f>
        <v>60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>
      <c r="A95" s="180">
        <f>'Données projet'!A98</f>
        <v>65</v>
      </c>
      <c r="B95" s="181">
        <f>'Données projet'!D98</f>
        <v>28.205128205128204</v>
      </c>
      <c r="C95" s="191">
        <v>25</v>
      </c>
      <c r="D95" s="179">
        <f t="shared" si="6"/>
        <v>705.12820512820508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>
      <c r="A96" s="180">
        <f>'Données projet'!A99</f>
        <v>70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>
      <c r="A97" s="180">
        <f>'Données projet'!A100</f>
        <v>75</v>
      </c>
      <c r="B97" s="181">
        <f>'Données projet'!D100</f>
        <v>26.923076923076923</v>
      </c>
      <c r="C97" s="191">
        <v>30</v>
      </c>
      <c r="D97" s="179">
        <f t="shared" si="6"/>
        <v>807.69230769230774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>
      <c r="A98" s="180">
        <f>'Données projet'!A101</f>
        <v>80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>
      <c r="A99" s="180">
        <f>'Données projet'!A102</f>
        <v>85</v>
      </c>
      <c r="B99" s="181">
        <f>'Données projet'!D102</f>
        <v>25.641025641025639</v>
      </c>
      <c r="C99" s="191">
        <v>40</v>
      </c>
      <c r="D99" s="179">
        <f t="shared" si="6"/>
        <v>1025.6410256410256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>
      <c r="A100" s="180">
        <f>'Données projet'!A103</f>
        <v>90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>
      <c r="A101" s="180">
        <f>'Données projet'!A104</f>
        <v>95</v>
      </c>
      <c r="B101" s="181">
        <f>'Données projet'!D104</f>
        <v>23.717948717948715</v>
      </c>
      <c r="C101" s="191">
        <v>50</v>
      </c>
      <c r="D101" s="179">
        <f t="shared" si="6"/>
        <v>1185.8974358974358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>
      <c r="A102" s="180">
        <f>'Données projet'!A105</f>
        <v>100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>
      <c r="A103" s="180">
        <f>'Données projet'!A106</f>
        <v>110</v>
      </c>
      <c r="B103" s="181">
        <f>'Données projet'!D106</f>
        <v>21.794871789999998</v>
      </c>
      <c r="C103" s="191">
        <v>60</v>
      </c>
      <c r="D103" s="179">
        <f t="shared" si="6"/>
        <v>1307.6923073999999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>
      <c r="A104" s="180">
        <f>'Données projet'!A107</f>
        <v>120</v>
      </c>
      <c r="B104" s="181">
        <f>'Données projet'!D107</f>
        <v>241.02564102560001</v>
      </c>
      <c r="C104" s="191">
        <v>65</v>
      </c>
      <c r="D104" s="179">
        <f t="shared" si="6"/>
        <v>15666.666666664001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>
      <c r="A107" s="46" t="s">
        <v>21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>
      <c r="A109" s="36" t="s">
        <v>51</v>
      </c>
      <c r="B109" s="48" t="s">
        <v>392</v>
      </c>
      <c r="C109" s="48" t="s">
        <v>393</v>
      </c>
      <c r="D109" s="36" t="s">
        <v>394</v>
      </c>
      <c r="E109" s="36" t="s">
        <v>395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>
      <c r="A110" s="49">
        <v>0</v>
      </c>
      <c r="B110" s="199" t="s">
        <v>279</v>
      </c>
      <c r="C110" s="198" t="s">
        <v>279</v>
      </c>
      <c r="D110" s="197" t="s">
        <v>279</v>
      </c>
      <c r="E110" s="193">
        <f>16996.75/4.78</f>
        <v>3555.8054393305438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>
      <c r="A111" s="49">
        <v>1</v>
      </c>
      <c r="B111" s="199" t="s">
        <v>279</v>
      </c>
      <c r="C111" s="198" t="s">
        <v>279</v>
      </c>
      <c r="D111" s="197" t="s">
        <v>279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>
      <c r="A112" s="49">
        <v>2</v>
      </c>
      <c r="B112" s="199" t="s">
        <v>279</v>
      </c>
      <c r="C112" s="198" t="s">
        <v>279</v>
      </c>
      <c r="D112" s="197" t="s">
        <v>279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>
      <c r="A113" s="49">
        <v>3</v>
      </c>
      <c r="B113" s="199" t="s">
        <v>279</v>
      </c>
      <c r="C113" s="198" t="s">
        <v>279</v>
      </c>
      <c r="D113" s="197" t="s">
        <v>279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>
      <c r="A114" s="49">
        <v>4</v>
      </c>
      <c r="B114" s="199" t="s">
        <v>279</v>
      </c>
      <c r="C114" s="198" t="s">
        <v>279</v>
      </c>
      <c r="D114" s="197" t="s">
        <v>279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>
      <c r="A115" s="49">
        <v>5</v>
      </c>
      <c r="B115" s="199" t="s">
        <v>279</v>
      </c>
      <c r="C115" s="198" t="s">
        <v>279</v>
      </c>
      <c r="D115" s="197" t="s">
        <v>279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>
      <c r="A116" s="180">
        <f>'Données projet'!A114</f>
        <v>30</v>
      </c>
      <c r="B116" s="181">
        <f>'Données projet'!D114</f>
        <v>0</v>
      </c>
      <c r="C116" s="191">
        <v>10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>
      <c r="A117" s="180">
        <f>'Données projet'!A115</f>
        <v>51</v>
      </c>
      <c r="B117" s="181">
        <f>'Données projet'!D115</f>
        <v>100.30769230769231</v>
      </c>
      <c r="C117" s="191">
        <v>15</v>
      </c>
      <c r="D117" s="179">
        <f t="shared" ref="D117:D135" si="8">B117*C117</f>
        <v>1504.6153846153845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>
      <c r="A118" s="180">
        <f>'Données projet'!A116</f>
        <v>63</v>
      </c>
      <c r="B118" s="181">
        <f>'Données projet'!D116</f>
        <v>108.08461538461538</v>
      </c>
      <c r="C118" s="191">
        <v>20</v>
      </c>
      <c r="D118" s="179">
        <f t="shared" si="8"/>
        <v>2161.6923076923076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>
      <c r="A119" s="180">
        <f>'Données projet'!A117</f>
        <v>75</v>
      </c>
      <c r="B119" s="181">
        <f>'Données projet'!D117</f>
        <v>85.361538461538458</v>
      </c>
      <c r="C119" s="191">
        <v>30</v>
      </c>
      <c r="D119" s="179">
        <f t="shared" si="8"/>
        <v>2560.8461538461538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>
      <c r="A120" s="180">
        <f>'Données projet'!A118</f>
        <v>87</v>
      </c>
      <c r="B120" s="181">
        <f>'Données projet'!D118</f>
        <v>82.938461538461524</v>
      </c>
      <c r="C120" s="191">
        <v>40</v>
      </c>
      <c r="D120" s="179">
        <f t="shared" si="8"/>
        <v>3317.538461538461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>
      <c r="A121" s="180">
        <f>'Données projet'!A119</f>
        <v>99</v>
      </c>
      <c r="B121" s="181">
        <f>'Données projet'!D119</f>
        <v>198.32307692307691</v>
      </c>
      <c r="C121" s="191">
        <v>50</v>
      </c>
      <c r="D121" s="179">
        <f t="shared" si="8"/>
        <v>9916.1538461538457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>
      <c r="A122" s="180">
        <f>'Données projet'!A120</f>
        <v>109</v>
      </c>
      <c r="B122" s="181">
        <f>'Données projet'!D120</f>
        <v>256.09230769230771</v>
      </c>
      <c r="C122" s="191">
        <v>60</v>
      </c>
      <c r="D122" s="179">
        <f t="shared" si="8"/>
        <v>15365.538461538463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>
      <c r="A138" s="46" t="s">
        <v>23</v>
      </c>
      <c r="B138" s="174" t="str">
        <f>IF('Données projet'!B13="","",'Données projet'!B13)</f>
        <v>Merisier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>
      <c r="A140" s="36" t="s">
        <v>51</v>
      </c>
      <c r="B140" s="48" t="s">
        <v>392</v>
      </c>
      <c r="C140" s="48" t="s">
        <v>393</v>
      </c>
      <c r="D140" s="36" t="s">
        <v>394</v>
      </c>
      <c r="E140" s="36" t="s">
        <v>395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>
      <c r="A141" s="49">
        <v>0</v>
      </c>
      <c r="B141" s="199" t="s">
        <v>279</v>
      </c>
      <c r="C141" s="198" t="s">
        <v>279</v>
      </c>
      <c r="D141" s="197" t="s">
        <v>279</v>
      </c>
      <c r="E141" s="193">
        <f>16996.75/4.78</f>
        <v>3555.8054393305438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>
      <c r="A142" s="49">
        <v>1</v>
      </c>
      <c r="B142" s="199" t="s">
        <v>279</v>
      </c>
      <c r="C142" s="198" t="s">
        <v>279</v>
      </c>
      <c r="D142" s="197" t="s">
        <v>279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>
      <c r="A143" s="49">
        <v>2</v>
      </c>
      <c r="B143" s="199" t="s">
        <v>279</v>
      </c>
      <c r="C143" s="198" t="s">
        <v>279</v>
      </c>
      <c r="D143" s="197" t="s">
        <v>279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>
      <c r="A144" s="49">
        <v>3</v>
      </c>
      <c r="B144" s="199" t="s">
        <v>279</v>
      </c>
      <c r="C144" s="198" t="s">
        <v>279</v>
      </c>
      <c r="D144" s="197" t="s">
        <v>279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>
      <c r="A145" s="49">
        <v>4</v>
      </c>
      <c r="B145" s="199" t="s">
        <v>279</v>
      </c>
      <c r="C145" s="198" t="s">
        <v>279</v>
      </c>
      <c r="D145" s="197" t="s">
        <v>279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>
      <c r="A146" s="49">
        <v>5</v>
      </c>
      <c r="B146" s="199" t="s">
        <v>279</v>
      </c>
      <c r="C146" s="198" t="s">
        <v>279</v>
      </c>
      <c r="D146" s="197" t="s">
        <v>279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>
      <c r="A147" s="42">
        <f>'Données projet'!A140</f>
        <v>15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>
      <c r="A148" s="42">
        <f>'Données projet'!A141</f>
        <v>20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>
      <c r="A149" s="42">
        <f>'Données projet'!A142</f>
        <v>25</v>
      </c>
      <c r="B149" s="175">
        <f>'Données projet'!D142</f>
        <v>55</v>
      </c>
      <c r="C149" s="191">
        <v>10</v>
      </c>
      <c r="D149" s="182">
        <f t="shared" si="10"/>
        <v>550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>
      <c r="A150" s="42">
        <f>'Données projet'!A143</f>
        <v>31</v>
      </c>
      <c r="B150" s="175">
        <f>'Données projet'!D143</f>
        <v>36</v>
      </c>
      <c r="C150" s="191">
        <v>15</v>
      </c>
      <c r="D150" s="182">
        <f t="shared" si="10"/>
        <v>540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>
      <c r="A151" s="42">
        <f>'Données projet'!A144</f>
        <v>37</v>
      </c>
      <c r="B151" s="175">
        <f>'Données projet'!D144</f>
        <v>36</v>
      </c>
      <c r="C151" s="191">
        <v>30</v>
      </c>
      <c r="D151" s="182">
        <f t="shared" si="10"/>
        <v>1080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>
      <c r="A152" s="42">
        <f>'Données projet'!A145</f>
        <v>44</v>
      </c>
      <c r="B152" s="175">
        <f>'Données projet'!D145</f>
        <v>43</v>
      </c>
      <c r="C152" s="191">
        <v>40</v>
      </c>
      <c r="D152" s="182">
        <f t="shared" si="10"/>
        <v>1720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>
      <c r="A153" s="42">
        <f>'Données projet'!A146</f>
        <v>52</v>
      </c>
      <c r="B153" s="175">
        <f>'Données projet'!D146</f>
        <v>48</v>
      </c>
      <c r="C153" s="191">
        <v>50</v>
      </c>
      <c r="D153" s="182">
        <f t="shared" si="10"/>
        <v>2400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>
      <c r="A154" s="42">
        <f>'Données projet'!A147</f>
        <v>60</v>
      </c>
      <c r="B154" s="175">
        <f>'Données projet'!D147</f>
        <v>47</v>
      </c>
      <c r="C154" s="191">
        <v>100</v>
      </c>
      <c r="D154" s="182">
        <f t="shared" si="10"/>
        <v>4700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>
      <c r="A155" s="42">
        <f>'Données projet'!A148</f>
        <v>69</v>
      </c>
      <c r="B155" s="175">
        <f>'Données projet'!D148</f>
        <v>328</v>
      </c>
      <c r="C155" s="191">
        <v>110</v>
      </c>
      <c r="D155" s="182">
        <f t="shared" si="10"/>
        <v>36080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>
      <c r="A169" s="46" t="s">
        <v>25</v>
      </c>
      <c r="B169" s="174" t="str">
        <f>IF('Données projet'!B14="","",'Données projet'!B14)</f>
        <v>Chêne pubescent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>
      <c r="A171" s="36" t="s">
        <v>51</v>
      </c>
      <c r="B171" s="48" t="s">
        <v>392</v>
      </c>
      <c r="C171" s="48" t="s">
        <v>393</v>
      </c>
      <c r="D171" s="36" t="s">
        <v>394</v>
      </c>
      <c r="E171" s="36" t="s">
        <v>395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>
      <c r="A172" s="49">
        <v>0</v>
      </c>
      <c r="B172" s="199" t="s">
        <v>279</v>
      </c>
      <c r="C172" s="198" t="s">
        <v>279</v>
      </c>
      <c r="D172" s="197" t="s">
        <v>279</v>
      </c>
      <c r="E172" s="193">
        <f>16996.75/4.78</f>
        <v>3555.8054393305438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>
      <c r="A173" s="49">
        <v>1</v>
      </c>
      <c r="B173" s="199" t="s">
        <v>279</v>
      </c>
      <c r="C173" s="198" t="s">
        <v>279</v>
      </c>
      <c r="D173" s="197" t="s">
        <v>279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>
      <c r="A174" s="49">
        <v>2</v>
      </c>
      <c r="B174" s="199" t="s">
        <v>279</v>
      </c>
      <c r="C174" s="198" t="s">
        <v>279</v>
      </c>
      <c r="D174" s="197" t="s">
        <v>279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>
      <c r="A175" s="49">
        <v>3</v>
      </c>
      <c r="B175" s="199" t="s">
        <v>279</v>
      </c>
      <c r="C175" s="198" t="s">
        <v>279</v>
      </c>
      <c r="D175" s="197" t="s">
        <v>279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>
      <c r="A176" s="49">
        <v>4</v>
      </c>
      <c r="B176" s="199" t="s">
        <v>279</v>
      </c>
      <c r="C176" s="198" t="s">
        <v>279</v>
      </c>
      <c r="D176" s="197" t="s">
        <v>279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>
      <c r="A177" s="49">
        <v>5</v>
      </c>
      <c r="B177" s="199" t="s">
        <v>279</v>
      </c>
      <c r="C177" s="198" t="s">
        <v>279</v>
      </c>
      <c r="D177" s="197" t="s">
        <v>279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>
      <c r="A178" s="180">
        <f>'Données projet'!A166</f>
        <v>20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>
      <c r="A179" s="180">
        <f>'Données projet'!A167</f>
        <v>25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>
      <c r="A180" s="180">
        <f>'Données projet'!A168</f>
        <v>30</v>
      </c>
      <c r="B180" s="181">
        <f>'Données projet'!D168</f>
        <v>29</v>
      </c>
      <c r="C180" s="193">
        <v>10</v>
      </c>
      <c r="D180" s="179">
        <f t="shared" si="11"/>
        <v>290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>
      <c r="A181" s="180">
        <f>'Données projet'!A169</f>
        <v>35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>
      <c r="A182" s="180">
        <f>'Données projet'!A170</f>
        <v>40</v>
      </c>
      <c r="B182" s="181">
        <f>'Données projet'!D170</f>
        <v>42</v>
      </c>
      <c r="C182" s="193">
        <v>10</v>
      </c>
      <c r="D182" s="179">
        <f t="shared" si="11"/>
        <v>420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>
      <c r="A183" s="180">
        <f>'Données projet'!A171</f>
        <v>45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>
      <c r="A184" s="180">
        <f>'Données projet'!A172</f>
        <v>50</v>
      </c>
      <c r="B184" s="181">
        <f>'Données projet'!D172</f>
        <v>42</v>
      </c>
      <c r="C184" s="193">
        <v>10</v>
      </c>
      <c r="D184" s="179">
        <f t="shared" si="11"/>
        <v>420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>
      <c r="A185" s="180">
        <f>'Données projet'!A173</f>
        <v>55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>
      <c r="A186" s="180">
        <f>'Données projet'!A174</f>
        <v>60</v>
      </c>
      <c r="B186" s="181">
        <f>'Données projet'!D174</f>
        <v>42</v>
      </c>
      <c r="C186" s="193">
        <v>20</v>
      </c>
      <c r="D186" s="179">
        <f t="shared" si="11"/>
        <v>840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>
      <c r="A187" s="180">
        <f>'Données projet'!A175</f>
        <v>65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>
      <c r="A188" s="180">
        <f>'Données projet'!A176</f>
        <v>70</v>
      </c>
      <c r="B188" s="181">
        <f>'Données projet'!D176</f>
        <v>42</v>
      </c>
      <c r="C188" s="193">
        <v>30</v>
      </c>
      <c r="D188" s="179">
        <f t="shared" si="11"/>
        <v>1260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>
      <c r="A189" s="180">
        <f>'Données projet'!A177</f>
        <v>75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>
      <c r="A190" s="180">
        <f>'Données projet'!A178</f>
        <v>80</v>
      </c>
      <c r="B190" s="181">
        <f>'Données projet'!D178</f>
        <v>42</v>
      </c>
      <c r="C190" s="193">
        <v>40</v>
      </c>
      <c r="D190" s="179">
        <f t="shared" si="11"/>
        <v>1680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>
      <c r="A191" s="180">
        <f>'Données projet'!A179</f>
        <v>90</v>
      </c>
      <c r="B191" s="181">
        <f>'Données projet'!D179</f>
        <v>42</v>
      </c>
      <c r="C191" s="193">
        <v>50</v>
      </c>
      <c r="D191" s="179">
        <f t="shared" si="11"/>
        <v>2100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>
      <c r="A192" s="180">
        <f>'Données projet'!A180</f>
        <v>100</v>
      </c>
      <c r="B192" s="181">
        <f>'Données projet'!D180</f>
        <v>42</v>
      </c>
      <c r="C192" s="193">
        <v>70</v>
      </c>
      <c r="D192" s="179">
        <f t="shared" si="11"/>
        <v>2940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>
      <c r="A193" s="180">
        <f>'Données projet'!A181</f>
        <v>110</v>
      </c>
      <c r="B193" s="181">
        <f>'Données projet'!D181</f>
        <v>39</v>
      </c>
      <c r="C193" s="193">
        <v>100</v>
      </c>
      <c r="D193" s="179">
        <f t="shared" si="11"/>
        <v>3900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>
      <c r="A194" s="180">
        <f>'Données projet'!A182</f>
        <v>120</v>
      </c>
      <c r="B194" s="181">
        <f>'Données projet'!D182</f>
        <v>35</v>
      </c>
      <c r="C194" s="193">
        <v>120</v>
      </c>
      <c r="D194" s="179">
        <f t="shared" si="11"/>
        <v>4200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>
      <c r="A195" s="180">
        <f>'Données projet'!A183</f>
        <v>130</v>
      </c>
      <c r="B195" s="181">
        <f>'Données projet'!D183</f>
        <v>31</v>
      </c>
      <c r="C195" s="193">
        <v>120</v>
      </c>
      <c r="D195" s="179">
        <f t="shared" si="11"/>
        <v>3720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>
      <c r="A196" s="180">
        <f>'Données projet'!A184</f>
        <v>140</v>
      </c>
      <c r="B196" s="181">
        <f>'Données projet'!D184</f>
        <v>27</v>
      </c>
      <c r="C196" s="193">
        <v>150</v>
      </c>
      <c r="D196" s="179">
        <f t="shared" si="11"/>
        <v>4050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>
      <c r="A197" s="180">
        <f>'Données projet'!A185</f>
        <v>150</v>
      </c>
      <c r="B197" s="181">
        <f>'Données projet'!D185</f>
        <v>293</v>
      </c>
      <c r="C197" s="193">
        <v>200</v>
      </c>
      <c r="D197" s="179">
        <f t="shared" si="11"/>
        <v>58600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>
      <c r="A200" s="46" t="s">
        <v>27</v>
      </c>
      <c r="B200" s="174" t="str">
        <f>IF('Données projet'!$B$15="","",'Données projet'!$B$15)</f>
        <v>Chêne sessile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>
      <c r="A202" s="36" t="s">
        <v>51</v>
      </c>
      <c r="B202" s="48" t="s">
        <v>392</v>
      </c>
      <c r="C202" s="48" t="s">
        <v>393</v>
      </c>
      <c r="D202" s="36" t="s">
        <v>394</v>
      </c>
      <c r="E202" s="36" t="s">
        <v>395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>
      <c r="A203" s="49">
        <v>0</v>
      </c>
      <c r="B203" s="199" t="s">
        <v>279</v>
      </c>
      <c r="C203" s="198" t="s">
        <v>279</v>
      </c>
      <c r="D203" s="197" t="s">
        <v>279</v>
      </c>
      <c r="E203" s="193">
        <f>16996.75/4.78</f>
        <v>3555.8054393305438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>
      <c r="A204" s="49">
        <v>1</v>
      </c>
      <c r="B204" s="199" t="s">
        <v>279</v>
      </c>
      <c r="C204" s="198" t="s">
        <v>279</v>
      </c>
      <c r="D204" s="197" t="s">
        <v>279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>
      <c r="A205" s="49">
        <v>2</v>
      </c>
      <c r="B205" s="199" t="s">
        <v>279</v>
      </c>
      <c r="C205" s="198" t="s">
        <v>279</v>
      </c>
      <c r="D205" s="197" t="s">
        <v>279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>
      <c r="A206" s="49">
        <v>3</v>
      </c>
      <c r="B206" s="199" t="s">
        <v>279</v>
      </c>
      <c r="C206" s="198" t="s">
        <v>279</v>
      </c>
      <c r="D206" s="197" t="s">
        <v>279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>
      <c r="A207" s="49">
        <v>4</v>
      </c>
      <c r="B207" s="199" t="s">
        <v>279</v>
      </c>
      <c r="C207" s="198" t="s">
        <v>279</v>
      </c>
      <c r="D207" s="197" t="s">
        <v>279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>
      <c r="A208" s="49">
        <v>5</v>
      </c>
      <c r="B208" s="199" t="s">
        <v>279</v>
      </c>
      <c r="C208" s="198" t="s">
        <v>279</v>
      </c>
      <c r="D208" s="197" t="s">
        <v>279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>
      <c r="A209" s="180">
        <f>'Données projet'!A192</f>
        <v>20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>
      <c r="A210" s="180">
        <f>'Données projet'!A193</f>
        <v>25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>
      <c r="A211" s="180">
        <f>'Données projet'!A194</f>
        <v>30</v>
      </c>
      <c r="B211" s="181">
        <f>'Données projet'!D194</f>
        <v>29</v>
      </c>
      <c r="C211" s="193">
        <v>10</v>
      </c>
      <c r="D211" s="179">
        <f t="shared" si="12"/>
        <v>290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>
      <c r="A212" s="180">
        <f>'Données projet'!A195</f>
        <v>35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>
      <c r="A213" s="180">
        <f>'Données projet'!A196</f>
        <v>40</v>
      </c>
      <c r="B213" s="181">
        <f>'Données projet'!D196</f>
        <v>42</v>
      </c>
      <c r="C213" s="193">
        <v>10</v>
      </c>
      <c r="D213" s="179">
        <f t="shared" si="12"/>
        <v>420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>
      <c r="A214" s="180">
        <f>'Données projet'!A197</f>
        <v>45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>
      <c r="A215" s="180">
        <f>'Données projet'!A198</f>
        <v>50</v>
      </c>
      <c r="B215" s="181">
        <f>'Données projet'!D198</f>
        <v>42</v>
      </c>
      <c r="C215" s="193">
        <v>10</v>
      </c>
      <c r="D215" s="179">
        <f t="shared" si="12"/>
        <v>420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>
      <c r="A216" s="180">
        <f>'Données projet'!A199</f>
        <v>55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>
      <c r="A217" s="180">
        <f>'Données projet'!A200</f>
        <v>60</v>
      </c>
      <c r="B217" s="181">
        <f>'Données projet'!D200</f>
        <v>42</v>
      </c>
      <c r="C217" s="193">
        <v>20</v>
      </c>
      <c r="D217" s="179">
        <f t="shared" si="12"/>
        <v>840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>
      <c r="A218" s="180">
        <f>'Données projet'!A201</f>
        <v>65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>
      <c r="A219" s="180">
        <f>'Données projet'!A202</f>
        <v>70</v>
      </c>
      <c r="B219" s="181">
        <f>'Données projet'!D202</f>
        <v>42</v>
      </c>
      <c r="C219" s="193">
        <v>30</v>
      </c>
      <c r="D219" s="179">
        <f t="shared" si="12"/>
        <v>1260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>
      <c r="A220" s="180">
        <f>'Données projet'!A203</f>
        <v>75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>
      <c r="A221" s="180">
        <f>'Données projet'!A204</f>
        <v>80</v>
      </c>
      <c r="B221" s="181">
        <f>'Données projet'!D204</f>
        <v>42</v>
      </c>
      <c r="C221" s="193">
        <v>40</v>
      </c>
      <c r="D221" s="179">
        <f t="shared" si="12"/>
        <v>1680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>
      <c r="A222" s="180">
        <f>'Données projet'!A205</f>
        <v>90</v>
      </c>
      <c r="B222" s="181">
        <f>'Données projet'!D205</f>
        <v>42</v>
      </c>
      <c r="C222" s="193">
        <v>50</v>
      </c>
      <c r="D222" s="179">
        <f t="shared" si="12"/>
        <v>2100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>
      <c r="A223" s="180">
        <f>'Données projet'!A206</f>
        <v>100</v>
      </c>
      <c r="B223" s="181">
        <f>'Données projet'!D206</f>
        <v>42</v>
      </c>
      <c r="C223" s="193">
        <v>70</v>
      </c>
      <c r="D223" s="179">
        <f t="shared" si="12"/>
        <v>2940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>
      <c r="A224" s="180">
        <f>'Données projet'!A207</f>
        <v>110</v>
      </c>
      <c r="B224" s="181">
        <f>'Données projet'!D207</f>
        <v>39</v>
      </c>
      <c r="C224" s="193">
        <v>100</v>
      </c>
      <c r="D224" s="179">
        <f t="shared" si="12"/>
        <v>3900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>
      <c r="A225" s="180">
        <f>'Données projet'!A208</f>
        <v>120</v>
      </c>
      <c r="B225" s="181">
        <f>'Données projet'!D208</f>
        <v>35</v>
      </c>
      <c r="C225" s="193">
        <v>120</v>
      </c>
      <c r="D225" s="179">
        <f t="shared" si="12"/>
        <v>4200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>
      <c r="A226" s="180">
        <f>'Données projet'!A209</f>
        <v>130</v>
      </c>
      <c r="B226" s="181">
        <f>'Données projet'!D209</f>
        <v>31</v>
      </c>
      <c r="C226" s="193">
        <v>120</v>
      </c>
      <c r="D226" s="179">
        <f t="shared" si="12"/>
        <v>3720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>
      <c r="A227" s="180">
        <f>'Données projet'!A210</f>
        <v>140</v>
      </c>
      <c r="B227" s="181">
        <f>'Données projet'!D210</f>
        <v>27</v>
      </c>
      <c r="C227" s="193">
        <v>150</v>
      </c>
      <c r="D227" s="179">
        <f t="shared" si="12"/>
        <v>4050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>
      <c r="A228" s="180">
        <f>'Données projet'!A211</f>
        <v>150</v>
      </c>
      <c r="B228" s="181">
        <f>'Données projet'!D211</f>
        <v>293</v>
      </c>
      <c r="C228" s="193">
        <v>200</v>
      </c>
      <c r="D228" s="179">
        <f t="shared" si="12"/>
        <v>58600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>
      <c r="A231" s="46" t="s">
        <v>29</v>
      </c>
      <c r="B231" s="174" t="str">
        <f>IF('Données projet'!$B$16="","",'Données projet'!$B$16)</f>
        <v>Robinier faux-acacia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>
      <c r="A233" s="36" t="s">
        <v>51</v>
      </c>
      <c r="B233" s="48" t="s">
        <v>392</v>
      </c>
      <c r="C233" s="48" t="s">
        <v>393</v>
      </c>
      <c r="D233" s="36" t="s">
        <v>394</v>
      </c>
      <c r="E233" s="36" t="s">
        <v>395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>
      <c r="A234" s="49">
        <v>0</v>
      </c>
      <c r="B234" s="199" t="s">
        <v>279</v>
      </c>
      <c r="C234" s="198" t="s">
        <v>279</v>
      </c>
      <c r="D234" s="197" t="s">
        <v>279</v>
      </c>
      <c r="E234" s="193">
        <f>16996.75/4.78</f>
        <v>3555.8054393305438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>
      <c r="A235" s="49">
        <v>1</v>
      </c>
      <c r="B235" s="199" t="s">
        <v>279</v>
      </c>
      <c r="C235" s="198" t="s">
        <v>279</v>
      </c>
      <c r="D235" s="197" t="s">
        <v>279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>
      <c r="A236" s="49">
        <v>2</v>
      </c>
      <c r="B236" s="199" t="s">
        <v>279</v>
      </c>
      <c r="C236" s="198" t="s">
        <v>279</v>
      </c>
      <c r="D236" s="197" t="s">
        <v>279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>
      <c r="A237" s="49">
        <v>3</v>
      </c>
      <c r="B237" s="199" t="s">
        <v>279</v>
      </c>
      <c r="C237" s="198" t="s">
        <v>279</v>
      </c>
      <c r="D237" s="197" t="s">
        <v>279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>
      <c r="A238" s="49">
        <v>4</v>
      </c>
      <c r="B238" s="199" t="s">
        <v>279</v>
      </c>
      <c r="C238" s="198" t="s">
        <v>279</v>
      </c>
      <c r="D238" s="197" t="s">
        <v>279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>
      <c r="A239" s="49">
        <v>5</v>
      </c>
      <c r="B239" s="199" t="s">
        <v>279</v>
      </c>
      <c r="C239" s="198" t="s">
        <v>279</v>
      </c>
      <c r="D239" s="197" t="s">
        <v>279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>
      <c r="A240" s="180">
        <f>'Données projet'!A218</f>
        <v>5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>
      <c r="A241" s="180">
        <f>'Données projet'!A219</f>
        <v>10</v>
      </c>
      <c r="B241" s="181">
        <f>'Données projet'!D219</f>
        <v>17</v>
      </c>
      <c r="C241" s="193">
        <v>10</v>
      </c>
      <c r="D241" s="179">
        <f t="shared" ref="D241:D259" si="13">B241*C241</f>
        <v>170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>
      <c r="A242" s="180">
        <f>'Données projet'!A220</f>
        <v>15</v>
      </c>
      <c r="B242" s="181">
        <f>'Données projet'!D220</f>
        <v>13</v>
      </c>
      <c r="C242" s="193">
        <v>10</v>
      </c>
      <c r="D242" s="179">
        <f t="shared" si="13"/>
        <v>130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>
      <c r="A243" s="180">
        <f>'Données projet'!A221</f>
        <v>20</v>
      </c>
      <c r="B243" s="181">
        <f>'Données projet'!D221</f>
        <v>10</v>
      </c>
      <c r="C243" s="193">
        <v>15</v>
      </c>
      <c r="D243" s="179">
        <f t="shared" si="13"/>
        <v>150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>
      <c r="A244" s="180">
        <f>'Données projet'!A222</f>
        <v>25</v>
      </c>
      <c r="B244" s="181">
        <f>'Données projet'!D222</f>
        <v>8</v>
      </c>
      <c r="C244" s="193">
        <v>15</v>
      </c>
      <c r="D244" s="179">
        <f t="shared" si="13"/>
        <v>120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>
      <c r="A245" s="180">
        <f>'Données projet'!A223</f>
        <v>30</v>
      </c>
      <c r="B245" s="181">
        <f>'Données projet'!D223</f>
        <v>6</v>
      </c>
      <c r="C245" s="193">
        <v>20</v>
      </c>
      <c r="D245" s="179">
        <f t="shared" si="13"/>
        <v>120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>
      <c r="A246" s="180">
        <f>'Données projet'!A224</f>
        <v>35</v>
      </c>
      <c r="B246" s="181">
        <f>'Données projet'!D224</f>
        <v>5</v>
      </c>
      <c r="C246" s="193">
        <v>30</v>
      </c>
      <c r="D246" s="179">
        <f t="shared" si="13"/>
        <v>150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>
      <c r="A247" s="180">
        <f>'Données projet'!A225</f>
        <v>40</v>
      </c>
      <c r="B247" s="181">
        <f>'Données projet'!D225</f>
        <v>4</v>
      </c>
      <c r="C247" s="193">
        <v>40</v>
      </c>
      <c r="D247" s="179">
        <f t="shared" si="13"/>
        <v>160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>
      <c r="A248" s="180">
        <f>'Données projet'!A226</f>
        <v>45</v>
      </c>
      <c r="B248" s="181">
        <f>'Données projet'!D226</f>
        <v>198</v>
      </c>
      <c r="C248" s="193">
        <v>60</v>
      </c>
      <c r="D248" s="179">
        <f t="shared" si="13"/>
        <v>11880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>
      <c r="A262" s="46" t="s">
        <v>31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>
      <c r="A264" s="36" t="s">
        <v>51</v>
      </c>
      <c r="B264" s="48" t="s">
        <v>392</v>
      </c>
      <c r="C264" s="48" t="s">
        <v>393</v>
      </c>
      <c r="D264" s="36" t="s">
        <v>394</v>
      </c>
      <c r="E264" s="36" t="s">
        <v>395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>
      <c r="A265" s="49">
        <v>0</v>
      </c>
      <c r="B265" s="199" t="s">
        <v>279</v>
      </c>
      <c r="C265" s="198" t="s">
        <v>279</v>
      </c>
      <c r="D265" s="197" t="s">
        <v>279</v>
      </c>
      <c r="E265" s="193">
        <f>16996.75/4.78</f>
        <v>3555.8054393305438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>
      <c r="A266" s="49">
        <v>1</v>
      </c>
      <c r="B266" s="199" t="s">
        <v>279</v>
      </c>
      <c r="C266" s="198" t="s">
        <v>279</v>
      </c>
      <c r="D266" s="197" t="s">
        <v>279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>
      <c r="A267" s="49">
        <v>2</v>
      </c>
      <c r="B267" s="199" t="s">
        <v>279</v>
      </c>
      <c r="C267" s="198" t="s">
        <v>279</v>
      </c>
      <c r="D267" s="197" t="s">
        <v>279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>
      <c r="A268" s="49">
        <v>3</v>
      </c>
      <c r="B268" s="199" t="s">
        <v>279</v>
      </c>
      <c r="C268" s="198" t="s">
        <v>279</v>
      </c>
      <c r="D268" s="197" t="s">
        <v>279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>
      <c r="A269" s="49">
        <v>4</v>
      </c>
      <c r="B269" s="199" t="s">
        <v>279</v>
      </c>
      <c r="C269" s="198" t="s">
        <v>279</v>
      </c>
      <c r="D269" s="197" t="s">
        <v>279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>
      <c r="A270" s="49">
        <v>5</v>
      </c>
      <c r="B270" s="199" t="s">
        <v>279</v>
      </c>
      <c r="C270" s="198" t="s">
        <v>279</v>
      </c>
      <c r="D270" s="197" t="s">
        <v>279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>
      <c r="A272" s="180">
        <f>'Données projet'!A245</f>
        <v>0</v>
      </c>
      <c r="B272" s="181">
        <f>'Données projet'!D245</f>
        <v>0</v>
      </c>
      <c r="C272" s="193">
        <v>10</v>
      </c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>
      <c r="A274" s="180">
        <f>'Données projet'!A247</f>
        <v>0</v>
      </c>
      <c r="B274" s="181">
        <f>'Données projet'!D247</f>
        <v>0</v>
      </c>
      <c r="C274" s="193">
        <v>10</v>
      </c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>
      <c r="A276" s="180">
        <f>'Données projet'!A249</f>
        <v>0</v>
      </c>
      <c r="B276" s="181">
        <f>'Données projet'!D249</f>
        <v>0</v>
      </c>
      <c r="C276" s="193">
        <v>15</v>
      </c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>
      <c r="A278" s="180">
        <f>'Données projet'!A251</f>
        <v>0</v>
      </c>
      <c r="B278" s="181">
        <f>'Données projet'!D251</f>
        <v>0</v>
      </c>
      <c r="C278" s="193">
        <v>20</v>
      </c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>
      <c r="A280" s="180">
        <f>'Données projet'!A253</f>
        <v>0</v>
      </c>
      <c r="B280" s="181">
        <f>'Données projet'!D253</f>
        <v>0</v>
      </c>
      <c r="C280" s="193">
        <v>30</v>
      </c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>
      <c r="A282" s="180">
        <f>'Données projet'!A255</f>
        <v>0</v>
      </c>
      <c r="B282" s="181">
        <f>'Données projet'!D255</f>
        <v>0</v>
      </c>
      <c r="C282" s="193">
        <v>40</v>
      </c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>
      <c r="A284" s="180">
        <f>'Données projet'!A257</f>
        <v>0</v>
      </c>
      <c r="B284" s="181">
        <f>'Données projet'!D257</f>
        <v>0</v>
      </c>
      <c r="C284" s="193">
        <v>50</v>
      </c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>
      <c r="A286" s="180">
        <f>'Données projet'!A259</f>
        <v>0</v>
      </c>
      <c r="B286" s="181">
        <f>'Données projet'!D259</f>
        <v>0</v>
      </c>
      <c r="C286" s="193">
        <v>60</v>
      </c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>
      <c r="A288" s="180">
        <f>'Données projet'!A261</f>
        <v>0</v>
      </c>
      <c r="B288" s="181">
        <f>'Données projet'!D261</f>
        <v>0</v>
      </c>
      <c r="C288" s="193">
        <v>65</v>
      </c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>
      <c r="A290" s="180">
        <f>'Données projet'!A263</f>
        <v>0</v>
      </c>
      <c r="B290" s="181">
        <f>'Données projet'!D263</f>
        <v>0</v>
      </c>
      <c r="C290" s="193">
        <v>70</v>
      </c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>
      <c r="A293" s="46" t="s">
        <v>32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>
      <c r="A295" s="36" t="s">
        <v>51</v>
      </c>
      <c r="B295" s="48" t="s">
        <v>392</v>
      </c>
      <c r="C295" s="48" t="s">
        <v>393</v>
      </c>
      <c r="D295" s="36" t="s">
        <v>394</v>
      </c>
      <c r="E295" s="36" t="s">
        <v>395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>
      <c r="A296" s="49">
        <v>0</v>
      </c>
      <c r="B296" s="199" t="s">
        <v>279</v>
      </c>
      <c r="C296" s="198" t="s">
        <v>279</v>
      </c>
      <c r="D296" s="197" t="s">
        <v>279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>
      <c r="A297" s="49">
        <v>1</v>
      </c>
      <c r="B297" s="199" t="s">
        <v>279</v>
      </c>
      <c r="C297" s="198" t="s">
        <v>279</v>
      </c>
      <c r="D297" s="197" t="s">
        <v>279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>
      <c r="A298" s="49">
        <v>2</v>
      </c>
      <c r="B298" s="199" t="s">
        <v>279</v>
      </c>
      <c r="C298" s="198" t="s">
        <v>279</v>
      </c>
      <c r="D298" s="197" t="s">
        <v>279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>
      <c r="A299" s="49">
        <v>3</v>
      </c>
      <c r="B299" s="199" t="s">
        <v>279</v>
      </c>
      <c r="C299" s="198" t="s">
        <v>279</v>
      </c>
      <c r="D299" s="197" t="s">
        <v>279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>
      <c r="A300" s="49">
        <v>4</v>
      </c>
      <c r="B300" s="199" t="s">
        <v>279</v>
      </c>
      <c r="C300" s="198" t="s">
        <v>279</v>
      </c>
      <c r="D300" s="197" t="s">
        <v>279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>
      <c r="A301" s="49">
        <v>5</v>
      </c>
      <c r="B301" s="199" t="s">
        <v>279</v>
      </c>
      <c r="C301" s="198" t="s">
        <v>279</v>
      </c>
      <c r="D301" s="197" t="s">
        <v>279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8870e7-89e8-4ebc-907b-475f2ac5e6be" xsi:nil="true"/>
    <lcf76f155ced4ddcb4097134ff3c332f xmlns="b5732ada-805d-4ab0-b73d-5e77a1a4063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B4159CBEF765479D5648E0661BABF4" ma:contentTypeVersion="17" ma:contentTypeDescription="Crée un document." ma:contentTypeScope="" ma:versionID="15634de00487edcf0c8b05238ae53f29">
  <xsd:schema xmlns:xsd="http://www.w3.org/2001/XMLSchema" xmlns:xs="http://www.w3.org/2001/XMLSchema" xmlns:p="http://schemas.microsoft.com/office/2006/metadata/properties" xmlns:ns2="b5732ada-805d-4ab0-b73d-5e77a1a40638" xmlns:ns3="9c8870e7-89e8-4ebc-907b-475f2ac5e6be" targetNamespace="http://schemas.microsoft.com/office/2006/metadata/properties" ma:root="true" ma:fieldsID="07654e3e4c04b73131a528a291c27213" ns2:_="" ns3:_="">
    <xsd:import namespace="b5732ada-805d-4ab0-b73d-5e77a1a40638"/>
    <xsd:import namespace="9c8870e7-89e8-4ebc-907b-475f2ac5e6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32ada-805d-4ab0-b73d-5e77a1a406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5db6e2ee-0065-4d10-aad0-71d9c5eecb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870e7-89e8-4ebc-907b-475f2ac5e6b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c446e2-517a-4cb0-a416-217762c8416f}" ma:internalName="TaxCatchAll" ma:showField="CatchAllData" ma:web="9c8870e7-89e8-4ebc-907b-475f2ac5e6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C803CD-DB87-48FC-A8EE-233C17690957}"/>
</file>

<file path=customXml/itemProps2.xml><?xml version="1.0" encoding="utf-8"?>
<ds:datastoreItem xmlns:ds="http://schemas.openxmlformats.org/officeDocument/2006/customXml" ds:itemID="{0660A1EF-D4C6-433F-AB12-EC5017FA7B96}"/>
</file>

<file path=customXml/itemProps3.xml><?xml version="1.0" encoding="utf-8"?>
<ds:datastoreItem xmlns:ds="http://schemas.openxmlformats.org/officeDocument/2006/customXml" ds:itemID="{5AD6C76D-203E-498C-B361-050E72FE56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CNPF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/>
  <cp:revision/>
  <dcterms:created xsi:type="dcterms:W3CDTF">2021-02-01T08:22:39Z</dcterms:created>
  <dcterms:modified xsi:type="dcterms:W3CDTF">2023-11-02T07:50:22Z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0x01010093B4159CBEF765479D5648E0661BABF4</vt:lpwstr>
  </property>
  <property fmtid="{D5CDD505-2E9C-101B-9397-08002B2CF9AE}" pid="3" name="MediaServiceImageTags">
    <vt:lpwstr/>
  </property>
</Properties>
</file>