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oitou Val de Loire\SEVREMONT (85) - M. FRUCHET\Documents LBC\Doc fin\"/>
    </mc:Choice>
  </mc:AlternateContent>
  <xr:revisionPtr revIDLastSave="0" documentId="13_ncr:1_{9418909D-7B7B-45C4-9E86-5467706FD5CD}" xr6:coauthVersionLast="36" xr6:coauthVersionMax="36" xr10:uidLastSave="{00000000-0000-0000-0000-000000000000}"/>
  <bookViews>
    <workbookView xWindow="0" yWindow="0" windowWidth="23040" windowHeight="939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FR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G18" i="2"/>
  <c r="EX18" i="2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FS130" i="2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EB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HG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W168" i="2"/>
  <c r="HH168" i="2"/>
  <c r="EV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H201" i="2" l="1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Z6" i="2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62" i="2" a="1"/>
  <c r="AH62" i="2" s="1"/>
  <c r="AH166" i="2" a="1"/>
  <c r="AH166" i="2" s="1"/>
  <c r="AH92" i="2" a="1"/>
  <c r="AH92" i="2" s="1"/>
  <c r="AH19" i="2" a="1"/>
  <c r="AH19" i="2" s="1"/>
  <c r="AH163" i="2" a="1"/>
  <c r="AH163" i="2" s="1"/>
  <c r="AH199" i="2" a="1"/>
  <c r="AH199" i="2" s="1"/>
  <c r="BX107" i="2" a="1"/>
  <c r="BX107" i="2" s="1"/>
  <c r="BP203" i="2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<sst xmlns="http://schemas.openxmlformats.org/spreadsheetml/2006/main" count="1173" uniqueCount="324">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</sst>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1.7837535569220362</c:v>
                </c:pt>
                <c:pt idx="2">
                  <c:v>2.1890531315331625</c:v>
                </c:pt>
                <c:pt idx="3">
                  <c:v>2.6868018319724469</c:v>
                </c:pt>
                <c:pt idx="4">
                  <c:v>3.2981646185733648</c:v>
                </c:pt>
                <c:pt idx="5">
                  <c:v>4.0491684796570855</c:v>
                </c:pt>
                <c:pt idx="6">
                  <c:v>4.9718228940185938</c:v>
                </c:pt>
                <c:pt idx="7">
                  <c:v>6.1054992643049744</c:v>
                </c:pt>
                <c:pt idx="8">
                  <c:v>7.498629338181428</c:v>
                </c:pt>
                <c:pt idx="9">
                  <c:v>9.2107965774006217</c:v>
                </c:pt>
                <c:pt idx="10">
                  <c:v>11.315311624658721</c:v>
                </c:pt>
                <c:pt idx="11">
                  <c:v>13.902384211891608</c:v>
                </c:pt>
                <c:pt idx="12">
                  <c:v>17.083029985936538</c:v>
                </c:pt>
                <c:pt idx="13">
                  <c:v>20.993882951249116</c:v>
                </c:pt>
                <c:pt idx="14">
                  <c:v>25.803123967275425</c:v>
                </c:pt>
                <c:pt idx="15">
                  <c:v>31.717784745611407</c:v>
                </c:pt>
                <c:pt idx="16">
                  <c:v>38.992747235525364</c:v>
                </c:pt>
                <c:pt idx="17">
                  <c:v>47.941832839153214</c:v>
                </c:pt>
                <c:pt idx="18">
                  <c:v>58.951467859045977</c:v>
                </c:pt>
                <c:pt idx="19">
                  <c:v>72.497525022851008</c:v>
                </c:pt>
                <c:pt idx="20">
                  <c:v>89.166080878827913</c:v>
                </c:pt>
                <c:pt idx="21">
                  <c:v>109.67900151552313</c:v>
                </c:pt>
                <c:pt idx="22">
                  <c:v>134.92548208731571</c:v>
                </c:pt>
                <c:pt idx="23">
                  <c:v>166.00092847824487</c:v>
                </c:pt>
                <c:pt idx="24">
                  <c:v>204.2548937800772</c:v>
                </c:pt>
                <c:pt idx="25">
                  <c:v>251.35018250509077</c:v>
                </c:pt>
                <c:pt idx="26">
                  <c:v>257.59892706580973</c:v>
                </c:pt>
                <c:pt idx="27">
                  <c:v>280.64223231927366</c:v>
                </c:pt>
                <c:pt idx="28">
                  <c:v>303.64312460343194</c:v>
                </c:pt>
                <c:pt idx="29">
                  <c:v>326.60526674391014</c:v>
                </c:pt>
                <c:pt idx="30">
                  <c:v>349.53176450400838</c:v>
                </c:pt>
                <c:pt idx="31">
                  <c:v>327.32224444482722</c:v>
                </c:pt>
                <c:pt idx="32">
                  <c:v>355.25814018336717</c:v>
                </c:pt>
                <c:pt idx="33">
                  <c:v>383.14593330983166</c:v>
                </c:pt>
                <c:pt idx="34">
                  <c:v>410.98961362312235</c:v>
                </c:pt>
                <c:pt idx="35">
                  <c:v>438.79258651750848</c:v>
                </c:pt>
                <c:pt idx="36">
                  <c:v>406.94655346348719</c:v>
                </c:pt>
                <c:pt idx="37">
                  <c:v>433.33011407671546</c:v>
                </c:pt>
                <c:pt idx="38">
                  <c:v>459.6791925843832</c:v>
                </c:pt>
                <c:pt idx="39">
                  <c:v>485.99604123882409</c:v>
                </c:pt>
                <c:pt idx="40">
                  <c:v>512.28264869987129</c:v>
                </c:pt>
                <c:pt idx="41">
                  <c:v>468.21781705558993</c:v>
                </c:pt>
                <c:pt idx="42">
                  <c:v>492.86655646748187</c:v>
                </c:pt>
                <c:pt idx="43">
                  <c:v>517.48917336073771</c:v>
                </c:pt>
                <c:pt idx="44">
                  <c:v>542.08708413305317</c:v>
                </c:pt>
                <c:pt idx="45">
                  <c:v>566.66156628829003</c:v>
                </c:pt>
                <c:pt idx="46">
                  <c:v>520.56523587504478</c:v>
                </c:pt>
                <c:pt idx="47">
                  <c:v>541.85067926084866</c:v>
                </c:pt>
                <c:pt idx="48">
                  <c:v>563.11857029884015</c:v>
                </c:pt>
                <c:pt idx="49">
                  <c:v>584.36966457807455</c:v>
                </c:pt>
                <c:pt idx="50">
                  <c:v>605.60465830262285</c:v>
                </c:pt>
                <c:pt idx="51">
                  <c:v>572.09326180532764</c:v>
                </c:pt>
                <c:pt idx="52">
                  <c:v>588.14593218796972</c:v>
                </c:pt>
                <c:pt idx="53">
                  <c:v>604.18947979642792</c:v>
                </c:pt>
                <c:pt idx="54">
                  <c:v>620.22418084313779</c:v>
                </c:pt>
                <c:pt idx="55">
                  <c:v>636.25029610351078</c:v>
                </c:pt>
                <c:pt idx="56">
                  <c:v>605.13293977416163</c:v>
                </c:pt>
                <c:pt idx="57">
                  <c:v>617.6309209166335</c:v>
                </c:pt>
                <c:pt idx="58">
                  <c:v>630.12366160545764</c:v>
                </c:pt>
                <c:pt idx="59">
                  <c:v>642.61128033745115</c:v>
                </c:pt>
                <c:pt idx="60">
                  <c:v>655.0938906304458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1.5412971892444229</c:v>
                </c:pt>
                <c:pt idx="2">
                  <c:v>1.9388926438146914</c:v>
                </c:pt>
                <c:pt idx="3">
                  <c:v>2.4394633772013945</c:v>
                </c:pt>
                <c:pt idx="4">
                  <c:v>3.069780168334288</c:v>
                </c:pt>
                <c:pt idx="5">
                  <c:v>3.8635980437489281</c:v>
                </c:pt>
                <c:pt idx="6">
                  <c:v>4.8634843767910576</c:v>
                </c:pt>
                <c:pt idx="7">
                  <c:v>6.1231269318386374</c:v>
                </c:pt>
                <c:pt idx="8">
                  <c:v>7.7102482067007854</c:v>
                </c:pt>
                <c:pt idx="9">
                  <c:v>9.7102857749689822</c:v>
                </c:pt>
                <c:pt idx="10">
                  <c:v>12.231040500672227</c:v>
                </c:pt>
                <c:pt idx="11">
                  <c:v>15.40854782870084</c:v>
                </c:pt>
                <c:pt idx="12">
                  <c:v>19.414494805769813</c:v>
                </c:pt>
                <c:pt idx="13">
                  <c:v>24.465590804149439</c:v>
                </c:pt>
                <c:pt idx="14">
                  <c:v>30.835407845497311</c:v>
                </c:pt>
                <c:pt idx="15">
                  <c:v>38.869342956925792</c:v>
                </c:pt>
                <c:pt idx="16">
                  <c:v>49.003527734161047</c:v>
                </c:pt>
                <c:pt idx="17">
                  <c:v>61.788728856850753</c:v>
                </c:pt>
                <c:pt idx="18">
                  <c:v>77.920559878164354</c:v>
                </c:pt>
                <c:pt idx="19">
                  <c:v>98.277674616254941</c:v>
                </c:pt>
                <c:pt idx="20">
                  <c:v>123.97005543664547</c:v>
                </c:pt>
                <c:pt idx="21">
                  <c:v>130.30991517841122</c:v>
                </c:pt>
                <c:pt idx="22">
                  <c:v>136.64231946228742</c:v>
                </c:pt>
                <c:pt idx="23">
                  <c:v>142.96766323806102</c:v>
                </c:pt>
                <c:pt idx="24">
                  <c:v>149.28630357695832</c:v>
                </c:pt>
                <c:pt idx="25">
                  <c:v>155.59856479059451</c:v>
                </c:pt>
                <c:pt idx="26">
                  <c:v>161.90474267390317</c:v>
                </c:pt>
                <c:pt idx="27">
                  <c:v>168.20510805098732</c:v>
                </c:pt>
                <c:pt idx="28">
                  <c:v>174.49990976080673</c:v>
                </c:pt>
                <c:pt idx="29">
                  <c:v>180.78937718864941</c:v>
                </c:pt>
                <c:pt idx="30">
                  <c:v>187.07372242622975</c:v>
                </c:pt>
                <c:pt idx="31">
                  <c:v>194.16304064471549</c:v>
                </c:pt>
                <c:pt idx="32">
                  <c:v>201.24634176616681</c:v>
                </c:pt>
                <c:pt idx="33">
                  <c:v>208.32386777264205</c:v>
                </c:pt>
                <c:pt idx="34">
                  <c:v>215.39584283593402</c:v>
                </c:pt>
                <c:pt idx="35">
                  <c:v>222.46247518327687</c:v>
                </c:pt>
                <c:pt idx="36">
                  <c:v>229.52395871325152</c:v>
                </c:pt>
                <c:pt idx="37">
                  <c:v>236.58047440215805</c:v>
                </c:pt>
                <c:pt idx="38">
                  <c:v>243.63219153359816</c:v>
                </c:pt>
                <c:pt idx="39">
                  <c:v>250.67926877807716</c:v>
                </c:pt>
                <c:pt idx="40">
                  <c:v>257.72185514470982</c:v>
                </c:pt>
                <c:pt idx="41">
                  <c:v>201.24634176616681</c:v>
                </c:pt>
                <c:pt idx="42">
                  <c:v>208.32386777264196</c:v>
                </c:pt>
                <c:pt idx="43">
                  <c:v>215.39584283593396</c:v>
                </c:pt>
                <c:pt idx="44">
                  <c:v>222.46247518327687</c:v>
                </c:pt>
                <c:pt idx="45">
                  <c:v>229.52395871325146</c:v>
                </c:pt>
                <c:pt idx="46">
                  <c:v>236.58047440215793</c:v>
                </c:pt>
                <c:pt idx="47">
                  <c:v>243.6321915335981</c:v>
                </c:pt>
                <c:pt idx="48">
                  <c:v>250.67926877807716</c:v>
                </c:pt>
                <c:pt idx="49">
                  <c:v>257.72185514470976</c:v>
                </c:pt>
                <c:pt idx="50">
                  <c:v>264.76009082333871</c:v>
                </c:pt>
                <c:pt idx="51">
                  <c:v>272.79863050588659</c:v>
                </c:pt>
                <c:pt idx="52">
                  <c:v>280.83184541341694</c:v>
                </c:pt>
                <c:pt idx="53">
                  <c:v>288.85990949975189</c:v>
                </c:pt>
                <c:pt idx="54">
                  <c:v>296.88298625047736</c:v>
                </c:pt>
                <c:pt idx="55">
                  <c:v>304.90122958502042</c:v>
                </c:pt>
                <c:pt idx="56">
                  <c:v>312.9147846588009</c:v>
                </c:pt>
                <c:pt idx="57">
                  <c:v>320.92378857885433</c:v>
                </c:pt>
                <c:pt idx="58">
                  <c:v>328.92837104423432</c:v>
                </c:pt>
                <c:pt idx="59">
                  <c:v>336.92865492077641</c:v>
                </c:pt>
                <c:pt idx="60">
                  <c:v>344.92475675838369</c:v>
                </c:pt>
                <c:pt idx="61">
                  <c:v>285.34825454721044</c:v>
                </c:pt>
                <c:pt idx="62">
                  <c:v>292.87206145774769</c:v>
                </c:pt>
                <c:pt idx="63">
                  <c:v>300.3915536943141</c:v>
                </c:pt>
                <c:pt idx="64">
                  <c:v>307.90685461043853</c:v>
                </c:pt>
                <c:pt idx="65">
                  <c:v>315.41808104045464</c:v>
                </c:pt>
                <c:pt idx="66">
                  <c:v>322.92534379451814</c:v>
                </c:pt>
                <c:pt idx="67">
                  <c:v>330.42874810515173</c:v>
                </c:pt>
                <c:pt idx="68">
                  <c:v>337.92839403108059</c:v>
                </c:pt>
                <c:pt idx="69">
                  <c:v>345.42437682332121</c:v>
                </c:pt>
                <c:pt idx="70">
                  <c:v>352.91678725781009</c:v>
                </c:pt>
                <c:pt idx="71">
                  <c:v>291.56824760988314</c:v>
                </c:pt>
                <c:pt idx="72">
                  <c:v>299.28895999218281</c:v>
                </c:pt>
                <c:pt idx="73">
                  <c:v>307.00523587874869</c:v>
                </c:pt>
                <c:pt idx="74">
                  <c:v>314.71720261424764</c:v>
                </c:pt>
                <c:pt idx="75">
                  <c:v>322.42498078691847</c:v>
                </c:pt>
                <c:pt idx="76">
                  <c:v>330.1286847435594</c:v>
                </c:pt>
                <c:pt idx="77">
                  <c:v>337.82842305389971</c:v>
                </c:pt>
                <c:pt idx="78">
                  <c:v>345.52429893039556</c:v>
                </c:pt>
                <c:pt idx="79">
                  <c:v>353.21641060864732</c:v>
                </c:pt>
                <c:pt idx="80">
                  <c:v>360.90485169292759</c:v>
                </c:pt>
                <c:pt idx="81">
                  <c:v>298.18627576151772</c:v>
                </c:pt>
                <c:pt idx="82">
                  <c:v>306.5043111615816</c:v>
                </c:pt>
                <c:pt idx="83">
                  <c:v>314.81733022074962</c:v>
                </c:pt>
                <c:pt idx="84">
                  <c:v>323.12548419477201</c:v>
                </c:pt>
                <c:pt idx="85">
                  <c:v>331.42891591987251</c:v>
                </c:pt>
                <c:pt idx="86">
                  <c:v>339.7277604852431</c:v>
                </c:pt>
                <c:pt idx="87">
                  <c:v>348.02214583635418</c:v>
                </c:pt>
                <c:pt idx="88">
                  <c:v>356.3121933177128</c:v>
                </c:pt>
                <c:pt idx="89">
                  <c:v>364.59801816244254</c:v>
                </c:pt>
                <c:pt idx="90">
                  <c:v>372.87972993501245</c:v>
                </c:pt>
                <c:pt idx="91">
                  <c:v>308.20738114119678</c:v>
                </c:pt>
                <c:pt idx="92">
                  <c:v>316.51939170560019</c:v>
                </c:pt>
                <c:pt idx="93">
                  <c:v>324.8265671030199</c:v>
                </c:pt>
                <c:pt idx="94">
                  <c:v>333.12904853057529</c:v>
                </c:pt>
                <c:pt idx="95">
                  <c:v>341.42696956725405</c:v>
                </c:pt>
                <c:pt idx="96">
                  <c:v>349.72045676416354</c:v>
                </c:pt>
                <c:pt idx="97">
                  <c:v>358.00963017583177</c:v>
                </c:pt>
                <c:pt idx="98">
                  <c:v>366.29460383970854</c:v>
                </c:pt>
                <c:pt idx="99">
                  <c:v>374.57548620999501</c:v>
                </c:pt>
                <c:pt idx="100">
                  <c:v>382.85238055108954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U34" sqref="U34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27" sqref="G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13.05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0.16</v>
      </c>
      <c r="D9" s="36">
        <f t="shared" ref="D9:D18" si="0">C9*$C$5</f>
        <v>2.0880000000000001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0.37</v>
      </c>
      <c r="D10" s="36">
        <f t="shared" si="0"/>
        <v>4.8285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0.09</v>
      </c>
      <c r="D11" s="36">
        <f t="shared" si="0"/>
        <v>1.1745000000000001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44</v>
      </c>
      <c r="C12" s="35">
        <v>0.38</v>
      </c>
      <c r="D12" s="36">
        <f t="shared" si="0"/>
        <v>4.9590000000000005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13.05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204</v>
      </c>
      <c r="C36" s="63">
        <v>1</v>
      </c>
      <c r="D36" s="63">
        <v>14</v>
      </c>
      <c r="E36" s="54"/>
      <c r="F36" s="54"/>
      <c r="G36" s="54">
        <v>1</v>
      </c>
      <c r="H36" s="54"/>
      <c r="I36" s="52">
        <f>IFERROR(B36/A36,"")</f>
        <v>8.16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286</v>
      </c>
      <c r="C37" s="63">
        <v>2</v>
      </c>
      <c r="D37" s="63">
        <v>42</v>
      </c>
      <c r="E37" s="54"/>
      <c r="F37" s="54"/>
      <c r="G37" s="54">
        <v>1</v>
      </c>
      <c r="H37" s="54"/>
      <c r="I37" s="56">
        <f t="shared" ref="I37:I55" si="1">IF(A37&lt;&gt;0,(B37-(B36-D36))/(A37-A36),"")</f>
        <v>19.2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361</v>
      </c>
      <c r="C38" s="63">
        <v>3</v>
      </c>
      <c r="D38" s="63">
        <v>49</v>
      </c>
      <c r="E38" s="54"/>
      <c r="F38" s="54"/>
      <c r="G38" s="54"/>
      <c r="H38" s="54"/>
      <c r="I38" s="56">
        <f t="shared" si="1"/>
        <v>23.4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423</v>
      </c>
      <c r="C39" s="63">
        <v>4</v>
      </c>
      <c r="D39" s="63">
        <v>58</v>
      </c>
      <c r="E39" s="54"/>
      <c r="F39" s="54"/>
      <c r="G39" s="54"/>
      <c r="H39" s="54"/>
      <c r="I39" s="52">
        <f t="shared" si="1"/>
        <v>22.2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469</v>
      </c>
      <c r="C40" s="63">
        <v>5</v>
      </c>
      <c r="D40" s="63">
        <v>57</v>
      </c>
      <c r="E40" s="54"/>
      <c r="F40" s="54"/>
      <c r="G40" s="54"/>
      <c r="H40" s="54"/>
      <c r="I40" s="52">
        <f t="shared" si="1"/>
        <v>20.8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502</v>
      </c>
      <c r="C41" s="63">
        <v>6</v>
      </c>
      <c r="D41" s="63">
        <v>42</v>
      </c>
      <c r="E41" s="54"/>
      <c r="F41" s="54"/>
      <c r="G41" s="54"/>
      <c r="H41" s="54"/>
      <c r="I41" s="56">
        <f t="shared" si="1"/>
        <v>18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528</v>
      </c>
      <c r="C42" s="63">
        <v>7</v>
      </c>
      <c r="D42" s="63">
        <v>37</v>
      </c>
      <c r="E42" s="54"/>
      <c r="F42" s="54"/>
      <c r="G42" s="54"/>
      <c r="H42" s="54"/>
      <c r="I42" s="56">
        <f t="shared" si="1"/>
        <v>13.6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544</v>
      </c>
      <c r="C43" s="63">
        <v>8</v>
      </c>
      <c r="D43" s="63">
        <v>544</v>
      </c>
      <c r="E43" s="54"/>
      <c r="F43" s="54"/>
      <c r="G43" s="54"/>
      <c r="H43" s="54"/>
      <c r="I43" s="52">
        <f t="shared" si="1"/>
        <v>10.6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118</v>
      </c>
      <c r="C62" s="63">
        <v>1</v>
      </c>
      <c r="D62" s="63">
        <v>0</v>
      </c>
      <c r="E62" s="54"/>
      <c r="F62" s="54"/>
      <c r="G62" s="54">
        <v>1</v>
      </c>
      <c r="H62" s="54"/>
      <c r="I62" s="56">
        <f>IFERROR(B62/A62,"")</f>
        <v>5.9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>
        <v>0.2</v>
      </c>
      <c r="F63" s="54"/>
      <c r="G63" s="54">
        <v>0.8</v>
      </c>
      <c r="H63" s="54"/>
      <c r="I63" s="52">
        <f>IF(A63&lt;&gt;0,(B63-(B62-D62))/(A63-A62),"")</f>
        <v>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22</v>
      </c>
      <c r="B90" s="63">
        <v>232</v>
      </c>
      <c r="C90" s="63">
        <v>3</v>
      </c>
      <c r="D90" s="63">
        <v>56</v>
      </c>
      <c r="E90" s="93">
        <v>0.4</v>
      </c>
      <c r="F90" s="93"/>
      <c r="G90" s="93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309</v>
      </c>
      <c r="C91" s="63">
        <v>4</v>
      </c>
      <c r="D91" s="63">
        <v>309</v>
      </c>
      <c r="E91" s="93">
        <v>0.4</v>
      </c>
      <c r="F91" s="93">
        <v>0.4</v>
      </c>
      <c r="G91" s="93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Robinier faux-acacia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5</v>
      </c>
      <c r="B114" s="63">
        <v>34</v>
      </c>
      <c r="C114" s="53">
        <v>1</v>
      </c>
      <c r="D114" s="63">
        <v>6</v>
      </c>
      <c r="E114" s="54"/>
      <c r="F114" s="54"/>
      <c r="G114" s="54">
        <v>1</v>
      </c>
      <c r="H114" s="54"/>
      <c r="I114" s="56">
        <f>IFERROR(B114/A114,"")</f>
        <v>6.8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10</v>
      </c>
      <c r="B115" s="63">
        <v>99</v>
      </c>
      <c r="C115" s="53">
        <v>2</v>
      </c>
      <c r="D115" s="63">
        <v>28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14.2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15</v>
      </c>
      <c r="B116" s="63">
        <v>140</v>
      </c>
      <c r="C116" s="53">
        <v>3</v>
      </c>
      <c r="D116" s="63">
        <v>23</v>
      </c>
      <c r="E116" s="54"/>
      <c r="F116" s="54"/>
      <c r="G116" s="54">
        <v>1</v>
      </c>
      <c r="H116" s="54"/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20</v>
      </c>
      <c r="B117" s="63">
        <v>180</v>
      </c>
      <c r="C117" s="53">
        <v>4</v>
      </c>
      <c r="D117" s="63">
        <v>18</v>
      </c>
      <c r="E117" s="54">
        <v>0.2</v>
      </c>
      <c r="F117" s="54">
        <v>0.3</v>
      </c>
      <c r="G117" s="54">
        <v>0.5</v>
      </c>
      <c r="H117" s="54"/>
      <c r="I117" s="56">
        <f t="shared" si="4"/>
        <v>12.6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25</v>
      </c>
      <c r="B118" s="63">
        <v>214</v>
      </c>
      <c r="C118" s="53">
        <v>5</v>
      </c>
      <c r="D118" s="63">
        <v>14</v>
      </c>
      <c r="E118" s="54">
        <v>0.3</v>
      </c>
      <c r="F118" s="54">
        <v>0.2</v>
      </c>
      <c r="G118" s="54">
        <v>0.5</v>
      </c>
      <c r="H118" s="54"/>
      <c r="I118" s="56">
        <f t="shared" si="4"/>
        <v>10.4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30</v>
      </c>
      <c r="B119" s="63">
        <v>243</v>
      </c>
      <c r="C119" s="53">
        <v>6</v>
      </c>
      <c r="D119" s="63">
        <v>11</v>
      </c>
      <c r="E119" s="54">
        <v>0.4</v>
      </c>
      <c r="F119" s="54">
        <v>0.2</v>
      </c>
      <c r="G119" s="54">
        <v>0.4</v>
      </c>
      <c r="H119" s="54"/>
      <c r="I119" s="56">
        <f t="shared" si="4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35</v>
      </c>
      <c r="B120" s="63">
        <v>267</v>
      </c>
      <c r="C120" s="63">
        <v>7</v>
      </c>
      <c r="D120" s="63">
        <v>9</v>
      </c>
      <c r="E120" s="93"/>
      <c r="F120" s="93"/>
      <c r="G120" s="93"/>
      <c r="H120" s="93"/>
      <c r="I120" s="56">
        <f t="shared" si="4"/>
        <v>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40</v>
      </c>
      <c r="B121" s="63">
        <v>289</v>
      </c>
      <c r="C121" s="63">
        <v>8</v>
      </c>
      <c r="D121" s="63">
        <v>7</v>
      </c>
      <c r="E121" s="93"/>
      <c r="F121" s="93"/>
      <c r="G121" s="93"/>
      <c r="H121" s="93"/>
      <c r="I121" s="56">
        <f t="shared" si="4"/>
        <v>6.2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45</v>
      </c>
      <c r="B122" s="63">
        <v>312</v>
      </c>
      <c r="C122" s="63">
        <v>9</v>
      </c>
      <c r="D122" s="63">
        <v>312</v>
      </c>
      <c r="E122" s="93"/>
      <c r="F122" s="93"/>
      <c r="G122" s="93"/>
      <c r="H122" s="93"/>
      <c r="I122" s="56">
        <f t="shared" si="4"/>
        <v>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1" sqref="F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Robinier faux-acacia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349.46033149388688</v>
      </c>
      <c r="T3" s="62">
        <f>IF('Données projet'!E9&gt;30,$R$33-$H$33,LOOKUP('Données projet'!$E$9,$A$3:$A$203,R3:R203)-LOOKUP('Données projet'!$E$9,$A$3:$A$203,$H$3:$H$203))</f>
        <v>405.30585610371702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289.94963088302325</v>
      </c>
      <c r="AO3" s="62">
        <f>IF('Données projet'!E10&gt;30,$AM$33-$H$33,LOOKUP('Données projet'!$E$10,$A$3:$A$203,AM3:AM203)-LOOKUP('Données projet'!$E$10,$A$3:$A$203,$H$3:$H$203))</f>
        <v>242.84781402593839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189.09998601768521</v>
      </c>
      <c r="BJ3" s="62">
        <f>IF('Données projet'!E11&gt;30,$BH$33-$H$33,LOOKUP('Données projet'!$E$11,$A$3:$A$203,BH3:BH203)-LOOKUP('Données projet'!$E$11,$A$3:$A$203,$H$3:$H$203))</f>
        <v>458.38901659119472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376.68007030857598</v>
      </c>
      <c r="CE3" s="62">
        <f>IF('Données projet'!E12&gt;30,$CC$33-$H$33,LOOKUP('Données projet'!$E$12,$A$3:$A$203,CC3:CC203)-LOOKUP('Données projet'!$E$12,$A$3:$A$203,$H$3:$H$203))</f>
        <v>532.90758914457626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8.16</v>
      </c>
      <c r="N4" s="14">
        <f>IF('Données projet'!$A$36&gt;35,N3+M4-V3,IF(A4&lt;'Données projet'!$A$36,$K$205^A4,IF(A4='Données projet'!$A$36,'Données projet'!$B$36,N3+M4-V3)))</f>
        <v>1.2370441695353693</v>
      </c>
      <c r="O4" s="14">
        <f>N4*VLOOKUP('Données projet'!$B$9,Paramètres!$A$1:$I$89,3,0)*VLOOKUP('Données projet'!$B$9,Paramètres!$A$1:$I$89,5,0)</f>
        <v>0.69150769077027141</v>
      </c>
      <c r="P4" s="14">
        <f>EXP(-1.0587+0.8836*LN(O4)+0.284)</f>
        <v>0.33265703090745263</v>
      </c>
      <c r="Q4" s="22">
        <f t="shared" ref="Q4:Q34" si="2">(O4+P4)*0.475*44/12</f>
        <v>1.7837535569220362</v>
      </c>
      <c r="R4" s="62">
        <f t="shared" si="0"/>
        <v>169.59618750984586</v>
      </c>
      <c r="S4" s="62">
        <f ca="1">AVERAGE(OFFSET($R$3,0,0,'Données projet'!$E$9+1,1))-AVERAGE(OFFSET($H$3,0,0,'Données projet'!$E$9+1,1))</f>
        <v>349.46033149388688</v>
      </c>
      <c r="T4" s="62">
        <f>$T$3</f>
        <v>405.30585610371702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5.9</v>
      </c>
      <c r="AI4" s="14">
        <f>IF('Données projet'!$A$62&gt;35,AI3+AH4-AQ3,IF(A4&lt;'Données projet'!$A$62,$AF$205^A4,IF(A4='Données projet'!$A$62,'Données projet'!$B$62,AI3+AH4-AQ3)))</f>
        <v>1.2693871579679339</v>
      </c>
      <c r="AJ4" s="14">
        <f>AI4*VLOOKUP('Données projet'!$B$10,Paramètres!$A$1:$I$89,3,0)*VLOOKUP('Données projet'!$B$10,Paramètres!$A$1:$I$89,5,0)</f>
        <v>0.59407318992899305</v>
      </c>
      <c r="AK4" s="14">
        <f>EXP(-1.0587+0.8836*LN(AJ4)+0.284)</f>
        <v>0.2908821340390968</v>
      </c>
      <c r="AL4" s="22">
        <f t="shared" ref="AL4:AL67" si="4">(AJ4+AK4)*0.475*44/12</f>
        <v>1.5412971892444229</v>
      </c>
      <c r="AM4" s="62">
        <f t="shared" ref="AM4:AM67" si="5">AL4+(AD4+AE4)*44/12</f>
        <v>169.35373114216827</v>
      </c>
      <c r="AN4" s="62">
        <f ca="1">AVERAGE(OFFSET($AM$3,0,0,'Données projet'!$E$10+1,1))-AVERAGE(OFFSET($H$3,0,0,'Données projet'!$E$10+1,1))</f>
        <v>289.94963088302325</v>
      </c>
      <c r="AO4" s="62">
        <f>$AO$3</f>
        <v>242.84781402593839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170.06696950201462</v>
      </c>
      <c r="BI4" s="62">
        <f ca="1">AVERAGE(OFFSET($BH$3,0,0,'Données projet'!$E$11+1,1))-AVERAGE(OFFSET($H$3,0,0,'Données projet'!$E$11+1,1))</f>
        <v>189.09998601768521</v>
      </c>
      <c r="BJ4" s="62">
        <f>$BJ$3</f>
        <v>458.38901659119472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6.8</v>
      </c>
      <c r="BY4" s="13">
        <f>IF('Données projet'!$A$114&gt;35,BY3+BX4-CG3,IF(A4&lt;'Données projet'!$A$114,$BV$205^A4,IF(A4='Données projet'!$A$114,'Données projet'!$B$114,BY3+BX4-CG3)))</f>
        <v>2.0243974584998852</v>
      </c>
      <c r="BZ4" s="14">
        <f>BY4*VLOOKUP('Données projet'!$B$12,Paramètres!$A$1:$I$89,3,0)*VLOOKUP('Données projet'!$B$12,Paramètres!$A$1:$I$89,5,0)</f>
        <v>1.8316748204506961</v>
      </c>
      <c r="CA4" s="14">
        <f>EXP(-1.0587+0.8836*LN(BZ4)+0.284)</f>
        <v>0.78669228172688432</v>
      </c>
      <c r="CB4" s="22">
        <f t="shared" ref="CB4:CB67" si="10">(BZ4+CA4)*0.475*44/12</f>
        <v>4.5603227029592857</v>
      </c>
      <c r="CC4" s="62">
        <f t="shared" ref="CC4:CC67" si="11">CB4+(BT4+BU4)*44/12</f>
        <v>172.37275665588314</v>
      </c>
      <c r="CD4" s="62">
        <f ca="1">AVERAGE(OFFSET($CC$3,0,0,'Données projet'!$E$12+1,1))-AVERAGE(OFFSET($H$3,0,0,'Données projet'!$E$12+1,1))</f>
        <v>376.68007030857598</v>
      </c>
      <c r="CE4" s="62">
        <f>$CE$3</f>
        <v>532.90758914457626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8.16</v>
      </c>
      <c r="N5" s="14">
        <f>IF('Données projet'!$A$36&gt;35,N4+M5-V4,IF(A5&lt;'Données projet'!$A$36,$K$205^A5,IF(A5='Données projet'!$A$36,'Données projet'!$B$36,N4+M5-V4)))</f>
        <v>1.5302782773814516</v>
      </c>
      <c r="O5" s="14">
        <f>N5*VLOOKUP('Données projet'!$B$9,Paramètres!$A$1:$I$89,3,0)*VLOOKUP('Données projet'!$B$9,Paramètres!$A$1:$I$89,5,0)</f>
        <v>0.85542555705623147</v>
      </c>
      <c r="P5" s="14">
        <f t="shared" ref="P5:P68" si="33">EXP(-1.0587+0.8836*LN(O5)+0.284)</f>
        <v>0.4014470543503692</v>
      </c>
      <c r="Q5" s="22">
        <f t="shared" si="2"/>
        <v>2.1890531315331625</v>
      </c>
      <c r="R5" s="62">
        <f t="shared" si="0"/>
        <v>172.78633441903401</v>
      </c>
      <c r="S5" s="62">
        <f ca="1">AVERAGE(OFFSET($R$3,0,0,'Données projet'!$E$9+1,1))-AVERAGE(OFFSET($H$3,0,0,'Données projet'!$E$9+1,1))</f>
        <v>349.46033149388688</v>
      </c>
      <c r="T5" s="62">
        <f t="shared" ref="T5:T68" si="34">$T$3</f>
        <v>405.30585610371702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5.9</v>
      </c>
      <c r="AI5" s="14">
        <f>IF('Données projet'!$A$62&gt;35,AI4+AH5-AQ4,IF(A5&lt;'Données projet'!$A$62,$AF$205^A5,IF(A5='Données projet'!$A$62,'Données projet'!$B$62,AI4+AH5-AQ4)))</f>
        <v>1.6113437568139084</v>
      </c>
      <c r="AJ5" s="14">
        <f>AI5*VLOOKUP('Données projet'!$B$10,Paramètres!$A$1:$I$89,3,0)*VLOOKUP('Données projet'!$B$10,Paramètres!$A$1:$I$89,5,0)</f>
        <v>0.75410887818890915</v>
      </c>
      <c r="AK5" s="14">
        <f t="shared" ref="AK5:AK68" si="35">EXP(-1.0587+0.8836*LN(AJ5)+0.284)</f>
        <v>0.35913091730277963</v>
      </c>
      <c r="AL5" s="22">
        <f t="shared" si="4"/>
        <v>1.9388926438146914</v>
      </c>
      <c r="AM5" s="62">
        <f t="shared" si="5"/>
        <v>172.53617393131552</v>
      </c>
      <c r="AN5" s="62">
        <f ca="1">AVERAGE(OFFSET($AM$3,0,0,'Données projet'!$E$10+1,1))-AVERAGE(OFFSET($H$3,0,0,'Données projet'!$E$10+1,1))</f>
        <v>289.94963088302325</v>
      </c>
      <c r="AO5" s="62">
        <f t="shared" ref="AO5:AO68" si="36">$AO$3</f>
        <v>242.84781402593839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173.87573401144391</v>
      </c>
      <c r="BI5" s="62">
        <f ca="1">AVERAGE(OFFSET($BH$3,0,0,'Données projet'!$E$11+1,1))-AVERAGE(OFFSET($H$3,0,0,'Données projet'!$E$11+1,1))</f>
        <v>189.09998601768521</v>
      </c>
      <c r="BJ5" s="62">
        <f t="shared" ref="BJ5:BJ68" si="38">$BJ$3</f>
        <v>458.38901659119472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6.8</v>
      </c>
      <c r="BY5" s="13">
        <f>IF('Données projet'!$A$114&gt;35,BY4+BX5-CG4,IF(A5&lt;'Données projet'!$A$114,$BV$205^A5,IF(A5='Données projet'!$A$114,'Données projet'!$B$114,BY4+BX5-CG4)))</f>
        <v>4.0981850699807945</v>
      </c>
      <c r="BZ5" s="14">
        <f>BY5*VLOOKUP('Données projet'!$B$12,Paramètres!$A$1:$I$89,3,0)*VLOOKUP('Données projet'!$B$12,Paramètres!$A$1:$I$89,5,0)</f>
        <v>3.7080378513186227</v>
      </c>
      <c r="CA5" s="14">
        <f t="shared" ref="CA5:CA68" si="39">EXP(-1.0587+0.8836*LN(BZ5)+0.284)</f>
        <v>1.4670598901857457</v>
      </c>
      <c r="CB5" s="22">
        <f t="shared" si="10"/>
        <v>9.0132952331201093</v>
      </c>
      <c r="CC5" s="62">
        <f t="shared" si="11"/>
        <v>179.61057652062095</v>
      </c>
      <c r="CD5" s="62">
        <f ca="1">AVERAGE(OFFSET($CC$3,0,0,'Données projet'!$E$12+1,1))-AVERAGE(OFFSET($H$3,0,0,'Données projet'!$E$12+1,1))</f>
        <v>376.68007030857598</v>
      </c>
      <c r="CE5" s="62">
        <f t="shared" ref="CE5:CE68" si="40">$CE$3</f>
        <v>532.90758914457626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8.16</v>
      </c>
      <c r="N6" s="14">
        <f>IF('Données projet'!$A$36&gt;35,N5+M6-V5,IF(A6&lt;'Données projet'!$A$36,$K$205^A6,IF(A6='Données projet'!$A$36,'Données projet'!$B$36,N5+M6-V5)))</f>
        <v>1.8930218208013534</v>
      </c>
      <c r="O6" s="14">
        <f>N6*VLOOKUP('Données projet'!$B$9,Paramètres!$A$1:$I$89,3,0)*VLOOKUP('Données projet'!$B$9,Paramètres!$A$1:$I$89,5,0)</f>
        <v>1.0581991978279566</v>
      </c>
      <c r="P6" s="14">
        <f t="shared" si="33"/>
        <v>0.48446214110359193</v>
      </c>
      <c r="Q6" s="22">
        <f t="shared" si="2"/>
        <v>2.6868018319724469</v>
      </c>
      <c r="R6" s="62">
        <f t="shared" si="0"/>
        <v>176.04182240185733</v>
      </c>
      <c r="S6" s="62">
        <f ca="1">AVERAGE(OFFSET($R$3,0,0,'Données projet'!$E$9+1,1))-AVERAGE(OFFSET($H$3,0,0,'Données projet'!$E$9+1,1))</f>
        <v>349.46033149388688</v>
      </c>
      <c r="T6" s="62">
        <f t="shared" si="34"/>
        <v>405.30585610371702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5.9</v>
      </c>
      <c r="AI6" s="14">
        <f>IF('Données projet'!$A$62&gt;35,AI5+AH6-AQ5,IF(A6&lt;'Données projet'!$A$62,$AF$205^A6,IF(A6='Données projet'!$A$62,'Données projet'!$B$62,AI5+AH6-AQ5)))</f>
        <v>2.0454190719713807</v>
      </c>
      <c r="AJ6" s="14">
        <f>AI6*VLOOKUP('Données projet'!$B$10,Paramètres!$A$1:$I$89,3,0)*VLOOKUP('Données projet'!$B$10,Paramètres!$A$1:$I$89,5,0)</f>
        <v>0.9572561256826061</v>
      </c>
      <c r="AK6" s="14">
        <f t="shared" si="35"/>
        <v>0.44339270333254871</v>
      </c>
      <c r="AL6" s="22">
        <f t="shared" si="4"/>
        <v>2.4394633772013945</v>
      </c>
      <c r="AM6" s="62">
        <f t="shared" si="5"/>
        <v>175.79448394708629</v>
      </c>
      <c r="AN6" s="62">
        <f ca="1">AVERAGE(OFFSET($AM$3,0,0,'Données projet'!$E$10+1,1))-AVERAGE(OFFSET($H$3,0,0,'Données projet'!$E$10+1,1))</f>
        <v>289.94963088302325</v>
      </c>
      <c r="AO6" s="62">
        <f t="shared" si="36"/>
        <v>242.84781402593839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178.12449433342073</v>
      </c>
      <c r="BI6" s="62">
        <f ca="1">AVERAGE(OFFSET($BH$3,0,0,'Données projet'!$E$11+1,1))-AVERAGE(OFFSET($H$3,0,0,'Données projet'!$E$11+1,1))</f>
        <v>189.09998601768521</v>
      </c>
      <c r="BJ6" s="62">
        <f t="shared" si="38"/>
        <v>458.38901659119472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6.8</v>
      </c>
      <c r="BY6" s="13">
        <f>IF('Données projet'!$A$114&gt;35,BY5+BX6-CG5,IF(A6&lt;'Données projet'!$A$114,$BV$205^A6,IF(A6='Données projet'!$A$114,'Données projet'!$B$114,BY5+BX6-CG5)))</f>
        <v>8.2963554401312951</v>
      </c>
      <c r="BZ6" s="14">
        <f>BY6*VLOOKUP('Données projet'!$B$12,Paramètres!$A$1:$I$89,3,0)*VLOOKUP('Données projet'!$B$12,Paramètres!$A$1:$I$89,5,0)</f>
        <v>7.5065424022307949</v>
      </c>
      <c r="CA6" s="14">
        <f t="shared" si="39"/>
        <v>2.7358406474604431</v>
      </c>
      <c r="CB6" s="22">
        <f t="shared" si="10"/>
        <v>17.838817144878906</v>
      </c>
      <c r="CC6" s="62">
        <f t="shared" si="11"/>
        <v>191.19383771476379</v>
      </c>
      <c r="CD6" s="62">
        <f ca="1">AVERAGE(OFFSET($CC$3,0,0,'Données projet'!$E$12+1,1))-AVERAGE(OFFSET($H$3,0,0,'Données projet'!$E$12+1,1))</f>
        <v>376.68007030857598</v>
      </c>
      <c r="CE6" s="62">
        <f t="shared" si="40"/>
        <v>532.90758914457626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8.16</v>
      </c>
      <c r="N7" s="14">
        <f>IF('Données projet'!$A$36&gt;35,N6+M7-V6,IF(A7&lt;'Données projet'!$A$36,$K$205^A7,IF(A7='Données projet'!$A$36,'Données projet'!$B$36,N6+M7-V6)))</f>
        <v>2.341751606225543</v>
      </c>
      <c r="O7" s="14">
        <f>N7*VLOOKUP('Données projet'!$B$9,Paramètres!$A$1:$I$89,3,0)*VLOOKUP('Données projet'!$B$9,Paramètres!$A$1:$I$89,5,0)</f>
        <v>1.3090391478800787</v>
      </c>
      <c r="P7" s="14">
        <f t="shared" si="33"/>
        <v>0.58464388670749945</v>
      </c>
      <c r="Q7" s="22">
        <f t="shared" si="2"/>
        <v>3.2981646185733648</v>
      </c>
      <c r="R7" s="62">
        <f t="shared" si="0"/>
        <v>179.38428668275031</v>
      </c>
      <c r="S7" s="62">
        <f ca="1">AVERAGE(OFFSET($R$3,0,0,'Données projet'!$E$9+1,1))-AVERAGE(OFFSET($H$3,0,0,'Données projet'!$E$9+1,1))</f>
        <v>349.46033149388688</v>
      </c>
      <c r="T7" s="62">
        <f t="shared" si="34"/>
        <v>405.30585610371702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5.9</v>
      </c>
      <c r="AI7" s="14">
        <f>IF('Données projet'!$A$62&gt;35,AI6+AH7-AQ6,IF(A7&lt;'Données projet'!$A$62,$AF$205^A7,IF(A7='Données projet'!$A$62,'Données projet'!$B$62,AI6+AH7-AQ6)))</f>
        <v>2.5964287026231601</v>
      </c>
      <c r="AJ7" s="14">
        <f>AI7*VLOOKUP('Données projet'!$B$10,Paramètres!$A$1:$I$89,3,0)*VLOOKUP('Données projet'!$B$10,Paramètres!$A$1:$I$89,5,0)</f>
        <v>1.2151286328276389</v>
      </c>
      <c r="AK7" s="14">
        <f t="shared" si="35"/>
        <v>0.5474245738714737</v>
      </c>
      <c r="AL7" s="22">
        <f t="shared" si="4"/>
        <v>3.069780168334288</v>
      </c>
      <c r="AM7" s="62">
        <f t="shared" si="5"/>
        <v>179.15590223251124</v>
      </c>
      <c r="AN7" s="62">
        <f ca="1">AVERAGE(OFFSET($AM$3,0,0,'Données projet'!$E$10+1,1))-AVERAGE(OFFSET($H$3,0,0,'Données projet'!$E$10+1,1))</f>
        <v>289.94963088302325</v>
      </c>
      <c r="AO7" s="62">
        <f t="shared" si="36"/>
        <v>242.84781402593839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183.02770267974702</v>
      </c>
      <c r="BI7" s="62">
        <f ca="1">AVERAGE(OFFSET($BH$3,0,0,'Données projet'!$E$11+1,1))-AVERAGE(OFFSET($H$3,0,0,'Données projet'!$E$11+1,1))</f>
        <v>189.09998601768521</v>
      </c>
      <c r="BJ7" s="62">
        <f t="shared" si="38"/>
        <v>458.38901659119472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6.8</v>
      </c>
      <c r="BY7" s="13">
        <f>IF('Données projet'!$A$114&gt;35,BY6+BX7-CG6,IF(A7&lt;'Données projet'!$A$114,$BV$205^A7,IF(A7='Données projet'!$A$114,'Données projet'!$B$114,BY6+BX7-CG6)))</f>
        <v>16.795120867813488</v>
      </c>
      <c r="BZ7" s="14">
        <f>BY7*VLOOKUP('Données projet'!$B$12,Paramètres!$A$1:$I$89,3,0)*VLOOKUP('Données projet'!$B$12,Paramètres!$A$1:$I$89,5,0)</f>
        <v>15.196225361197643</v>
      </c>
      <c r="CA7" s="14">
        <f t="shared" si="39"/>
        <v>5.1019212633160578</v>
      </c>
      <c r="CB7" s="22">
        <f t="shared" si="10"/>
        <v>35.352605371028027</v>
      </c>
      <c r="CC7" s="62">
        <f t="shared" si="11"/>
        <v>211.43872743520498</v>
      </c>
      <c r="CD7" s="62">
        <f ca="1">AVERAGE(OFFSET($CC$3,0,0,'Données projet'!$E$12+1,1))-AVERAGE(OFFSET($H$3,0,0,'Données projet'!$E$12+1,1))</f>
        <v>376.68007030857598</v>
      </c>
      <c r="CE7" s="62">
        <f t="shared" si="40"/>
        <v>532.90758914457626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8.16</v>
      </c>
      <c r="N8" s="14">
        <f>IF('Données projet'!$A$36&gt;35,N7+M8-V7,IF(A8&lt;'Données projet'!$A$36,$K$205^A8,IF(A8='Données projet'!$A$36,'Données projet'!$B$36,N7+M8-V7)))</f>
        <v>2.8968501709813941</v>
      </c>
      <c r="O8" s="14">
        <f>N8*VLOOKUP('Données projet'!$B$9,Paramètres!$A$1:$I$89,3,0)*VLOOKUP('Données projet'!$B$9,Paramètres!$A$1:$I$89,5,0)</f>
        <v>1.6193392455785991</v>
      </c>
      <c r="P8" s="14">
        <f t="shared" si="33"/>
        <v>0.70554217814795761</v>
      </c>
      <c r="Q8" s="22">
        <f t="shared" si="2"/>
        <v>4.0491684796570855</v>
      </c>
      <c r="R8" s="62">
        <f t="shared" si="0"/>
        <v>182.84021635610443</v>
      </c>
      <c r="S8" s="62">
        <f ca="1">AVERAGE(OFFSET($R$3,0,0,'Données projet'!$E$9+1,1))-AVERAGE(OFFSET($H$3,0,0,'Données projet'!$E$9+1,1))</f>
        <v>349.46033149388688</v>
      </c>
      <c r="T8" s="62">
        <f t="shared" si="34"/>
        <v>405.30585610371702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5.9</v>
      </c>
      <c r="AI8" s="14">
        <f>IF('Données projet'!$A$62&gt;35,AI7+AH8-AQ7,IF(A8&lt;'Données projet'!$A$62,$AF$205^A8,IF(A8='Données projet'!$A$62,'Données projet'!$B$62,AI7+AH8-AQ7)))</f>
        <v>3.2958732516891831</v>
      </c>
      <c r="AJ8" s="14">
        <f>AI8*VLOOKUP('Données projet'!$B$10,Paramètres!$A$1:$I$89,3,0)*VLOOKUP('Données projet'!$B$10,Paramètres!$A$1:$I$89,5,0)</f>
        <v>1.5424686817905375</v>
      </c>
      <c r="AK8" s="14">
        <f t="shared" si="35"/>
        <v>0.67586512323277081</v>
      </c>
      <c r="AL8" s="22">
        <f t="shared" si="4"/>
        <v>3.8635980437489281</v>
      </c>
      <c r="AM8" s="62">
        <f t="shared" si="5"/>
        <v>182.65464592019629</v>
      </c>
      <c r="AN8" s="62">
        <f ca="1">AVERAGE(OFFSET($AM$3,0,0,'Données projet'!$E$10+1,1))-AVERAGE(OFFSET($H$3,0,0,'Données projet'!$E$10+1,1))</f>
        <v>289.94963088302325</v>
      </c>
      <c r="AO8" s="62">
        <f t="shared" si="36"/>
        <v>242.84781402593839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188.89820966372753</v>
      </c>
      <c r="BI8" s="62">
        <f ca="1">AVERAGE(OFFSET($BH$3,0,0,'Données projet'!$E$11+1,1))-AVERAGE(OFFSET($H$3,0,0,'Données projet'!$E$11+1,1))</f>
        <v>189.09998601768521</v>
      </c>
      <c r="BJ8" s="62">
        <f t="shared" si="38"/>
        <v>458.38901659119472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34</v>
      </c>
      <c r="BW8" s="13">
        <f>VLOOKUP(A8,'Données projet'!$A$113:$I$133,9,0)</f>
        <v>6.8</v>
      </c>
      <c r="BX8" s="13">
        <f t="array" ref="BX8">INDEX(BW:BW,MIN(IF(ISNUMBER(BW8:BW204),ROW(BW8:BW204),"")))</f>
        <v>6.8</v>
      </c>
      <c r="BY8" s="13">
        <f>IF('Données projet'!$A$114&gt;35,BY7+BX8-CG7,IF(A8&lt;'Données projet'!$A$114,$BV$205^A8,IF(A8='Données projet'!$A$114,'Données projet'!$B$114,BY7+BX8-CG7)))</f>
        <v>34</v>
      </c>
      <c r="BZ8" s="14">
        <f>BY8*VLOOKUP('Données projet'!$B$12,Paramètres!$A$1:$I$89,3,0)*VLOOKUP('Données projet'!$B$12,Paramètres!$A$1:$I$89,5,0)</f>
        <v>30.763199999999998</v>
      </c>
      <c r="CA8" s="14">
        <f t="shared" si="39"/>
        <v>9.5142970411082253</v>
      </c>
      <c r="CB8" s="22">
        <f t="shared" si="10"/>
        <v>70.149974013263474</v>
      </c>
      <c r="CC8" s="62">
        <f t="shared" si="11"/>
        <v>248.94102188971084</v>
      </c>
      <c r="CD8" s="62">
        <f ca="1">AVERAGE(OFFSET($CC$3,0,0,'Données projet'!$E$12+1,1))-AVERAGE(OFFSET($H$3,0,0,'Données projet'!$E$12+1,1))</f>
        <v>376.68007030857598</v>
      </c>
      <c r="CE8" s="62">
        <f t="shared" si="40"/>
        <v>532.90758914457626</v>
      </c>
      <c r="CF8" s="16">
        <f>IF(ISNA(VLOOKUP(A8,'Données projet'!$A$113:$I$133,3,0)),0,VLOOKUP(A8,'Données projet'!$A$113:$I$133,3,0))</f>
        <v>1</v>
      </c>
      <c r="CG8" s="16">
        <f>IF(ISNA(VLOOKUP(A8,'Données projet'!$A$113:$I$133,4,0)),0,VLOOKUP(A8,'Données projet'!$A$113:$I$133,4,0))</f>
        <v>6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1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5.1222189140097312</v>
      </c>
      <c r="CN8" s="24">
        <f t="shared" si="12"/>
        <v>5.1222189140097312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8.16</v>
      </c>
      <c r="N9" s="14">
        <f>IF('Données projet'!$A$36&gt;35,N8+M9-V8,IF(A9&lt;'Données projet'!$A$36,$K$205^A9,IF(A9='Données projet'!$A$36,'Données projet'!$B$36,N8+M9-V8)))</f>
        <v>3.5835316140300715</v>
      </c>
      <c r="O9" s="14">
        <f>N9*VLOOKUP('Données projet'!$B$9,Paramètres!$A$1:$I$89,3,0)*VLOOKUP('Données projet'!$B$9,Paramètres!$A$1:$I$89,5,0)</f>
        <v>2.0031941722428099</v>
      </c>
      <c r="P9" s="14">
        <f t="shared" si="33"/>
        <v>0.85144098221762698</v>
      </c>
      <c r="Q9" s="22">
        <f t="shared" si="2"/>
        <v>4.9718228940185938</v>
      </c>
      <c r="R9" s="62">
        <f t="shared" si="0"/>
        <v>186.44207499027758</v>
      </c>
      <c r="S9" s="62">
        <f ca="1">AVERAGE(OFFSET($R$3,0,0,'Données projet'!$E$9+1,1))-AVERAGE(OFFSET($H$3,0,0,'Données projet'!$E$9+1,1))</f>
        <v>349.46033149388688</v>
      </c>
      <c r="T9" s="62">
        <f t="shared" si="34"/>
        <v>405.30585610371702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5.9</v>
      </c>
      <c r="AI9" s="14">
        <f>IF('Données projet'!$A$62&gt;35,AI8+AH9-AQ8,IF(A9&lt;'Données projet'!$A$62,$AF$205^A9,IF(A9='Données projet'!$A$62,'Données projet'!$B$62,AI8+AH9-AQ8)))</f>
        <v>4.1837391799842649</v>
      </c>
      <c r="AJ9" s="14">
        <f>AI9*VLOOKUP('Données projet'!$B$10,Paramètres!$A$1:$I$89,3,0)*VLOOKUP('Données projet'!$B$10,Paramètres!$A$1:$I$89,5,0)</f>
        <v>1.9579899362326361</v>
      </c>
      <c r="AK9" s="14">
        <f t="shared" si="35"/>
        <v>0.83444128489141656</v>
      </c>
      <c r="AL9" s="22">
        <f t="shared" si="4"/>
        <v>4.8634843767910576</v>
      </c>
      <c r="AM9" s="62">
        <f t="shared" si="5"/>
        <v>186.33373647305004</v>
      </c>
      <c r="AN9" s="62">
        <f ca="1">AVERAGE(OFFSET($AM$3,0,0,'Données projet'!$E$10+1,1))-AVERAGE(OFFSET($H$3,0,0,'Données projet'!$E$10+1,1))</f>
        <v>289.94963088302325</v>
      </c>
      <c r="AO9" s="62">
        <f t="shared" si="36"/>
        <v>242.84781402593839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196.19268159537503</v>
      </c>
      <c r="BI9" s="62">
        <f ca="1">AVERAGE(OFFSET($BH$3,0,0,'Données projet'!$E$11+1,1))-AVERAGE(OFFSET($H$3,0,0,'Données projet'!$E$11+1,1))</f>
        <v>189.09998601768521</v>
      </c>
      <c r="BJ9" s="62">
        <f t="shared" si="38"/>
        <v>458.38901659119472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14.2</v>
      </c>
      <c r="BY9" s="13">
        <f>IF('Données projet'!$A$114&gt;35,BY8+BX9-CG8,IF(A9&lt;'Données projet'!$A$114,$BV$205^A9,IF(A9='Données projet'!$A$114,'Données projet'!$B$114,BY8+BX9-CG8)))</f>
        <v>42.2</v>
      </c>
      <c r="BZ9" s="14">
        <f>BY9*VLOOKUP('Données projet'!$B$12,Paramètres!$A$1:$I$89,3,0)*VLOOKUP('Données projet'!$B$12,Paramètres!$A$1:$I$89,5,0)</f>
        <v>38.182560000000002</v>
      </c>
      <c r="CA9" s="14">
        <f t="shared" si="39"/>
        <v>11.515638334288104</v>
      </c>
      <c r="CB9" s="22">
        <f t="shared" si="10"/>
        <v>86.557695432218452</v>
      </c>
      <c r="CC9" s="62">
        <f t="shared" si="11"/>
        <v>268.0279475284774</v>
      </c>
      <c r="CD9" s="62">
        <f ca="1">AVERAGE(OFFSET($CC$3,0,0,'Données projet'!$E$12+1,1))-AVERAGE(OFFSET($H$3,0,0,'Données projet'!$E$12+1,1))</f>
        <v>376.68007030857598</v>
      </c>
      <c r="CE9" s="62">
        <f t="shared" si="40"/>
        <v>532.90758914457626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3.6219557288182744</v>
      </c>
      <c r="CN9" s="24">
        <f t="shared" si="12"/>
        <v>3.6219557288182744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8.16</v>
      </c>
      <c r="N10" s="14">
        <f>IF('Données projet'!$A$36&gt;35,N9+M10-V9,IF(A10&lt;'Données projet'!$A$36,$K$205^A10,IF(A10='Données projet'!$A$36,'Données projet'!$B$36,N9+M10-V9)))</f>
        <v>4.4329868894815716</v>
      </c>
      <c r="O10" s="14">
        <f>N10*VLOOKUP('Données projet'!$B$9,Paramètres!$A$1:$I$89,3,0)*VLOOKUP('Données projet'!$B$9,Paramètres!$A$1:$I$89,5,0)</f>
        <v>2.4780396712201984</v>
      </c>
      <c r="P10" s="14">
        <f t="shared" si="33"/>
        <v>1.0275101456056246</v>
      </c>
      <c r="Q10" s="22">
        <f t="shared" si="2"/>
        <v>6.1054992643049744</v>
      </c>
      <c r="R10" s="62">
        <f t="shared" si="0"/>
        <v>190.2296802000412</v>
      </c>
      <c r="S10" s="62">
        <f ca="1">AVERAGE(OFFSET($R$3,0,0,'Données projet'!$E$9+1,1))-AVERAGE(OFFSET($H$3,0,0,'Données projet'!$E$9+1,1))</f>
        <v>349.46033149388688</v>
      </c>
      <c r="T10" s="62">
        <f t="shared" si="34"/>
        <v>405.30585610371702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5.9</v>
      </c>
      <c r="AI10" s="14">
        <f>IF('Données projet'!$A$62&gt;35,AI9+AH10-AQ9,IF(A10&lt;'Données projet'!$A$62,$AF$205^A10,IF(A10='Données projet'!$A$62,'Données projet'!$B$62,AI9+AH10-AQ9)))</f>
        <v>5.3107847873593199</v>
      </c>
      <c r="AJ10" s="14">
        <f>AI10*VLOOKUP('Données projet'!$B$10,Paramètres!$A$1:$I$89,3,0)*VLOOKUP('Données projet'!$B$10,Paramètres!$A$1:$I$89,5,0)</f>
        <v>2.4854472804841619</v>
      </c>
      <c r="AK10" s="14">
        <f t="shared" si="35"/>
        <v>1.0302236851648165</v>
      </c>
      <c r="AL10" s="22">
        <f t="shared" si="4"/>
        <v>6.1231269318386374</v>
      </c>
      <c r="AM10" s="62">
        <f t="shared" si="5"/>
        <v>190.24730786757488</v>
      </c>
      <c r="AN10" s="62">
        <f ca="1">AVERAGE(OFFSET($AM$3,0,0,'Données projet'!$E$10+1,1))-AVERAGE(OFFSET($H$3,0,0,'Données projet'!$E$10+1,1))</f>
        <v>289.94963088302325</v>
      </c>
      <c r="AO10" s="62">
        <f t="shared" si="36"/>
        <v>242.84781402593839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205.57804737491071</v>
      </c>
      <c r="BI10" s="62">
        <f ca="1">AVERAGE(OFFSET($BH$3,0,0,'Données projet'!$E$11+1,1))-AVERAGE(OFFSET($H$3,0,0,'Données projet'!$E$11+1,1))</f>
        <v>189.09998601768521</v>
      </c>
      <c r="BJ10" s="62">
        <f t="shared" si="38"/>
        <v>458.38901659119472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14.2</v>
      </c>
      <c r="BY10" s="13">
        <f>IF('Données projet'!$A$114&gt;35,BY9+BX10-CG9,IF(A10&lt;'Données projet'!$A$114,$BV$205^A10,IF(A10='Données projet'!$A$114,'Données projet'!$B$114,BY9+BX10-CG9)))</f>
        <v>56.400000000000006</v>
      </c>
      <c r="BZ10" s="14">
        <f>BY10*VLOOKUP('Données projet'!$B$12,Paramètres!$A$1:$I$89,3,0)*VLOOKUP('Données projet'!$B$12,Paramètres!$A$1:$I$89,5,0)</f>
        <v>51.030720000000009</v>
      </c>
      <c r="CA10" s="14">
        <f t="shared" si="39"/>
        <v>14.879630660597618</v>
      </c>
      <c r="CB10" s="22">
        <f t="shared" si="10"/>
        <v>114.79386073387418</v>
      </c>
      <c r="CC10" s="62">
        <f t="shared" si="11"/>
        <v>298.91804166961043</v>
      </c>
      <c r="CD10" s="62">
        <f ca="1">AVERAGE(OFFSET($CC$3,0,0,'Données projet'!$E$12+1,1))-AVERAGE(OFFSET($H$3,0,0,'Données projet'!$E$12+1,1))</f>
        <v>376.68007030857598</v>
      </c>
      <c r="CE10" s="62">
        <f t="shared" si="40"/>
        <v>532.90758914457626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2.561109457004866</v>
      </c>
      <c r="CN10" s="24">
        <f t="shared" si="12"/>
        <v>2.561109457004866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8.16</v>
      </c>
      <c r="N11" s="14">
        <f>IF('Données projet'!$A$36&gt;35,N10+M11-V10,IF(A11&lt;'Données projet'!$A$36,$K$205^A11,IF(A11='Données projet'!$A$36,'Données projet'!$B$36,N10+M11-V10)))</f>
        <v>5.4838005852599103</v>
      </c>
      <c r="O11" s="14">
        <f>N11*VLOOKUP('Données projet'!$B$9,Paramètres!$A$1:$I$89,3,0)*VLOOKUP('Données projet'!$B$9,Paramètres!$A$1:$I$89,5,0)</f>
        <v>3.0654445271602904</v>
      </c>
      <c r="P11" s="14">
        <f t="shared" si="33"/>
        <v>1.2399885856711521</v>
      </c>
      <c r="Q11" s="22">
        <f t="shared" si="2"/>
        <v>7.498629338181428</v>
      </c>
      <c r="R11" s="62">
        <f t="shared" si="0"/>
        <v>194.25190220440197</v>
      </c>
      <c r="S11" s="62">
        <f ca="1">AVERAGE(OFFSET($R$3,0,0,'Données projet'!$E$9+1,1))-AVERAGE(OFFSET($H$3,0,0,'Données projet'!$E$9+1,1))</f>
        <v>349.46033149388688</v>
      </c>
      <c r="T11" s="62">
        <f t="shared" si="34"/>
        <v>405.30585610371702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5.9</v>
      </c>
      <c r="AI11" s="14">
        <f>IF('Données projet'!$A$62&gt;35,AI10+AH11-AQ10,IF(A11&lt;'Données projet'!$A$62,$AF$205^A11,IF(A11='Données projet'!$A$62,'Données projet'!$B$62,AI10+AH11-AQ10)))</f>
        <v>6.7414420078053858</v>
      </c>
      <c r="AJ11" s="14">
        <f>AI11*VLOOKUP('Données projet'!$B$10,Paramètres!$A$1:$I$89,3,0)*VLOOKUP('Données projet'!$B$10,Paramètres!$A$1:$I$89,5,0)</f>
        <v>3.1549948596529207</v>
      </c>
      <c r="AK11" s="14">
        <f t="shared" si="35"/>
        <v>1.2719419097446589</v>
      </c>
      <c r="AL11" s="22">
        <f t="shared" si="4"/>
        <v>7.7102482067007854</v>
      </c>
      <c r="AM11" s="62">
        <f t="shared" si="5"/>
        <v>194.46352107292134</v>
      </c>
      <c r="AN11" s="62">
        <f ca="1">AVERAGE(OFFSET($AM$3,0,0,'Données projet'!$E$10+1,1))-AVERAGE(OFFSET($H$3,0,0,'Données projet'!$E$10+1,1))</f>
        <v>289.94963088302325</v>
      </c>
      <c r="AO11" s="62">
        <f t="shared" si="36"/>
        <v>242.84781402593839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218.02874121181947</v>
      </c>
      <c r="BI11" s="62">
        <f ca="1">AVERAGE(OFFSET($BH$3,0,0,'Données projet'!$E$11+1,1))-AVERAGE(OFFSET($H$3,0,0,'Données projet'!$E$11+1,1))</f>
        <v>189.09998601768521</v>
      </c>
      <c r="BJ11" s="62">
        <f t="shared" si="38"/>
        <v>458.38901659119472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14.2</v>
      </c>
      <c r="BY11" s="13">
        <f>IF('Données projet'!$A$114&gt;35,BY10+BX11-CG10,IF(A11&lt;'Données projet'!$A$114,$BV$205^A11,IF(A11='Données projet'!$A$114,'Données projet'!$B$114,BY10+BX11-CG10)))</f>
        <v>70.600000000000009</v>
      </c>
      <c r="BZ11" s="14">
        <f>BY11*VLOOKUP('Données projet'!$B$12,Paramètres!$A$1:$I$89,3,0)*VLOOKUP('Données projet'!$B$12,Paramètres!$A$1:$I$89,5,0)</f>
        <v>63.878880000000002</v>
      </c>
      <c r="CA11" s="14">
        <f t="shared" si="39"/>
        <v>18.145367520913332</v>
      </c>
      <c r="CB11" s="22">
        <f t="shared" si="10"/>
        <v>142.85889776559074</v>
      </c>
      <c r="CC11" s="62">
        <f t="shared" si="11"/>
        <v>329.6121706318113</v>
      </c>
      <c r="CD11" s="62">
        <f ca="1">AVERAGE(OFFSET($CC$3,0,0,'Données projet'!$E$12+1,1))-AVERAGE(OFFSET($H$3,0,0,'Données projet'!$E$12+1,1))</f>
        <v>376.68007030857598</v>
      </c>
      <c r="CE11" s="62">
        <f t="shared" si="40"/>
        <v>532.90758914457626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1.8109778644091374</v>
      </c>
      <c r="CN11" s="24">
        <f t="shared" si="12"/>
        <v>1.8109778644091374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8.16</v>
      </c>
      <c r="N12" s="14">
        <f>IF('Données projet'!$A$36&gt;35,N11+M12-V11,IF(A12&lt;'Données projet'!$A$36,$K$205^A12,IF(A12='Données projet'!$A$36,'Données projet'!$B$36,N11+M12-V11)))</f>
        <v>6.7837035408904178</v>
      </c>
      <c r="O12" s="14">
        <f>N12*VLOOKUP('Données projet'!$B$9,Paramètres!$A$1:$I$89,3,0)*VLOOKUP('Données projet'!$B$9,Paramètres!$A$1:$I$89,5,0)</f>
        <v>3.7920902793577436</v>
      </c>
      <c r="P12" s="14">
        <f t="shared" si="33"/>
        <v>1.4964053631689291</v>
      </c>
      <c r="Q12" s="22">
        <f t="shared" si="2"/>
        <v>9.2107965774006217</v>
      </c>
      <c r="R12" s="62">
        <f t="shared" si="0"/>
        <v>198.5687553299567</v>
      </c>
      <c r="S12" s="62">
        <f ca="1">AVERAGE(OFFSET($R$3,0,0,'Données projet'!$E$9+1,1))-AVERAGE(OFFSET($H$3,0,0,'Données projet'!$E$9+1,1))</f>
        <v>349.46033149388688</v>
      </c>
      <c r="T12" s="62">
        <f t="shared" si="34"/>
        <v>405.30585610371702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5.9</v>
      </c>
      <c r="AI12" s="14">
        <f>IF('Données projet'!$A$62&gt;35,AI11+AH12-AQ11,IF(A12&lt;'Données projet'!$A$62,$AF$205^A12,IF(A12='Données projet'!$A$62,'Données projet'!$B$62,AI11+AH12-AQ11)))</f>
        <v>8.5574999108937213</v>
      </c>
      <c r="AJ12" s="14">
        <f>AI12*VLOOKUP('Données projet'!$B$10,Paramètres!$A$1:$I$89,3,0)*VLOOKUP('Données projet'!$B$10,Paramètres!$A$1:$I$89,5,0)</f>
        <v>4.0049099582982617</v>
      </c>
      <c r="AK12" s="14">
        <f t="shared" si="35"/>
        <v>1.5703737402485227</v>
      </c>
      <c r="AL12" s="22">
        <f t="shared" si="4"/>
        <v>9.7102857749689822</v>
      </c>
      <c r="AM12" s="62">
        <f t="shared" si="5"/>
        <v>199.06824452752505</v>
      </c>
      <c r="AN12" s="62">
        <f ca="1">AVERAGE(OFFSET($AM$3,0,0,'Données projet'!$E$10+1,1))-AVERAGE(OFFSET($H$3,0,0,'Données projet'!$E$10+1,1))</f>
        <v>289.94963088302325</v>
      </c>
      <c r="AO12" s="62">
        <f t="shared" si="36"/>
        <v>242.84781402593839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234.96905499293683</v>
      </c>
      <c r="BI12" s="62">
        <f ca="1">AVERAGE(OFFSET($BH$3,0,0,'Données projet'!$E$11+1,1))-AVERAGE(OFFSET($H$3,0,0,'Données projet'!$E$11+1,1))</f>
        <v>189.09998601768521</v>
      </c>
      <c r="BJ12" s="62">
        <f t="shared" si="38"/>
        <v>458.38901659119472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14.2</v>
      </c>
      <c r="BY12" s="13">
        <f>IF('Données projet'!$A$114&gt;35,BY11+BX12-CG11,IF(A12&lt;'Données projet'!$A$114,$BV$205^A12,IF(A12='Données projet'!$A$114,'Données projet'!$B$114,BY11+BX12-CG11)))</f>
        <v>84.800000000000011</v>
      </c>
      <c r="BZ12" s="14">
        <f>BY12*VLOOKUP('Données projet'!$B$12,Paramètres!$A$1:$I$89,3,0)*VLOOKUP('Données projet'!$B$12,Paramètres!$A$1:$I$89,5,0)</f>
        <v>76.727040000000017</v>
      </c>
      <c r="CA12" s="14">
        <f t="shared" si="39"/>
        <v>21.334993267156719</v>
      </c>
      <c r="CB12" s="22">
        <f t="shared" si="10"/>
        <v>170.79137460696464</v>
      </c>
      <c r="CC12" s="62">
        <f t="shared" si="11"/>
        <v>360.14933335952071</v>
      </c>
      <c r="CD12" s="62">
        <f ca="1">AVERAGE(OFFSET($CC$3,0,0,'Données projet'!$E$12+1,1))-AVERAGE(OFFSET($H$3,0,0,'Données projet'!$E$12+1,1))</f>
        <v>376.68007030857598</v>
      </c>
      <c r="CE12" s="62">
        <f t="shared" si="40"/>
        <v>532.90758914457626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1.2805547285024332</v>
      </c>
      <c r="CN12" s="24">
        <f t="shared" si="12"/>
        <v>1.2805547285024332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8.16</v>
      </c>
      <c r="N13" s="14">
        <f>IF('Données projet'!$A$36&gt;35,N12+M13-V12,IF(A13&lt;'Données projet'!$A$36,$K$205^A13,IF(A13='Données projet'!$A$36,'Données projet'!$B$36,N12+M13-V12)))</f>
        <v>8.3917409131149316</v>
      </c>
      <c r="O13" s="14">
        <f>N13*VLOOKUP('Données projet'!$B$9,Paramètres!$A$1:$I$89,3,0)*VLOOKUP('Données projet'!$B$9,Paramètres!$A$1:$I$89,5,0)</f>
        <v>4.690983170431247</v>
      </c>
      <c r="P13" s="14">
        <f t="shared" si="33"/>
        <v>1.8058464705211281</v>
      </c>
      <c r="Q13" s="22">
        <f t="shared" si="2"/>
        <v>11.315311624658721</v>
      </c>
      <c r="R13" s="62">
        <f t="shared" si="0"/>
        <v>203.25397360970362</v>
      </c>
      <c r="S13" s="62">
        <f ca="1">AVERAGE(OFFSET($R$3,0,0,'Données projet'!$E$9+1,1))-AVERAGE(OFFSET($H$3,0,0,'Données projet'!$E$9+1,1))</f>
        <v>349.46033149388688</v>
      </c>
      <c r="T13" s="62">
        <f t="shared" si="34"/>
        <v>405.30585610371702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5.9</v>
      </c>
      <c r="AI13" s="14">
        <f>IF('Données projet'!$A$62&gt;35,AI12+AH13-AQ12,IF(A13&lt;'Données projet'!$A$62,$AF$205^A13,IF(A13='Données projet'!$A$62,'Données projet'!$B$62,AI12+AH13-AQ12)))</f>
        <v>10.862780491200228</v>
      </c>
      <c r="AJ13" s="14">
        <f>AI13*VLOOKUP('Données projet'!$B$10,Paramètres!$A$1:$I$89,3,0)*VLOOKUP('Données projet'!$B$10,Paramètres!$A$1:$I$89,5,0)</f>
        <v>5.0837812698817064</v>
      </c>
      <c r="AK13" s="14">
        <f t="shared" si="35"/>
        <v>1.9388257161501949</v>
      </c>
      <c r="AL13" s="22">
        <f t="shared" si="4"/>
        <v>12.231040500672227</v>
      </c>
      <c r="AM13" s="62">
        <f t="shared" si="5"/>
        <v>204.16970248571712</v>
      </c>
      <c r="AN13" s="62">
        <f ca="1">AVERAGE(OFFSET($AM$3,0,0,'Données projet'!$E$10+1,1))-AVERAGE(OFFSET($H$3,0,0,'Données projet'!$E$10+1,1))</f>
        <v>289.94963088302325</v>
      </c>
      <c r="AO13" s="62">
        <f t="shared" si="36"/>
        <v>242.84781402593839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258.48158436490382</v>
      </c>
      <c r="BI13" s="62">
        <f ca="1">AVERAGE(OFFSET($BH$3,0,0,'Données projet'!$E$11+1,1))-AVERAGE(OFFSET($H$3,0,0,'Données projet'!$E$11+1,1))</f>
        <v>189.09998601768521</v>
      </c>
      <c r="BJ13" s="62">
        <f t="shared" si="38"/>
        <v>458.38901659119472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99</v>
      </c>
      <c r="BW13" s="13">
        <f>VLOOKUP(A13,'Données projet'!$A$113:$I$133,9,0)</f>
        <v>14.2</v>
      </c>
      <c r="BX13" s="13">
        <f t="array" ref="BX13">INDEX(BW:BW,MIN(IF(ISNUMBER(BW13:BW209),ROW(BW13:BW209),"")))</f>
        <v>14.2</v>
      </c>
      <c r="BY13" s="13">
        <f>IF('Données projet'!$A$114&gt;35,BY12+BX13-CG12,IF(A13&lt;'Données projet'!$A$114,$BV$205^A13,IF(A13='Données projet'!$A$114,'Données projet'!$B$114,BY12+BX13-CG12)))</f>
        <v>99.000000000000014</v>
      </c>
      <c r="BZ13" s="14">
        <f>BY13*VLOOKUP('Données projet'!$B$12,Paramètres!$A$1:$I$89,3,0)*VLOOKUP('Données projet'!$B$12,Paramètres!$A$1:$I$89,5,0)</f>
        <v>89.575200000000009</v>
      </c>
      <c r="CA13" s="14">
        <f t="shared" si="39"/>
        <v>24.462745269668691</v>
      </c>
      <c r="CB13" s="22">
        <f t="shared" si="10"/>
        <v>198.61608801133966</v>
      </c>
      <c r="CC13" s="62">
        <f t="shared" si="11"/>
        <v>390.55474999638454</v>
      </c>
      <c r="CD13" s="62">
        <f ca="1">AVERAGE(OFFSET($CC$3,0,0,'Données projet'!$E$12+1,1))-AVERAGE(OFFSET($H$3,0,0,'Données projet'!$E$12+1,1))</f>
        <v>376.68007030857598</v>
      </c>
      <c r="CE13" s="62">
        <f t="shared" si="40"/>
        <v>532.90758914457626</v>
      </c>
      <c r="CF13" s="16">
        <f>IF(ISNA(VLOOKUP(A13,'Données projet'!$A$113:$I$133,3,0)),0,VLOOKUP(A13,'Données projet'!$A$113:$I$133,3,0))</f>
        <v>2</v>
      </c>
      <c r="CG13" s="16">
        <f>IF(ISNA(VLOOKUP(A13,'Données projet'!$A$113:$I$133,4,0)),0,VLOOKUP(A13,'Données projet'!$A$113:$I$133,4,0))</f>
        <v>28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1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24.809177197583317</v>
      </c>
      <c r="CN13" s="24">
        <f t="shared" si="12"/>
        <v>24.809177197583317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8.16</v>
      </c>
      <c r="N14" s="14">
        <f>IF('Données projet'!$A$36&gt;35,N13+M14-V13,IF(A14&lt;'Données projet'!$A$36,$K$205^A14,IF(A14='Données projet'!$A$36,'Données projet'!$B$36,N13+M14-V13)))</f>
        <v>10.380954168820242</v>
      </c>
      <c r="O14" s="14">
        <f>N14*VLOOKUP('Données projet'!$B$9,Paramètres!$A$1:$I$89,3,0)*VLOOKUP('Données projet'!$B$9,Paramètres!$A$1:$I$89,5,0)</f>
        <v>5.802953380370516</v>
      </c>
      <c r="P14" s="14">
        <f t="shared" si="33"/>
        <v>2.1792767891366283</v>
      </c>
      <c r="Q14" s="22">
        <f t="shared" si="2"/>
        <v>13.902384211891608</v>
      </c>
      <c r="R14" s="62">
        <f t="shared" si="0"/>
        <v>208.39818282100575</v>
      </c>
      <c r="S14" s="62">
        <f ca="1">AVERAGE(OFFSET($R$3,0,0,'Données projet'!$E$9+1,1))-AVERAGE(OFFSET($H$3,0,0,'Données projet'!$E$9+1,1))</f>
        <v>349.46033149388688</v>
      </c>
      <c r="T14" s="62">
        <f t="shared" si="34"/>
        <v>405.30585610371702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5.9</v>
      </c>
      <c r="AI14" s="14">
        <f>IF('Données projet'!$A$62&gt;35,AI13+AH14-AQ13,IF(A14&lt;'Données projet'!$A$62,$AF$205^A14,IF(A14='Données projet'!$A$62,'Données projet'!$B$62,AI13+AH14-AQ13)))</f>
        <v>13.789074055354174</v>
      </c>
      <c r="AJ14" s="14">
        <f>AI14*VLOOKUP('Données projet'!$B$10,Paramètres!$A$1:$I$89,3,0)*VLOOKUP('Données projet'!$B$10,Paramètres!$A$1:$I$89,5,0)</f>
        <v>6.4532866579057542</v>
      </c>
      <c r="AK14" s="14">
        <f t="shared" si="35"/>
        <v>2.3937264494822883</v>
      </c>
      <c r="AL14" s="22">
        <f t="shared" si="4"/>
        <v>15.40854782870084</v>
      </c>
      <c r="AM14" s="62">
        <f t="shared" si="5"/>
        <v>209.90434643781498</v>
      </c>
      <c r="AN14" s="62">
        <f ca="1">AVERAGE(OFFSET($AM$3,0,0,'Données projet'!$E$10+1,1))-AVERAGE(OFFSET($H$3,0,0,'Données projet'!$E$10+1,1))</f>
        <v>289.94963088302325</v>
      </c>
      <c r="AO14" s="62">
        <f t="shared" si="36"/>
        <v>242.84781402593839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291.61253837715054</v>
      </c>
      <c r="BI14" s="62">
        <f ca="1">AVERAGE(OFFSET($BH$3,0,0,'Données projet'!$E$11+1,1))-AVERAGE(OFFSET($H$3,0,0,'Données projet'!$E$11+1,1))</f>
        <v>189.09998601768521</v>
      </c>
      <c r="BJ14" s="62">
        <f t="shared" si="38"/>
        <v>458.38901659119472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13.8</v>
      </c>
      <c r="BY14" s="13">
        <f>IF('Données projet'!$A$114&gt;35,BY13+BX14-CG13,IF(A14&lt;'Données projet'!$A$114,$BV$205^A14,IF(A14='Données projet'!$A$114,'Données projet'!$B$114,BY13+BX14-CG13)))</f>
        <v>84.800000000000011</v>
      </c>
      <c r="BZ14" s="14">
        <f>BY14*VLOOKUP('Données projet'!$B$12,Paramètres!$A$1:$I$89,3,0)*VLOOKUP('Données projet'!$B$12,Paramètres!$A$1:$I$89,5,0)</f>
        <v>76.727040000000017</v>
      </c>
      <c r="CA14" s="14">
        <f t="shared" si="39"/>
        <v>21.334993267156719</v>
      </c>
      <c r="CB14" s="22">
        <f t="shared" si="10"/>
        <v>170.79137460696464</v>
      </c>
      <c r="CC14" s="62">
        <f t="shared" si="11"/>
        <v>365.28717321607877</v>
      </c>
      <c r="CD14" s="62">
        <f ca="1">AVERAGE(OFFSET($CC$3,0,0,'Données projet'!$E$12+1,1))-AVERAGE(OFFSET($H$3,0,0,'Données projet'!$E$12+1,1))</f>
        <v>376.68007030857598</v>
      </c>
      <c r="CE14" s="62">
        <f t="shared" si="40"/>
        <v>532.90758914457626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17.542737432069831</v>
      </c>
      <c r="CN14" s="24">
        <f t="shared" si="12"/>
        <v>17.542737432069831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8.16</v>
      </c>
      <c r="N15" s="14">
        <f>IF('Données projet'!$A$36&gt;35,N14+M15-V14,IF(A15&lt;'Données projet'!$A$36,$K$205^A15,IF(A15='Données projet'!$A$36,'Données projet'!$B$36,N14+M15-V14)))</f>
        <v>12.841698828752968</v>
      </c>
      <c r="O15" s="14">
        <f>N15*VLOOKUP('Données projet'!$B$9,Paramètres!$A$1:$I$89,3,0)*VLOOKUP('Données projet'!$B$9,Paramètres!$A$1:$I$89,5,0)</f>
        <v>7.1785096452729089</v>
      </c>
      <c r="P15" s="14">
        <f t="shared" si="33"/>
        <v>2.6299286241643371</v>
      </c>
      <c r="Q15" s="22">
        <f t="shared" si="2"/>
        <v>17.083029985936538</v>
      </c>
      <c r="R15" s="62">
        <f t="shared" si="0"/>
        <v>214.11280743866942</v>
      </c>
      <c r="S15" s="62">
        <f ca="1">AVERAGE(OFFSET($R$3,0,0,'Données projet'!$E$9+1,1))-AVERAGE(OFFSET($H$3,0,0,'Données projet'!$E$9+1,1))</f>
        <v>349.46033149388688</v>
      </c>
      <c r="T15" s="62">
        <f t="shared" si="34"/>
        <v>405.30585610371702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5.9</v>
      </c>
      <c r="AI15" s="14">
        <f>IF('Données projet'!$A$62&gt;35,AI14+AH15-AQ14,IF(A15&lt;'Données projet'!$A$62,$AF$205^A15,IF(A15='Données projet'!$A$62,'Données projet'!$B$62,AI14+AH15-AQ14)))</f>
        <v>17.503673526135408</v>
      </c>
      <c r="AJ15" s="14">
        <f>AI15*VLOOKUP('Données projet'!$B$10,Paramètres!$A$1:$I$89,3,0)*VLOOKUP('Données projet'!$B$10,Paramètres!$A$1:$I$89,5,0)</f>
        <v>8.191719210231371</v>
      </c>
      <c r="AK15" s="14">
        <f t="shared" si="35"/>
        <v>2.9553591471484273</v>
      </c>
      <c r="AL15" s="22">
        <f t="shared" si="4"/>
        <v>19.414494805769813</v>
      </c>
      <c r="AM15" s="62">
        <f t="shared" si="5"/>
        <v>216.44427225850268</v>
      </c>
      <c r="AN15" s="62">
        <f ca="1">AVERAGE(OFFSET($AM$3,0,0,'Données projet'!$E$10+1,1))-AVERAGE(OFFSET($H$3,0,0,'Données projet'!$E$10+1,1))</f>
        <v>289.94963088302325</v>
      </c>
      <c r="AO15" s="62">
        <f t="shared" si="36"/>
        <v>242.84781402593839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338.81904206751307</v>
      </c>
      <c r="BI15" s="62">
        <f ca="1">AVERAGE(OFFSET($BH$3,0,0,'Données projet'!$E$11+1,1))-AVERAGE(OFFSET($H$3,0,0,'Données projet'!$E$11+1,1))</f>
        <v>189.09998601768521</v>
      </c>
      <c r="BJ15" s="62">
        <f t="shared" si="38"/>
        <v>458.38901659119472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13.8</v>
      </c>
      <c r="BY15" s="13">
        <f>IF('Données projet'!$A$114&gt;35,BY14+BX15-CG14,IF(A15&lt;'Données projet'!$A$114,$BV$205^A15,IF(A15='Données projet'!$A$114,'Données projet'!$B$114,BY14+BX15-CG14)))</f>
        <v>98.600000000000009</v>
      </c>
      <c r="BZ15" s="14">
        <f>BY15*VLOOKUP('Données projet'!$B$12,Paramètres!$A$1:$I$89,3,0)*VLOOKUP('Données projet'!$B$12,Paramètres!$A$1:$I$89,5,0)</f>
        <v>89.213280000000012</v>
      </c>
      <c r="CA15" s="14">
        <f t="shared" si="39"/>
        <v>24.375390230293569</v>
      </c>
      <c r="CB15" s="22">
        <f t="shared" si="10"/>
        <v>197.83360065109466</v>
      </c>
      <c r="CC15" s="62">
        <f t="shared" si="11"/>
        <v>394.86337810382753</v>
      </c>
      <c r="CD15" s="62">
        <f ca="1">AVERAGE(OFFSET($CC$3,0,0,'Données projet'!$E$12+1,1))-AVERAGE(OFFSET($H$3,0,0,'Données projet'!$E$12+1,1))</f>
        <v>376.68007030857598</v>
      </c>
      <c r="CE15" s="62">
        <f t="shared" si="40"/>
        <v>532.90758914457626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12.40458859879166</v>
      </c>
      <c r="CN15" s="24">
        <f t="shared" si="12"/>
        <v>12.40458859879166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8.16</v>
      </c>
      <c r="N16" s="14">
        <f>IF('Données projet'!$A$36&gt;35,N15+M16-V15,IF(A16&lt;'Données projet'!$A$36,$K$205^A16,IF(A16='Données projet'!$A$36,'Données projet'!$B$36,N15+M16-V15)))</f>
        <v>15.88574866303804</v>
      </c>
      <c r="O16" s="14">
        <f>N16*VLOOKUP('Données projet'!$B$9,Paramètres!$A$1:$I$89,3,0)*VLOOKUP('Données projet'!$B$9,Paramètres!$A$1:$I$89,5,0)</f>
        <v>8.8801335026382642</v>
      </c>
      <c r="P16" s="14">
        <f t="shared" si="33"/>
        <v>3.173770584203333</v>
      </c>
      <c r="Q16" s="22">
        <f t="shared" si="2"/>
        <v>20.993882951249116</v>
      </c>
      <c r="R16" s="62">
        <f t="shared" si="0"/>
        <v>220.53488320286792</v>
      </c>
      <c r="S16" s="62">
        <f ca="1">AVERAGE(OFFSET($R$3,0,0,'Données projet'!$E$9+1,1))-AVERAGE(OFFSET($H$3,0,0,'Données projet'!$E$9+1,1))</f>
        <v>349.46033149388688</v>
      </c>
      <c r="T16" s="62">
        <f t="shared" si="34"/>
        <v>405.30585610371702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5.9</v>
      </c>
      <c r="AI16" s="14">
        <f>IF('Données projet'!$A$62&gt;35,AI15+AH16-AQ15,IF(A16&lt;'Données projet'!$A$62,$AF$205^A16,IF(A16='Données projet'!$A$62,'Données projet'!$B$62,AI15+AH16-AQ15)))</f>
        <v>22.218938391339591</v>
      </c>
      <c r="AJ16" s="14">
        <f>AI16*VLOOKUP('Données projet'!$B$10,Paramètres!$A$1:$I$89,3,0)*VLOOKUP('Données projet'!$B$10,Paramètres!$A$1:$I$89,5,0)</f>
        <v>10.398463167146929</v>
      </c>
      <c r="AK16" s="14">
        <f t="shared" si="35"/>
        <v>3.6487660026996376</v>
      </c>
      <c r="AL16" s="22">
        <f t="shared" si="4"/>
        <v>24.465590804149439</v>
      </c>
      <c r="AM16" s="62">
        <f t="shared" si="5"/>
        <v>224.00659105576824</v>
      </c>
      <c r="AN16" s="62">
        <f ca="1">AVERAGE(OFFSET($AM$3,0,0,'Données projet'!$E$10+1,1))-AVERAGE(OFFSET($H$3,0,0,'Données projet'!$E$10+1,1))</f>
        <v>289.94963088302325</v>
      </c>
      <c r="AO16" s="62">
        <f t="shared" si="36"/>
        <v>242.84781402593839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324.10219344171639</v>
      </c>
      <c r="BI16" s="62">
        <f ca="1">AVERAGE(OFFSET($BH$3,0,0,'Données projet'!$E$11+1,1))-AVERAGE(OFFSET($H$3,0,0,'Données projet'!$E$11+1,1))</f>
        <v>189.09998601768521</v>
      </c>
      <c r="BJ16" s="62">
        <f t="shared" si="38"/>
        <v>458.38901659119472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13.8</v>
      </c>
      <c r="BY16" s="13">
        <f>IF('Données projet'!$A$114&gt;35,BY15+BX16-CG15,IF(A16&lt;'Données projet'!$A$114,$BV$205^A16,IF(A16='Données projet'!$A$114,'Données projet'!$B$114,BY15+BX16-CG15)))</f>
        <v>112.4</v>
      </c>
      <c r="BZ16" s="14">
        <f>BY16*VLOOKUP('Données projet'!$B$12,Paramètres!$A$1:$I$89,3,0)*VLOOKUP('Données projet'!$B$12,Paramètres!$A$1:$I$89,5,0)</f>
        <v>101.69951999999999</v>
      </c>
      <c r="CA16" s="14">
        <f t="shared" si="39"/>
        <v>27.366486780557949</v>
      </c>
      <c r="CB16" s="22">
        <f t="shared" si="10"/>
        <v>224.78996180947172</v>
      </c>
      <c r="CC16" s="62">
        <f t="shared" si="11"/>
        <v>424.33096206109053</v>
      </c>
      <c r="CD16" s="62">
        <f ca="1">AVERAGE(OFFSET($CC$3,0,0,'Données projet'!$E$12+1,1))-AVERAGE(OFFSET($H$3,0,0,'Données projet'!$E$12+1,1))</f>
        <v>376.68007030857598</v>
      </c>
      <c r="CE16" s="62">
        <f t="shared" si="40"/>
        <v>532.90758914457626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8.7713687160349174</v>
      </c>
      <c r="CN16" s="24">
        <f t="shared" si="12"/>
        <v>8.7713687160349174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8.16</v>
      </c>
      <c r="N17" s="14">
        <f>IF('Données projet'!$A$36&gt;35,N16+M17-V16,IF(A17&lt;'Données projet'!$A$36,$K$205^A17,IF(A17='Données projet'!$A$36,'Données projet'!$B$36,N16+M17-V16)))</f>
        <v>19.651372762315496</v>
      </c>
      <c r="O17" s="14">
        <f>N17*VLOOKUP('Données projet'!$B$9,Paramètres!$A$1:$I$89,3,0)*VLOOKUP('Données projet'!$B$9,Paramètres!$A$1:$I$89,5,0)</f>
        <v>10.985117374134363</v>
      </c>
      <c r="P17" s="14">
        <f t="shared" si="33"/>
        <v>3.8300734204735383</v>
      </c>
      <c r="Q17" s="22">
        <f t="shared" si="2"/>
        <v>25.803123967275425</v>
      </c>
      <c r="R17" s="62">
        <f t="shared" si="0"/>
        <v>227.83298573954863</v>
      </c>
      <c r="S17" s="62">
        <f ca="1">AVERAGE(OFFSET($R$3,0,0,'Données projet'!$E$9+1,1))-AVERAGE(OFFSET($H$3,0,0,'Données projet'!$E$9+1,1))</f>
        <v>349.46033149388688</v>
      </c>
      <c r="T17" s="62">
        <f t="shared" si="34"/>
        <v>405.30585610371702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5.9</v>
      </c>
      <c r="AI17" s="14">
        <f>IF('Données projet'!$A$62&gt;35,AI16+AH17-AQ16,IF(A17&lt;'Données projet'!$A$62,$AF$205^A17,IF(A17='Données projet'!$A$62,'Données projet'!$B$62,AI16+AH17-AQ16)))</f>
        <v>28.204435057647181</v>
      </c>
      <c r="AJ17" s="14">
        <f>AI17*VLOOKUP('Données projet'!$B$10,Paramètres!$A$1:$I$89,3,0)*VLOOKUP('Données projet'!$B$10,Paramètres!$A$1:$I$89,5,0)</f>
        <v>13.199675606978881</v>
      </c>
      <c r="AK17" s="14">
        <f t="shared" si="35"/>
        <v>4.5048647827803388</v>
      </c>
      <c r="AL17" s="22">
        <f t="shared" si="4"/>
        <v>30.835407845497311</v>
      </c>
      <c r="AM17" s="62">
        <f t="shared" si="5"/>
        <v>232.86526961777051</v>
      </c>
      <c r="AN17" s="62">
        <f ca="1">AVERAGE(OFFSET($AM$3,0,0,'Données projet'!$E$10+1,1))-AVERAGE(OFFSET($H$3,0,0,'Données projet'!$E$10+1,1))</f>
        <v>289.94963088302325</v>
      </c>
      <c r="AO17" s="62">
        <f t="shared" si="36"/>
        <v>242.84781402593839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353.71510691220158</v>
      </c>
      <c r="BI17" s="62">
        <f ca="1">AVERAGE(OFFSET($BH$3,0,0,'Données projet'!$E$11+1,1))-AVERAGE(OFFSET($H$3,0,0,'Données projet'!$E$11+1,1))</f>
        <v>189.09998601768521</v>
      </c>
      <c r="BJ17" s="62">
        <f t="shared" si="38"/>
        <v>458.38901659119472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13.8</v>
      </c>
      <c r="BY17" s="13">
        <f>IF('Données projet'!$A$114&gt;35,BY16+BX17-CG16,IF(A17&lt;'Données projet'!$A$114,$BV$205^A17,IF(A17='Données projet'!$A$114,'Données projet'!$B$114,BY16+BX17-CG16)))</f>
        <v>126.2</v>
      </c>
      <c r="BZ17" s="14">
        <f>BY17*VLOOKUP('Données projet'!$B$12,Paramètres!$A$1:$I$89,3,0)*VLOOKUP('Données projet'!$B$12,Paramètres!$A$1:$I$89,5,0)</f>
        <v>114.18576</v>
      </c>
      <c r="CA17" s="14">
        <f t="shared" si="39"/>
        <v>30.315028515433259</v>
      </c>
      <c r="CB17" s="22">
        <f t="shared" si="10"/>
        <v>251.67220666437959</v>
      </c>
      <c r="CC17" s="62">
        <f t="shared" si="11"/>
        <v>453.70206843665278</v>
      </c>
      <c r="CD17" s="62">
        <f ca="1">AVERAGE(OFFSET($CC$3,0,0,'Données projet'!$E$12+1,1))-AVERAGE(OFFSET($H$3,0,0,'Données projet'!$E$12+1,1))</f>
        <v>376.68007030857598</v>
      </c>
      <c r="CE17" s="62">
        <f t="shared" si="40"/>
        <v>532.90758914457626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6.202294299395831</v>
      </c>
      <c r="CN17" s="24">
        <f t="shared" si="12"/>
        <v>6.202294299395831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8.16</v>
      </c>
      <c r="N18" s="14">
        <f>IF('Données projet'!$A$36&gt;35,N17+M18-V17,IF(A18&lt;'Données projet'!$A$36,$K$205^A18,IF(A18='Données projet'!$A$36,'Données projet'!$B$36,N17+M18-V17)))</f>
        <v>24.309616098988553</v>
      </c>
      <c r="O18" s="14">
        <f>N18*VLOOKUP('Données projet'!$B$9,Paramètres!$A$1:$I$89,3,0)*VLOOKUP('Données projet'!$B$9,Paramètres!$A$1:$I$89,5,0)</f>
        <v>13.5890753993346</v>
      </c>
      <c r="P18" s="14">
        <f t="shared" si="33"/>
        <v>4.6220928756575921</v>
      </c>
      <c r="Q18" s="22">
        <f t="shared" si="2"/>
        <v>31.717784745611407</v>
      </c>
      <c r="R18" s="62">
        <f t="shared" si="0"/>
        <v>236.21453467849244</v>
      </c>
      <c r="S18" s="62">
        <f ca="1">AVERAGE(OFFSET($R$3,0,0,'Données projet'!$E$9+1,1))-AVERAGE(OFFSET($H$3,0,0,'Données projet'!$E$9+1,1))</f>
        <v>349.46033149388688</v>
      </c>
      <c r="T18" s="62">
        <f t="shared" si="34"/>
        <v>405.30585610371702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5.9</v>
      </c>
      <c r="AI18" s="14">
        <f>IF('Données projet'!$A$62&gt;35,AI17+AH18-AQ17,IF(A18&lt;'Données projet'!$A$62,$AF$205^A18,IF(A18='Données projet'!$A$62,'Données projet'!$B$62,AI17+AH18-AQ17)))</f>
        <v>35.802347659917913</v>
      </c>
      <c r="AJ18" s="14">
        <f>AI18*VLOOKUP('Données projet'!$B$10,Paramètres!$A$1:$I$89,3,0)*VLOOKUP('Données projet'!$B$10,Paramètres!$A$1:$I$89,5,0)</f>
        <v>16.755498704841585</v>
      </c>
      <c r="AK18" s="14">
        <f t="shared" si="35"/>
        <v>5.5618273948287271</v>
      </c>
      <c r="AL18" s="22">
        <f t="shared" si="4"/>
        <v>38.869342956925792</v>
      </c>
      <c r="AM18" s="62">
        <f t="shared" si="5"/>
        <v>243.36609288980685</v>
      </c>
      <c r="AN18" s="62">
        <f ca="1">AVERAGE(OFFSET($AM$3,0,0,'Données projet'!$E$10+1,1))-AVERAGE(OFFSET($H$3,0,0,'Données projet'!$E$10+1,1))</f>
        <v>289.94963088302325</v>
      </c>
      <c r="AO18" s="62">
        <f t="shared" si="36"/>
        <v>242.84781402593839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383.1902172505234</v>
      </c>
      <c r="BI18" s="62">
        <f ca="1">AVERAGE(OFFSET($BH$3,0,0,'Données projet'!$E$11+1,1))-AVERAGE(OFFSET($H$3,0,0,'Données projet'!$E$11+1,1))</f>
        <v>189.09998601768521</v>
      </c>
      <c r="BJ18" s="62">
        <f t="shared" si="38"/>
        <v>458.38901659119472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140</v>
      </c>
      <c r="BW18" s="13">
        <f>VLOOKUP(A18,'Données projet'!$A$113:$I$133,9,0)</f>
        <v>13.8</v>
      </c>
      <c r="BX18" s="13">
        <f t="array" ref="BX18">INDEX(BW:BW,MIN(IF(ISNUMBER(BW18:BW214),ROW(BW18:BW214),"")))</f>
        <v>13.8</v>
      </c>
      <c r="BY18" s="13">
        <f>IF('Données projet'!$A$114&gt;35,BY17+BX18-CG17,IF(A18&lt;'Données projet'!$A$114,$BV$205^A18,IF(A18='Données projet'!$A$114,'Données projet'!$B$114,BY17+BX18-CG17)))</f>
        <v>140</v>
      </c>
      <c r="BZ18" s="14">
        <f>BY18*VLOOKUP('Données projet'!$B$12,Paramètres!$A$1:$I$89,3,0)*VLOOKUP('Données projet'!$B$12,Paramètres!$A$1:$I$89,5,0)</f>
        <v>126.67199999999998</v>
      </c>
      <c r="CA18" s="14">
        <f t="shared" si="39"/>
        <v>33.226199426361347</v>
      </c>
      <c r="CB18" s="22">
        <f t="shared" si="10"/>
        <v>278.48936400091264</v>
      </c>
      <c r="CC18" s="62">
        <f t="shared" si="11"/>
        <v>482.98611393379372</v>
      </c>
      <c r="CD18" s="62">
        <f ca="1">AVERAGE(OFFSET($CC$3,0,0,'Données projet'!$E$12+1,1))-AVERAGE(OFFSET($H$3,0,0,'Données projet'!$E$12+1,1))</f>
        <v>376.68007030857598</v>
      </c>
      <c r="CE18" s="62">
        <f t="shared" si="40"/>
        <v>532.90758914457626</v>
      </c>
      <c r="CF18" s="16">
        <f>IF(ISNA(VLOOKUP(A18,'Données projet'!$A$113:$I$133,3,0)),0,VLOOKUP(A18,'Données projet'!$A$113:$I$133,3,0))</f>
        <v>3</v>
      </c>
      <c r="CG18" s="16">
        <f>IF(ISNA(VLOOKUP(A18,'Données projet'!$A$113:$I$133,4,0)),0,VLOOKUP(A18,'Données projet'!$A$113:$I$133,4,0))</f>
        <v>23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1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24.02085686172143</v>
      </c>
      <c r="CN18" s="24">
        <f t="shared" si="12"/>
        <v>24.02085686172143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8.16</v>
      </c>
      <c r="N19" s="14">
        <f>IF('Données projet'!$A$36&gt;35,N18+M19-V18,IF(A19&lt;'Données projet'!$A$36,$K$205^A19,IF(A19='Données projet'!$A$36,'Données projet'!$B$36,N18+M19-V18)))</f>
        <v>30.072068858896934</v>
      </c>
      <c r="O19" s="14">
        <f>N19*VLOOKUP('Données projet'!$B$9,Paramètres!$A$1:$I$89,3,0)*VLOOKUP('Données projet'!$B$9,Paramètres!$A$1:$I$89,5,0)</f>
        <v>16.810286492123385</v>
      </c>
      <c r="P19" s="14">
        <f t="shared" si="33"/>
        <v>5.5778937388002685</v>
      </c>
      <c r="Q19" s="22">
        <f t="shared" si="2"/>
        <v>38.992747235525364</v>
      </c>
      <c r="R19" s="62">
        <f t="shared" si="0"/>
        <v>245.93479315763943</v>
      </c>
      <c r="S19" s="62">
        <f ca="1">AVERAGE(OFFSET($R$3,0,0,'Données projet'!$E$9+1,1))-AVERAGE(OFFSET($H$3,0,0,'Données projet'!$E$9+1,1))</f>
        <v>349.46033149388688</v>
      </c>
      <c r="T19" s="62">
        <f t="shared" si="34"/>
        <v>405.30585610371702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5.9</v>
      </c>
      <c r="AI19" s="14">
        <f>IF('Données projet'!$A$62&gt;35,AI18+AH19-AQ18,IF(A19&lt;'Données projet'!$A$62,$AF$205^A19,IF(A19='Données projet'!$A$62,'Données projet'!$B$62,AI18+AH19-AQ18)))</f>
        <v>45.44704034460311</v>
      </c>
      <c r="AJ19" s="14">
        <f>AI19*VLOOKUP('Données projet'!$B$10,Paramètres!$A$1:$I$89,3,0)*VLOOKUP('Données projet'!$B$10,Paramètres!$A$1:$I$89,5,0)</f>
        <v>21.269214881274255</v>
      </c>
      <c r="AK19" s="14">
        <f t="shared" si="35"/>
        <v>6.8667819038899802</v>
      </c>
      <c r="AL19" s="22">
        <f t="shared" si="4"/>
        <v>49.003527734161047</v>
      </c>
      <c r="AM19" s="62">
        <f t="shared" si="5"/>
        <v>255.94557365627512</v>
      </c>
      <c r="AN19" s="62">
        <f ca="1">AVERAGE(OFFSET($AM$3,0,0,'Données projet'!$E$10+1,1))-AVERAGE(OFFSET($H$3,0,0,'Données projet'!$E$10+1,1))</f>
        <v>289.94963088302325</v>
      </c>
      <c r="AO19" s="62">
        <f t="shared" si="36"/>
        <v>242.84781402593839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412.54791344188288</v>
      </c>
      <c r="BI19" s="62">
        <f ca="1">AVERAGE(OFFSET($BH$3,0,0,'Données projet'!$E$11+1,1))-AVERAGE(OFFSET($H$3,0,0,'Données projet'!$E$11+1,1))</f>
        <v>189.09998601768521</v>
      </c>
      <c r="BJ19" s="62">
        <f t="shared" si="38"/>
        <v>458.38901659119472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12.6</v>
      </c>
      <c r="BY19" s="13">
        <f>IF('Données projet'!$A$114&gt;35,BY18+BX19-CG18,IF(A19&lt;'Données projet'!$A$114,$BV$205^A19,IF(A19='Données projet'!$A$114,'Données projet'!$B$114,BY18+BX19-CG18)))</f>
        <v>129.6</v>
      </c>
      <c r="BZ19" s="14">
        <f>BY19*VLOOKUP('Données projet'!$B$12,Paramètres!$A$1:$I$89,3,0)*VLOOKUP('Données projet'!$B$12,Paramètres!$A$1:$I$89,5,0)</f>
        <v>117.26208</v>
      </c>
      <c r="CA19" s="14">
        <f t="shared" si="39"/>
        <v>31.035569170075775</v>
      </c>
      <c r="CB19" s="22">
        <f t="shared" si="10"/>
        <v>258.28507230454863</v>
      </c>
      <c r="CC19" s="62">
        <f t="shared" si="11"/>
        <v>465.2271182266627</v>
      </c>
      <c r="CD19" s="62">
        <f ca="1">AVERAGE(OFFSET($CC$3,0,0,'Données projet'!$E$12+1,1))-AVERAGE(OFFSET($H$3,0,0,'Données projet'!$E$12+1,1))</f>
        <v>376.68007030857598</v>
      </c>
      <c r="CE19" s="62">
        <f t="shared" si="40"/>
        <v>532.90758914457626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16.985310776834634</v>
      </c>
      <c r="CN19" s="24">
        <f t="shared" si="12"/>
        <v>16.985310776834634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8.16</v>
      </c>
      <c r="N20" s="14">
        <f>IF('Données projet'!$A$36&gt;35,N19+M20-V19,IF(A20&lt;'Données projet'!$A$36,$K$205^A20,IF(A20='Données projet'!$A$36,'Données projet'!$B$36,N19+M20-V19)))</f>
        <v>37.200477447764598</v>
      </c>
      <c r="O20" s="14">
        <f>N20*VLOOKUP('Données projet'!$B$9,Paramètres!$A$1:$I$89,3,0)*VLOOKUP('Données projet'!$B$9,Paramètres!$A$1:$I$89,5,0)</f>
        <v>20.795066893300412</v>
      </c>
      <c r="P20" s="14">
        <f t="shared" si="33"/>
        <v>6.7313443062133995</v>
      </c>
      <c r="Q20" s="22">
        <f t="shared" si="2"/>
        <v>47.941832839153214</v>
      </c>
      <c r="R20" s="62">
        <f t="shared" si="0"/>
        <v>257.30795715502592</v>
      </c>
      <c r="S20" s="62">
        <f ca="1">AVERAGE(OFFSET($R$3,0,0,'Données projet'!$E$9+1,1))-AVERAGE(OFFSET($H$3,0,0,'Données projet'!$E$9+1,1))</f>
        <v>349.46033149388688</v>
      </c>
      <c r="T20" s="62">
        <f t="shared" si="34"/>
        <v>405.30585610371702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5.9</v>
      </c>
      <c r="AI20" s="14">
        <f>IF('Données projet'!$A$62&gt;35,AI19+AH20-AQ19,IF(A20&lt;'Données projet'!$A$62,$AF$205^A20,IF(A20='Données projet'!$A$62,'Données projet'!$B$62,AI19+AH20-AQ19)))</f>
        <v>57.68988938108977</v>
      </c>
      <c r="AJ20" s="14">
        <f>AI20*VLOOKUP('Données projet'!$B$10,Paramètres!$A$1:$I$89,3,0)*VLOOKUP('Données projet'!$B$10,Paramètres!$A$1:$I$89,5,0)</f>
        <v>26.998868230350013</v>
      </c>
      <c r="AK20" s="14">
        <f t="shared" si="35"/>
        <v>8.477913888415971</v>
      </c>
      <c r="AL20" s="22">
        <f t="shared" si="4"/>
        <v>61.788728856850753</v>
      </c>
      <c r="AM20" s="62">
        <f t="shared" si="5"/>
        <v>271.15485317272351</v>
      </c>
      <c r="AN20" s="62">
        <f ca="1">AVERAGE(OFFSET($AM$3,0,0,'Données projet'!$E$10+1,1))-AVERAGE(OFFSET($H$3,0,0,'Données projet'!$E$10+1,1))</f>
        <v>289.94963088302325</v>
      </c>
      <c r="AO20" s="62">
        <f t="shared" si="36"/>
        <v>242.84781402593839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441.80288798887409</v>
      </c>
      <c r="BI20" s="62">
        <f ca="1">AVERAGE(OFFSET($BH$3,0,0,'Données projet'!$E$11+1,1))-AVERAGE(OFFSET($H$3,0,0,'Données projet'!$E$11+1,1))</f>
        <v>189.09998601768521</v>
      </c>
      <c r="BJ20" s="62">
        <f t="shared" si="38"/>
        <v>458.38901659119472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12.6</v>
      </c>
      <c r="BY20" s="13">
        <f>IF('Données projet'!$A$114&gt;35,BY19+BX20-CG19,IF(A20&lt;'Données projet'!$A$114,$BV$205^A20,IF(A20='Données projet'!$A$114,'Données projet'!$B$114,BY19+BX20-CG19)))</f>
        <v>142.19999999999999</v>
      </c>
      <c r="BZ20" s="14">
        <f>BY20*VLOOKUP('Données projet'!$B$12,Paramètres!$A$1:$I$89,3,0)*VLOOKUP('Données projet'!$B$12,Paramètres!$A$1:$I$89,5,0)</f>
        <v>128.66255999999998</v>
      </c>
      <c r="CA20" s="14">
        <f t="shared" si="39"/>
        <v>33.687130461083775</v>
      </c>
      <c r="CB20" s="22">
        <f t="shared" si="10"/>
        <v>282.75904421972086</v>
      </c>
      <c r="CC20" s="62">
        <f t="shared" si="11"/>
        <v>492.12516853559362</v>
      </c>
      <c r="CD20" s="62">
        <f ca="1">AVERAGE(OFFSET($CC$3,0,0,'Données projet'!$E$12+1,1))-AVERAGE(OFFSET($H$3,0,0,'Données projet'!$E$12+1,1))</f>
        <v>376.68007030857598</v>
      </c>
      <c r="CE20" s="62">
        <f t="shared" si="40"/>
        <v>532.90758914457626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12.010428430860715</v>
      </c>
      <c r="CN20" s="24">
        <f t="shared" si="12"/>
        <v>12.010428430860715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8.16</v>
      </c>
      <c r="N21" s="14">
        <f>IF('Données projet'!$A$36&gt;35,N20+M21-V20,IF(A21&lt;'Données projet'!$A$36,$K$205^A21,IF(A21='Données projet'!$A$36,'Données projet'!$B$36,N20+M21-V20)))</f>
        <v>46.018633730689196</v>
      </c>
      <c r="O21" s="14">
        <f>N21*VLOOKUP('Données projet'!$B$9,Paramètres!$A$1:$I$89,3,0)*VLOOKUP('Données projet'!$B$9,Paramètres!$A$1:$I$89,5,0)</f>
        <v>25.72441625545526</v>
      </c>
      <c r="P21" s="14">
        <f t="shared" si="33"/>
        <v>8.1233164865807037</v>
      </c>
      <c r="Q21" s="22">
        <f t="shared" si="2"/>
        <v>58.951467859045977</v>
      </c>
      <c r="R21" s="62">
        <f t="shared" si="0"/>
        <v>270.72082105104909</v>
      </c>
      <c r="S21" s="62">
        <f ca="1">AVERAGE(OFFSET($R$3,0,0,'Données projet'!$E$9+1,1))-AVERAGE(OFFSET($H$3,0,0,'Données projet'!$E$9+1,1))</f>
        <v>349.46033149388688</v>
      </c>
      <c r="T21" s="62">
        <f t="shared" si="34"/>
        <v>405.30585610371702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5.9</v>
      </c>
      <c r="AI21" s="14">
        <f>IF('Données projet'!$A$62&gt;35,AI20+AH21-AQ20,IF(A21&lt;'Données projet'!$A$62,$AF$205^A21,IF(A21='Données projet'!$A$62,'Données projet'!$B$62,AI20+AH21-AQ20)))</f>
        <v>73.23080472494604</v>
      </c>
      <c r="AJ21" s="14">
        <f>AI21*VLOOKUP('Données projet'!$B$10,Paramètres!$A$1:$I$89,3,0)*VLOOKUP('Données projet'!$B$10,Paramètres!$A$1:$I$89,5,0)</f>
        <v>34.272016611274744</v>
      </c>
      <c r="AK21" s="14">
        <f t="shared" si="35"/>
        <v>10.467060830733502</v>
      </c>
      <c r="AL21" s="22">
        <f t="shared" si="4"/>
        <v>77.920559878164354</v>
      </c>
      <c r="AM21" s="62">
        <f t="shared" si="5"/>
        <v>289.68991307016745</v>
      </c>
      <c r="AN21" s="62">
        <f ca="1">AVERAGE(OFFSET($AM$3,0,0,'Données projet'!$E$10+1,1))-AVERAGE(OFFSET($H$3,0,0,'Données projet'!$E$10+1,1))</f>
        <v>289.94963088302325</v>
      </c>
      <c r="AO21" s="62">
        <f t="shared" si="36"/>
        <v>242.84781402593839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414.27433723259333</v>
      </c>
      <c r="BI21" s="62">
        <f ca="1">AVERAGE(OFFSET($BH$3,0,0,'Données projet'!$E$11+1,1))-AVERAGE(OFFSET($H$3,0,0,'Données projet'!$E$11+1,1))</f>
        <v>189.09998601768521</v>
      </c>
      <c r="BJ21" s="62">
        <f t="shared" si="38"/>
        <v>458.38901659119472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12.6</v>
      </c>
      <c r="BY21" s="13">
        <f>IF('Données projet'!$A$114&gt;35,BY20+BX21-CG20,IF(A21&lt;'Données projet'!$A$114,$BV$205^A21,IF(A21='Données projet'!$A$114,'Données projet'!$B$114,BY20+BX21-CG20)))</f>
        <v>154.79999999999998</v>
      </c>
      <c r="BZ21" s="14">
        <f>BY21*VLOOKUP('Données projet'!$B$12,Paramètres!$A$1:$I$89,3,0)*VLOOKUP('Données projet'!$B$12,Paramètres!$A$1:$I$89,5,0)</f>
        <v>140.06303999999997</v>
      </c>
      <c r="CA21" s="14">
        <f t="shared" si="39"/>
        <v>36.31144669536954</v>
      </c>
      <c r="CB21" s="22">
        <f t="shared" si="10"/>
        <v>307.18556432776853</v>
      </c>
      <c r="CC21" s="62">
        <f t="shared" si="11"/>
        <v>518.9549175197717</v>
      </c>
      <c r="CD21" s="62">
        <f ca="1">AVERAGE(OFFSET($CC$3,0,0,'Données projet'!$E$12+1,1))-AVERAGE(OFFSET($H$3,0,0,'Données projet'!$E$12+1,1))</f>
        <v>376.68007030857598</v>
      </c>
      <c r="CE21" s="62">
        <f t="shared" si="40"/>
        <v>532.90758914457626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8.492655388417317</v>
      </c>
      <c r="CN21" s="24">
        <f t="shared" si="12"/>
        <v>8.492655388417317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8.16</v>
      </c>
      <c r="N22" s="14">
        <f>IF('Données projet'!$A$36&gt;35,N21+M22-V21,IF(A22&lt;'Données projet'!$A$36,$K$205^A22,IF(A22='Données projet'!$A$36,'Données projet'!$B$36,N21+M22-V21)))</f>
        <v>56.927082546532752</v>
      </c>
      <c r="O22" s="14">
        <f>N22*VLOOKUP('Données projet'!$B$9,Paramètres!$A$1:$I$89,3,0)*VLOOKUP('Données projet'!$B$9,Paramètres!$A$1:$I$89,5,0)</f>
        <v>31.822239143511808</v>
      </c>
      <c r="P22" s="14">
        <f t="shared" si="33"/>
        <v>9.8031340753500196</v>
      </c>
      <c r="Q22" s="22">
        <f t="shared" si="2"/>
        <v>72.497525022851008</v>
      </c>
      <c r="R22" s="62">
        <f t="shared" si="0"/>
        <v>286.64961926587455</v>
      </c>
      <c r="S22" s="62">
        <f ca="1">AVERAGE(OFFSET($R$3,0,0,'Données projet'!$E$9+1,1))-AVERAGE(OFFSET($H$3,0,0,'Données projet'!$E$9+1,1))</f>
        <v>349.46033149388688</v>
      </c>
      <c r="T22" s="62">
        <f t="shared" si="34"/>
        <v>405.30585610371702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5.9</v>
      </c>
      <c r="AI22" s="14">
        <f>IF('Données projet'!$A$62&gt;35,AI21+AH22-AQ21,IF(A22&lt;'Données projet'!$A$62,$AF$205^A22,IF(A22='Données projet'!$A$62,'Données projet'!$B$62,AI21+AH22-AQ21)))</f>
        <v>92.958243085503995</v>
      </c>
      <c r="AJ22" s="14">
        <f>AI22*VLOOKUP('Données projet'!$B$10,Paramètres!$A$1:$I$89,3,0)*VLOOKUP('Données projet'!$B$10,Paramètres!$A$1:$I$89,5,0)</f>
        <v>43.504457764015868</v>
      </c>
      <c r="AK22" s="14">
        <f t="shared" si="35"/>
        <v>12.922915221393666</v>
      </c>
      <c r="AL22" s="22">
        <f t="shared" si="4"/>
        <v>98.277674616254941</v>
      </c>
      <c r="AM22" s="62">
        <f t="shared" si="5"/>
        <v>312.42976885927845</v>
      </c>
      <c r="AN22" s="62">
        <f ca="1">AVERAGE(OFFSET($AM$3,0,0,'Données projet'!$E$10+1,1))-AVERAGE(OFFSET($H$3,0,0,'Données projet'!$E$10+1,1))</f>
        <v>289.94963088302325</v>
      </c>
      <c r="AO22" s="62">
        <f t="shared" si="36"/>
        <v>242.84781402593839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442.20812764869811</v>
      </c>
      <c r="BI22" s="62">
        <f ca="1">AVERAGE(OFFSET($BH$3,0,0,'Données projet'!$E$11+1,1))-AVERAGE(OFFSET($H$3,0,0,'Données projet'!$E$11+1,1))</f>
        <v>189.09998601768521</v>
      </c>
      <c r="BJ22" s="62">
        <f t="shared" si="38"/>
        <v>458.38901659119472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12.6</v>
      </c>
      <c r="BY22" s="13">
        <f>IF('Données projet'!$A$114&gt;35,BY21+BX22-CG21,IF(A22&lt;'Données projet'!$A$114,$BV$205^A22,IF(A22='Données projet'!$A$114,'Données projet'!$B$114,BY21+BX22-CG21)))</f>
        <v>167.39999999999998</v>
      </c>
      <c r="BZ22" s="14">
        <f>BY22*VLOOKUP('Données projet'!$B$12,Paramètres!$A$1:$I$89,3,0)*VLOOKUP('Données projet'!$B$12,Paramètres!$A$1:$I$89,5,0)</f>
        <v>151.46351999999999</v>
      </c>
      <c r="CA22" s="14">
        <f t="shared" si="39"/>
        <v>38.910987614777085</v>
      </c>
      <c r="CB22" s="22">
        <f t="shared" si="10"/>
        <v>331.56893409573678</v>
      </c>
      <c r="CC22" s="62">
        <f t="shared" si="11"/>
        <v>545.72102833876033</v>
      </c>
      <c r="CD22" s="62">
        <f ca="1">AVERAGE(OFFSET($CC$3,0,0,'Données projet'!$E$12+1,1))-AVERAGE(OFFSET($H$3,0,0,'Données projet'!$E$12+1,1))</f>
        <v>376.68007030857598</v>
      </c>
      <c r="CE22" s="62">
        <f t="shared" si="40"/>
        <v>532.90758914457626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6.0052142154303576</v>
      </c>
      <c r="CN22" s="24">
        <f t="shared" si="12"/>
        <v>6.0052142154303576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8.16</v>
      </c>
      <c r="N23" s="14">
        <f>IF('Données projet'!$A$36&gt;35,N22+M23-V22,IF(A23&lt;'Données projet'!$A$36,$K$205^A23,IF(A23='Données projet'!$A$36,'Données projet'!$B$36,N22+M23-V22)))</f>
        <v>70.421315552847034</v>
      </c>
      <c r="O23" s="14">
        <f>N23*VLOOKUP('Données projet'!$B$9,Paramètres!$A$1:$I$89,3,0)*VLOOKUP('Données projet'!$B$9,Paramètres!$A$1:$I$89,5,0)</f>
        <v>39.365515394041495</v>
      </c>
      <c r="P23" s="14">
        <f t="shared" si="33"/>
        <v>11.830320517247268</v>
      </c>
      <c r="Q23" s="22">
        <f t="shared" si="2"/>
        <v>89.166080878827913</v>
      </c>
      <c r="R23" s="62">
        <f t="shared" si="0"/>
        <v>305.68078376572362</v>
      </c>
      <c r="S23" s="62">
        <f ca="1">AVERAGE(OFFSET($R$3,0,0,'Données projet'!$E$9+1,1))-AVERAGE(OFFSET($H$3,0,0,'Données projet'!$E$9+1,1))</f>
        <v>349.46033149388688</v>
      </c>
      <c r="T23" s="62">
        <f t="shared" si="34"/>
        <v>405.30585610371702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118</v>
      </c>
      <c r="AG23" s="13">
        <f>VLOOKUP(A23,'Données projet'!$A$61:$I$81,9,0)</f>
        <v>5.9</v>
      </c>
      <c r="AH23" s="13">
        <f t="array" ref="AH23">INDEX(AG:AG,MIN(IF(ISNUMBER(AG23:AG219),ROW(AG23:AG219),"")))</f>
        <v>5.9</v>
      </c>
      <c r="AI23" s="14">
        <f>IF('Données projet'!$A$62&gt;35,AI22+AH23-AQ22,IF(A23&lt;'Données projet'!$A$62,$AF$205^A23,IF(A23='Données projet'!$A$62,'Données projet'!$B$62,AI22+AH23-AQ22)))</f>
        <v>118</v>
      </c>
      <c r="AJ23" s="14">
        <f>AI23*VLOOKUP('Données projet'!$B$10,Paramètres!$A$1:$I$89,3,0)*VLOOKUP('Données projet'!$B$10,Paramètres!$A$1:$I$89,5,0)</f>
        <v>55.223999999999997</v>
      </c>
      <c r="AK23" s="14">
        <f t="shared" si="35"/>
        <v>15.954979198073962</v>
      </c>
      <c r="AL23" s="22">
        <f t="shared" si="4"/>
        <v>123.97005543664547</v>
      </c>
      <c r="AM23" s="62">
        <f t="shared" si="5"/>
        <v>340.4847583235412</v>
      </c>
      <c r="AN23" s="62">
        <f ca="1">AVERAGE(OFFSET($AM$3,0,0,'Données projet'!$E$10+1,1))-AVERAGE(OFFSET($H$3,0,0,'Données projet'!$E$10+1,1))</f>
        <v>289.94963088302325</v>
      </c>
      <c r="AO23" s="62">
        <f t="shared" si="36"/>
        <v>242.84781402593839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470.05625459508224</v>
      </c>
      <c r="BI23" s="62">
        <f ca="1">AVERAGE(OFFSET($BH$3,0,0,'Données projet'!$E$11+1,1))-AVERAGE(OFFSET($H$3,0,0,'Données projet'!$E$11+1,1))</f>
        <v>189.09998601768521</v>
      </c>
      <c r="BJ23" s="62">
        <f t="shared" si="38"/>
        <v>458.38901659119472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180</v>
      </c>
      <c r="BW23" s="13">
        <f>VLOOKUP(A23,'Données projet'!$A$113:$I$133,9,0)</f>
        <v>12.6</v>
      </c>
      <c r="BX23" s="13">
        <f t="array" ref="BX23">INDEX(BW:BW,MIN(IF(ISNUMBER(BW23:BW219),ROW(BW23:BW219),"")))</f>
        <v>12.6</v>
      </c>
      <c r="BY23" s="13">
        <f>IF('Données projet'!$A$114&gt;35,BY22+BX23-CG22,IF(A23&lt;'Données projet'!$A$114,$BV$205^A23,IF(A23='Données projet'!$A$114,'Données projet'!$B$114,BY22+BX23-CG22)))</f>
        <v>179.99999999999997</v>
      </c>
      <c r="BZ23" s="14">
        <f>BY23*VLOOKUP('Données projet'!$B$12,Paramètres!$A$1:$I$89,3,0)*VLOOKUP('Données projet'!$B$12,Paramètres!$A$1:$I$89,5,0)</f>
        <v>162.86399999999998</v>
      </c>
      <c r="CA23" s="14">
        <f t="shared" si="39"/>
        <v>41.487830069509123</v>
      </c>
      <c r="CB23" s="22">
        <f t="shared" si="10"/>
        <v>355.91277070439497</v>
      </c>
      <c r="CC23" s="62">
        <f t="shared" si="11"/>
        <v>572.42747359129066</v>
      </c>
      <c r="CD23" s="62">
        <f ca="1">AVERAGE(OFFSET($CC$3,0,0,'Données projet'!$E$12+1,1))-AVERAGE(OFFSET($H$3,0,0,'Données projet'!$E$12+1,1))</f>
        <v>376.68007030857598</v>
      </c>
      <c r="CE23" s="62">
        <f t="shared" si="40"/>
        <v>532.90758914457626</v>
      </c>
      <c r="CF23" s="16">
        <f>IF(ISNA(VLOOKUP(A23,'Données projet'!$A$113:$I$133,3,0)),0,VLOOKUP(A23,'Données projet'!$A$113:$I$133,3,0))</f>
        <v>4</v>
      </c>
      <c r="CG23" s="16">
        <f>IF(ISNA(VLOOKUP(A23,'Données projet'!$A$113:$I$133,4,0)),0,VLOOKUP(A23,'Données projet'!$A$113:$I$133,4,0))</f>
        <v>18</v>
      </c>
      <c r="CH23" s="17">
        <f>IF(ISNA(VLOOKUP(A23,'Données projet'!$A$113:$I$133,5,0)),0%,VLOOKUP(A23,'Données projet'!$A$113:$I$133,5,0)*VLOOKUP('Données projet'!$B$12,Paramètres!$A$1:$I$89,7,0))</f>
        <v>0.06</v>
      </c>
      <c r="CI23" s="17">
        <f>IF(ISNA(VLOOKUP(A23,'Données projet'!$A$113:$I$133,6,0)),0%,VLOOKUP(A23,'Données projet'!$A$113:$I$133,6,0)*VLOOKUP('Données projet'!$B$12,Paramètres!$A$1:$I$89,7,0))</f>
        <v>0.09</v>
      </c>
      <c r="CJ23" s="17">
        <f>IF(ISNA(VLOOKUP(A23,'Données projet'!$A$113:$I$133,7,0)),0%,VLOOKUP(A23,'Données projet'!$A$113:$I$133,7,0))</f>
        <v>0.5</v>
      </c>
      <c r="CK23" s="23">
        <f>EXP(-LN(2)/35)*CK22+(1-EXP(-LN(2)/35))/(LN(2)/35)*CG23*CH23*VLOOKUP('Données projet'!$B$12,Paramètres!$A$1:$I$89,3,0)*0.475*44/12</f>
        <v>1.0802479673535264</v>
      </c>
      <c r="CL23" s="23">
        <f>EXP(-LN(2)/25)*CL22+(1-EXP(-LN(2)/25))/(LN(2)/25)*Calculateur!CG23*Calculateur!CI23*VLOOKUP('Données projet'!$B$12,Paramètres!$A$1:$I$89,3,0)*0.475*44/12</f>
        <v>1.6139919292489655</v>
      </c>
      <c r="CM23" s="23">
        <f>EXP(-LN(2)/2)*CM22+(1-EXP(-LN(2)/2))/(LN(2)/2)*CG23*CJ23*VLOOKUP('Données projet'!$B$12,Paramètres!$A$1:$I$89,3,0)*0.475*44/12</f>
        <v>11.929656065223256</v>
      </c>
      <c r="CN23" s="24">
        <f t="shared" si="12"/>
        <v>14.623895961825747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8.16</v>
      </c>
      <c r="N24" s="14">
        <f>IF('Données projet'!$A$36&gt;35,N23+M24-V23,IF(A24&lt;'Données projet'!$A$36,$K$205^A24,IF(A24='Données projet'!$A$36,'Données projet'!$B$36,N23+M24-V23)))</f>
        <v>87.114277815659833</v>
      </c>
      <c r="O24" s="14">
        <f>N24*VLOOKUP('Données projet'!$B$9,Paramètres!$A$1:$I$89,3,0)*VLOOKUP('Données projet'!$B$9,Paramètres!$A$1:$I$89,5,0)</f>
        <v>48.696881298953855</v>
      </c>
      <c r="P24" s="14">
        <f t="shared" si="33"/>
        <v>14.276708087949373</v>
      </c>
      <c r="Q24" s="22">
        <f t="shared" si="2"/>
        <v>109.67900151552313</v>
      </c>
      <c r="R24" s="62">
        <f t="shared" si="0"/>
        <v>328.53652989139749</v>
      </c>
      <c r="S24" s="62">
        <f ca="1">AVERAGE(OFFSET($R$3,0,0,'Données projet'!$E$9+1,1))-AVERAGE(OFFSET($H$3,0,0,'Données projet'!$E$9+1,1))</f>
        <v>349.46033149388688</v>
      </c>
      <c r="T24" s="62">
        <f t="shared" si="34"/>
        <v>405.30585610371702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6.2</v>
      </c>
      <c r="AI24" s="14">
        <f>IF('Données projet'!$A$62&gt;35,AI23+AH24-AQ23,IF(A24&lt;'Données projet'!$A$62,$AF$205^A24,IF(A24='Données projet'!$A$62,'Données projet'!$B$62,AI23+AH24-AQ23)))</f>
        <v>124.2</v>
      </c>
      <c r="AJ24" s="14">
        <f>AI24*VLOOKUP('Données projet'!$B$10,Paramètres!$A$1:$I$89,3,0)*VLOOKUP('Données projet'!$B$10,Paramètres!$A$1:$I$89,5,0)</f>
        <v>58.125599999999999</v>
      </c>
      <c r="AK24" s="14">
        <f t="shared" si="35"/>
        <v>16.693490054590161</v>
      </c>
      <c r="AL24" s="22">
        <f t="shared" si="4"/>
        <v>130.30991517841122</v>
      </c>
      <c r="AM24" s="62">
        <f t="shared" si="5"/>
        <v>349.16744355428557</v>
      </c>
      <c r="AN24" s="62">
        <f ca="1">AVERAGE(OFFSET($AM$3,0,0,'Données projet'!$E$10+1,1))-AVERAGE(OFFSET($H$3,0,0,'Données projet'!$E$10+1,1))</f>
        <v>289.94963088302325</v>
      </c>
      <c r="AO24" s="62">
        <f t="shared" si="36"/>
        <v>242.84781402593839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497.82657920677127</v>
      </c>
      <c r="BI24" s="62">
        <f ca="1">AVERAGE(OFFSET($BH$3,0,0,'Données projet'!$E$11+1,1))-AVERAGE(OFFSET($H$3,0,0,'Données projet'!$E$11+1,1))</f>
        <v>189.09998601768521</v>
      </c>
      <c r="BJ24" s="62">
        <f t="shared" si="38"/>
        <v>458.38901659119472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10.4</v>
      </c>
      <c r="BY24" s="13">
        <f>IF('Données projet'!$A$114&gt;35,BY23+BX24-CG23,IF(A24&lt;'Données projet'!$A$114,$BV$205^A24,IF(A24='Données projet'!$A$114,'Données projet'!$B$114,BY23+BX24-CG23)))</f>
        <v>172.39999999999998</v>
      </c>
      <c r="BZ24" s="14">
        <f>BY24*VLOOKUP('Données projet'!$B$12,Paramètres!$A$1:$I$89,3,0)*VLOOKUP('Données projet'!$B$12,Paramètres!$A$1:$I$89,5,0)</f>
        <v>155.98751999999996</v>
      </c>
      <c r="CA24" s="14">
        <f t="shared" si="39"/>
        <v>39.936155927663087</v>
      </c>
      <c r="CB24" s="22">
        <f t="shared" si="10"/>
        <v>341.23373557401311</v>
      </c>
      <c r="CC24" s="62">
        <f t="shared" si="11"/>
        <v>560.09126394988743</v>
      </c>
      <c r="CD24" s="62">
        <f ca="1">AVERAGE(OFFSET($CC$3,0,0,'Données projet'!$E$12+1,1))-AVERAGE(OFFSET($H$3,0,0,'Données projet'!$E$12+1,1))</f>
        <v>376.68007030857598</v>
      </c>
      <c r="CE24" s="62">
        <f t="shared" si="40"/>
        <v>532.90758914457626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1.0590649635999241</v>
      </c>
      <c r="CL24" s="23">
        <f>EXP(-LN(2)/25)*CL23+(1-EXP(-LN(2)/25))/(LN(2)/25)*Calculateur!CG24*Calculateur!CI24*VLOOKUP('Données projet'!$B$12,Paramètres!$A$1:$I$89,3,0)*0.475*44/12</f>
        <v>1.5698572350675057</v>
      </c>
      <c r="CM24" s="23">
        <f>EXP(-LN(2)/2)*CM23+(1-EXP(-LN(2)/2))/(LN(2)/2)*CG24*CJ24*VLOOKUP('Données projet'!$B$12,Paramètres!$A$1:$I$89,3,0)*0.475*44/12</f>
        <v>8.4355407009425907</v>
      </c>
      <c r="CN24" s="24">
        <f t="shared" si="12"/>
        <v>11.064462899610021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8.16</v>
      </c>
      <c r="N25" s="14">
        <f>IF('Données projet'!$A$36&gt;35,N24+M25-V24,IF(A25&lt;'Données projet'!$A$36,$K$205^A25,IF(A25='Données projet'!$A$36,'Données projet'!$B$36,N24+M25-V24)))</f>
        <v>107.76420945514639</v>
      </c>
      <c r="O25" s="14">
        <f>N25*VLOOKUP('Données projet'!$B$9,Paramètres!$A$1:$I$89,3,0)*VLOOKUP('Données projet'!$B$9,Paramètres!$A$1:$I$89,5,0)</f>
        <v>60.240193085426824</v>
      </c>
      <c r="P25" s="14">
        <f t="shared" si="33"/>
        <v>17.228983232649188</v>
      </c>
      <c r="Q25" s="22">
        <f t="shared" si="2"/>
        <v>134.92548208731571</v>
      </c>
      <c r="R25" s="62">
        <f t="shared" si="0"/>
        <v>356.10639599078411</v>
      </c>
      <c r="S25" s="62">
        <f ca="1">AVERAGE(OFFSET($R$3,0,0,'Données projet'!$E$9+1,1))-AVERAGE(OFFSET($H$3,0,0,'Données projet'!$E$9+1,1))</f>
        <v>349.46033149388688</v>
      </c>
      <c r="T25" s="62">
        <f t="shared" si="34"/>
        <v>405.30585610371702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6.2</v>
      </c>
      <c r="AI25" s="14">
        <f>IF('Données projet'!$A$62&gt;35,AI24+AH25-AQ24,IF(A25&lt;'Données projet'!$A$62,$AF$205^A25,IF(A25='Données projet'!$A$62,'Données projet'!$B$62,AI24+AH25-AQ24)))</f>
        <v>130.4</v>
      </c>
      <c r="AJ25" s="14">
        <f>AI25*VLOOKUP('Données projet'!$B$10,Paramètres!$A$1:$I$89,3,0)*VLOOKUP('Données projet'!$B$10,Paramètres!$A$1:$I$89,5,0)</f>
        <v>61.027200000000008</v>
      </c>
      <c r="AK25" s="14">
        <f t="shared" si="35"/>
        <v>17.427720265428167</v>
      </c>
      <c r="AL25" s="22">
        <f t="shared" si="4"/>
        <v>136.64231946228742</v>
      </c>
      <c r="AM25" s="62">
        <f t="shared" si="5"/>
        <v>357.82323336575581</v>
      </c>
      <c r="AN25" s="62">
        <f ca="1">AVERAGE(OFFSET($AM$3,0,0,'Données projet'!$E$10+1,1))-AVERAGE(OFFSET($H$3,0,0,'Données projet'!$E$10+1,1))</f>
        <v>289.94963088302325</v>
      </c>
      <c r="AO25" s="62">
        <f t="shared" si="36"/>
        <v>242.84781402593839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525.52547414253058</v>
      </c>
      <c r="BI25" s="62">
        <f ca="1">AVERAGE(OFFSET($BH$3,0,0,'Données projet'!$E$11+1,1))-AVERAGE(OFFSET($H$3,0,0,'Données projet'!$E$11+1,1))</f>
        <v>189.09998601768521</v>
      </c>
      <c r="BJ25" s="62">
        <f t="shared" si="38"/>
        <v>458.38901659119472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10.4</v>
      </c>
      <c r="BY25" s="13">
        <f>IF('Données projet'!$A$114&gt;35,BY24+BX25-CG24,IF(A25&lt;'Données projet'!$A$114,$BV$205^A25,IF(A25='Données projet'!$A$114,'Données projet'!$B$114,BY24+BX25-CG24)))</f>
        <v>182.79999999999998</v>
      </c>
      <c r="BZ25" s="14">
        <f>BY25*VLOOKUP('Données projet'!$B$12,Paramètres!$A$1:$I$89,3,0)*VLOOKUP('Données projet'!$B$12,Paramètres!$A$1:$I$89,5,0)</f>
        <v>165.39743999999999</v>
      </c>
      <c r="CA25" s="14">
        <f t="shared" si="39"/>
        <v>42.057562385840804</v>
      </c>
      <c r="CB25" s="22">
        <f t="shared" si="10"/>
        <v>361.31746248867267</v>
      </c>
      <c r="CC25" s="62">
        <f t="shared" si="11"/>
        <v>582.49837639214104</v>
      </c>
      <c r="CD25" s="62">
        <f ca="1">AVERAGE(OFFSET($CC$3,0,0,'Données projet'!$E$12+1,1))-AVERAGE(OFFSET($H$3,0,0,'Données projet'!$E$12+1,1))</f>
        <v>376.68007030857598</v>
      </c>
      <c r="CE25" s="62">
        <f t="shared" si="40"/>
        <v>532.90758914457626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1.0382973456295734</v>
      </c>
      <c r="CL25" s="23">
        <f>EXP(-LN(2)/25)*CL24+(1-EXP(-LN(2)/25))/(LN(2)/25)*Calculateur!CG25*Calculateur!CI25*VLOOKUP('Données projet'!$B$12,Paramètres!$A$1:$I$89,3,0)*0.475*44/12</f>
        <v>1.5269294064193808</v>
      </c>
      <c r="CM25" s="23">
        <f>EXP(-LN(2)/2)*CM24+(1-EXP(-LN(2)/2))/(LN(2)/2)*CG25*CJ25*VLOOKUP('Données projet'!$B$12,Paramètres!$A$1:$I$89,3,0)*0.475*44/12</f>
        <v>5.9648280326116287</v>
      </c>
      <c r="CN25" s="24">
        <f t="shared" si="12"/>
        <v>8.5300547846605834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8.16</v>
      </c>
      <c r="N26" s="14">
        <f>IF('Données projet'!$A$36&gt;35,N25+M26-V25,IF(A26&lt;'Données projet'!$A$36,$K$205^A26,IF(A26='Données projet'!$A$36,'Données projet'!$B$36,N25+M26-V25)))</f>
        <v>133.30908699107715</v>
      </c>
      <c r="O26" s="14">
        <f>N26*VLOOKUP('Données projet'!$B$9,Paramètres!$A$1:$I$89,3,0)*VLOOKUP('Données projet'!$B$9,Paramètres!$A$1:$I$89,5,0)</f>
        <v>74.519779628012131</v>
      </c>
      <c r="P26" s="14">
        <f t="shared" si="33"/>
        <v>20.791758254233745</v>
      </c>
      <c r="Q26" s="22">
        <f t="shared" si="2"/>
        <v>166.00092847824487</v>
      </c>
      <c r="R26" s="62">
        <f t="shared" si="0"/>
        <v>389.48612518779134</v>
      </c>
      <c r="S26" s="62">
        <f ca="1">AVERAGE(OFFSET($R$3,0,0,'Données projet'!$E$9+1,1))-AVERAGE(OFFSET($H$3,0,0,'Données projet'!$E$9+1,1))</f>
        <v>349.46033149388688</v>
      </c>
      <c r="T26" s="62">
        <f t="shared" si="34"/>
        <v>405.30585610371702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6.2</v>
      </c>
      <c r="AI26" s="14">
        <f>IF('Données projet'!$A$62&gt;35,AI25+AH26-AQ25,IF(A26&lt;'Données projet'!$A$62,$AF$205^A26,IF(A26='Données projet'!$A$62,'Données projet'!$B$62,AI25+AH26-AQ25)))</f>
        <v>136.6</v>
      </c>
      <c r="AJ26" s="14">
        <f>AI26*VLOOKUP('Données projet'!$B$10,Paramètres!$A$1:$I$89,3,0)*VLOOKUP('Données projet'!$B$10,Paramètres!$A$1:$I$89,5,0)</f>
        <v>63.928799999999995</v>
      </c>
      <c r="AK26" s="14">
        <f t="shared" si="35"/>
        <v>18.157896596015895</v>
      </c>
      <c r="AL26" s="22">
        <f t="shared" si="4"/>
        <v>142.96766323806102</v>
      </c>
      <c r="AM26" s="62">
        <f t="shared" si="5"/>
        <v>366.45285994760752</v>
      </c>
      <c r="AN26" s="62">
        <f ca="1">AVERAGE(OFFSET($AM$3,0,0,'Données projet'!$E$10+1,1))-AVERAGE(OFFSET($H$3,0,0,'Données projet'!$E$10+1,1))</f>
        <v>289.94963088302325</v>
      </c>
      <c r="AO26" s="62">
        <f t="shared" si="36"/>
        <v>242.84781402593839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477.31601054676975</v>
      </c>
      <c r="BI26" s="62">
        <f ca="1">AVERAGE(OFFSET($BH$3,0,0,'Données projet'!$E$11+1,1))-AVERAGE(OFFSET($H$3,0,0,'Données projet'!$E$11+1,1))</f>
        <v>189.09998601768521</v>
      </c>
      <c r="BJ26" s="62">
        <f t="shared" si="38"/>
        <v>458.38901659119472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10.4</v>
      </c>
      <c r="BY26" s="13">
        <f>IF('Données projet'!$A$114&gt;35,BY25+BX26-CG25,IF(A26&lt;'Données projet'!$A$114,$BV$205^A26,IF(A26='Données projet'!$A$114,'Données projet'!$B$114,BY25+BX26-CG25)))</f>
        <v>193.2</v>
      </c>
      <c r="BZ26" s="14">
        <f>BY26*VLOOKUP('Données projet'!$B$12,Paramètres!$A$1:$I$89,3,0)*VLOOKUP('Données projet'!$B$12,Paramètres!$A$1:$I$89,5,0)</f>
        <v>174.80735999999999</v>
      </c>
      <c r="CA26" s="14">
        <f t="shared" si="39"/>
        <v>44.164958649772579</v>
      </c>
      <c r="CB26" s="22">
        <f t="shared" si="10"/>
        <v>381.37678831502052</v>
      </c>
      <c r="CC26" s="62">
        <f t="shared" si="11"/>
        <v>604.86198502456705</v>
      </c>
      <c r="CD26" s="62">
        <f ca="1">AVERAGE(OFFSET($CC$3,0,0,'Données projet'!$E$12+1,1))-AVERAGE(OFFSET($H$3,0,0,'Données projet'!$E$12+1,1))</f>
        <v>376.68007030857598</v>
      </c>
      <c r="CE26" s="62">
        <f t="shared" si="40"/>
        <v>532.90758914457626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1.0179369679806252</v>
      </c>
      <c r="CL26" s="23">
        <f>EXP(-LN(2)/25)*CL25+(1-EXP(-LN(2)/25))/(LN(2)/25)*Calculateur!CG26*Calculateur!CI26*VLOOKUP('Données projet'!$B$12,Paramètres!$A$1:$I$89,3,0)*0.475*44/12</f>
        <v>1.4851754415031151</v>
      </c>
      <c r="CM26" s="23">
        <f>EXP(-LN(2)/2)*CM25+(1-EXP(-LN(2)/2))/(LN(2)/2)*CG26*CJ26*VLOOKUP('Données projet'!$B$12,Paramètres!$A$1:$I$89,3,0)*0.475*44/12</f>
        <v>4.2177703504712962</v>
      </c>
      <c r="CN26" s="24">
        <f t="shared" si="12"/>
        <v>6.7208827599550363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8.16</v>
      </c>
      <c r="N27" s="14">
        <f>IF('Données projet'!$A$36&gt;35,N26+M27-V26,IF(A27&lt;'Données projet'!$A$36,$K$205^A27,IF(A27='Données projet'!$A$36,'Données projet'!$B$36,N26+M27-V26)))</f>
        <v>164.90922880839534</v>
      </c>
      <c r="O27" s="14">
        <f>N27*VLOOKUP('Données projet'!$B$9,Paramètres!$A$1:$I$89,3,0)*VLOOKUP('Données projet'!$B$9,Paramètres!$A$1:$I$89,5,0)</f>
        <v>92.184258903892996</v>
      </c>
      <c r="P27" s="14">
        <f t="shared" si="33"/>
        <v>25.091278194715933</v>
      </c>
      <c r="Q27" s="22">
        <f t="shared" si="2"/>
        <v>204.2548937800772</v>
      </c>
      <c r="R27" s="62">
        <f t="shared" si="0"/>
        <v>430.025601963697</v>
      </c>
      <c r="S27" s="62">
        <f ca="1">AVERAGE(OFFSET($R$3,0,0,'Données projet'!$E$9+1,1))-AVERAGE(OFFSET($H$3,0,0,'Données projet'!$E$9+1,1))</f>
        <v>349.46033149388688</v>
      </c>
      <c r="T27" s="62">
        <f t="shared" si="34"/>
        <v>405.30585610371702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6.2</v>
      </c>
      <c r="AI27" s="14">
        <f>IF('Données projet'!$A$62&gt;35,AI26+AH27-AQ26,IF(A27&lt;'Données projet'!$A$62,$AF$205^A27,IF(A27='Données projet'!$A$62,'Données projet'!$B$62,AI26+AH27-AQ26)))</f>
        <v>142.79999999999998</v>
      </c>
      <c r="AJ27" s="14">
        <f>AI27*VLOOKUP('Données projet'!$B$10,Paramètres!$A$1:$I$89,3,0)*VLOOKUP('Données projet'!$B$10,Paramètres!$A$1:$I$89,5,0)</f>
        <v>66.830399999999997</v>
      </c>
      <c r="AK27" s="14">
        <f t="shared" si="35"/>
        <v>18.884224063325359</v>
      </c>
      <c r="AL27" s="22">
        <f t="shared" si="4"/>
        <v>149.28630357695832</v>
      </c>
      <c r="AM27" s="62">
        <f t="shared" si="5"/>
        <v>375.05701176057812</v>
      </c>
      <c r="AN27" s="62">
        <f ca="1">AVERAGE(OFFSET($AM$3,0,0,'Données projet'!$E$10+1,1))-AVERAGE(OFFSET($H$3,0,0,'Données projet'!$E$10+1,1))</f>
        <v>289.94963088302325</v>
      </c>
      <c r="AO27" s="62">
        <f t="shared" si="36"/>
        <v>242.84781402593839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500.95474705289109</v>
      </c>
      <c r="BI27" s="62">
        <f ca="1">AVERAGE(OFFSET($BH$3,0,0,'Données projet'!$E$11+1,1))-AVERAGE(OFFSET($H$3,0,0,'Données projet'!$E$11+1,1))</f>
        <v>189.09998601768521</v>
      </c>
      <c r="BJ27" s="62">
        <f t="shared" si="38"/>
        <v>458.38901659119472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10.4</v>
      </c>
      <c r="BY27" s="13">
        <f>IF('Données projet'!$A$114&gt;35,BY26+BX27-CG26,IF(A27&lt;'Données projet'!$A$114,$BV$205^A27,IF(A27='Données projet'!$A$114,'Données projet'!$B$114,BY26+BX27-CG26)))</f>
        <v>203.6</v>
      </c>
      <c r="BZ27" s="14">
        <f>BY27*VLOOKUP('Données projet'!$B$12,Paramètres!$A$1:$I$89,3,0)*VLOOKUP('Données projet'!$B$12,Paramètres!$A$1:$I$89,5,0)</f>
        <v>184.21727999999999</v>
      </c>
      <c r="CA27" s="14">
        <f t="shared" si="39"/>
        <v>46.25918487744358</v>
      </c>
      <c r="CB27" s="22">
        <f t="shared" si="10"/>
        <v>401.41317632821421</v>
      </c>
      <c r="CC27" s="62">
        <f t="shared" si="11"/>
        <v>627.18388451183398</v>
      </c>
      <c r="CD27" s="62">
        <f ca="1">AVERAGE(OFFSET($CC$3,0,0,'Données projet'!$E$12+1,1))-AVERAGE(OFFSET($H$3,0,0,'Données projet'!$E$12+1,1))</f>
        <v>376.68007030857598</v>
      </c>
      <c r="CE27" s="62">
        <f t="shared" si="40"/>
        <v>532.90758914457626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0.99797584491876878</v>
      </c>
      <c r="CL27" s="23">
        <f>EXP(-LN(2)/25)*CL26+(1-EXP(-LN(2)/25))/(LN(2)/25)*Calculateur!CG27*Calculateur!CI27*VLOOKUP('Données projet'!$B$12,Paramètres!$A$1:$I$89,3,0)*0.475*44/12</f>
        <v>1.4445632409532303</v>
      </c>
      <c r="CM27" s="23">
        <f>EXP(-LN(2)/2)*CM26+(1-EXP(-LN(2)/2))/(LN(2)/2)*CG27*CJ27*VLOOKUP('Données projet'!$B$12,Paramètres!$A$1:$I$89,3,0)*0.475*44/12</f>
        <v>2.9824140163058148</v>
      </c>
      <c r="CN27" s="24">
        <f t="shared" si="12"/>
        <v>5.4249531021778141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8.16</v>
      </c>
      <c r="M28" s="13">
        <f t="array" ref="M28">INDEX(L:L,MIN(IF(ISNUMBER(L28:L224),ROW(L28:L224),"")))</f>
        <v>8.16</v>
      </c>
      <c r="N28" s="14">
        <f>IF('Données projet'!$A$36&gt;35,N27+M28-V27,IF(A28&lt;'Données projet'!$A$36,$K$205^A28,IF(A28='Données projet'!$A$36,'Données projet'!$B$36,N27+M28-V27)))</f>
        <v>204</v>
      </c>
      <c r="O28" s="14">
        <f>N28*VLOOKUP('Données projet'!$B$9,Paramètres!$A$1:$I$89,3,0)*VLOOKUP('Données projet'!$B$9,Paramètres!$A$1:$I$89,5,0)</f>
        <v>114.036</v>
      </c>
      <c r="P28" s="14">
        <f t="shared" si="33"/>
        <v>30.279894261296121</v>
      </c>
      <c r="Q28" s="22">
        <f t="shared" si="2"/>
        <v>251.35018250509077</v>
      </c>
      <c r="R28" s="62">
        <f t="shared" si="0"/>
        <v>479.38795647142285</v>
      </c>
      <c r="S28" s="62">
        <f ca="1">AVERAGE(OFFSET($R$3,0,0,'Données projet'!$E$9+1,1))-AVERAGE(OFFSET($H$3,0,0,'Données projet'!$E$9+1,1))</f>
        <v>349.46033149388688</v>
      </c>
      <c r="T28" s="62">
        <f t="shared" si="34"/>
        <v>405.30585610371702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8.8608499604421223</v>
      </c>
      <c r="AC28" s="24">
        <f t="shared" si="3"/>
        <v>8.8608499604421223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6.2</v>
      </c>
      <c r="AI28" s="14">
        <f>IF('Données projet'!$A$62&gt;35,AI27+AH28-AQ27,IF(A28&lt;'Données projet'!$A$62,$AF$205^A28,IF(A28='Données projet'!$A$62,'Données projet'!$B$62,AI27+AH28-AQ27)))</f>
        <v>148.99999999999997</v>
      </c>
      <c r="AJ28" s="14">
        <f>AI28*VLOOKUP('Données projet'!$B$10,Paramètres!$A$1:$I$89,3,0)*VLOOKUP('Données projet'!$B$10,Paramètres!$A$1:$I$89,5,0)</f>
        <v>69.731999999999985</v>
      </c>
      <c r="AK28" s="14">
        <f t="shared" si="35"/>
        <v>19.606888874982506</v>
      </c>
      <c r="AL28" s="22">
        <f t="shared" si="4"/>
        <v>155.59856479059451</v>
      </c>
      <c r="AM28" s="62">
        <f t="shared" si="5"/>
        <v>383.63633875692665</v>
      </c>
      <c r="AN28" s="62">
        <f ca="1">AVERAGE(OFFSET($AM$3,0,0,'Données projet'!$E$10+1,1))-AVERAGE(OFFSET($H$3,0,0,'Données projet'!$E$10+1,1))</f>
        <v>289.94963088302325</v>
      </c>
      <c r="AO28" s="62">
        <f t="shared" si="36"/>
        <v>242.84781402593839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524.53782507697167</v>
      </c>
      <c r="BI28" s="62">
        <f ca="1">AVERAGE(OFFSET($BH$3,0,0,'Données projet'!$E$11+1,1))-AVERAGE(OFFSET($H$3,0,0,'Données projet'!$E$11+1,1))</f>
        <v>189.09998601768521</v>
      </c>
      <c r="BJ28" s="62">
        <f t="shared" si="38"/>
        <v>458.38901659119472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214</v>
      </c>
      <c r="BW28" s="13">
        <f>VLOOKUP(A28,'Données projet'!$A$113:$I$133,9,0)</f>
        <v>10.4</v>
      </c>
      <c r="BX28" s="13">
        <f t="array" ref="BX28">INDEX(BW:BW,MIN(IF(ISNUMBER(BW28:BW224),ROW(BW28:BW224),"")))</f>
        <v>10.4</v>
      </c>
      <c r="BY28" s="13">
        <f>IF('Données projet'!$A$114&gt;35,BY27+BX28-CG27,IF(A28&lt;'Données projet'!$A$114,$BV$205^A28,IF(A28='Données projet'!$A$114,'Données projet'!$B$114,BY27+BX28-CG27)))</f>
        <v>214</v>
      </c>
      <c r="BZ28" s="14">
        <f>BY28*VLOOKUP('Données projet'!$B$12,Paramètres!$A$1:$I$89,3,0)*VLOOKUP('Données projet'!$B$12,Paramètres!$A$1:$I$89,5,0)</f>
        <v>193.62719999999999</v>
      </c>
      <c r="CA28" s="14">
        <f t="shared" si="39"/>
        <v>48.340990547231193</v>
      </c>
      <c r="CB28" s="22">
        <f t="shared" si="10"/>
        <v>421.42793186976093</v>
      </c>
      <c r="CC28" s="62">
        <f t="shared" si="11"/>
        <v>649.46570583609309</v>
      </c>
      <c r="CD28" s="62">
        <f ca="1">AVERAGE(OFFSET($CC$3,0,0,'Données projet'!$E$12+1,1))-AVERAGE(OFFSET($H$3,0,0,'Données projet'!$E$12+1,1))</f>
        <v>376.68007030857598</v>
      </c>
      <c r="CE28" s="62">
        <f t="shared" si="40"/>
        <v>532.90758914457626</v>
      </c>
      <c r="CF28" s="16">
        <f>IF(ISNA(VLOOKUP(A28,'Données projet'!$A$113:$I$133,3,0)),0,VLOOKUP(A28,'Données projet'!$A$113:$I$133,3,0))</f>
        <v>5</v>
      </c>
      <c r="CG28" s="16">
        <f>IF(ISNA(VLOOKUP(A28,'Données projet'!$A$113:$I$133,4,0)),0,VLOOKUP(A28,'Données projet'!$A$113:$I$133,4,0))</f>
        <v>14</v>
      </c>
      <c r="CH28" s="17">
        <f>IF(ISNA(VLOOKUP(A28,'Données projet'!$A$113:$I$133,5,0)),0%,VLOOKUP(A28,'Données projet'!$A$113:$I$133,5,0)*VLOOKUP('Données projet'!$B$12,Paramètres!$A$1:$I$89,7,0))</f>
        <v>0.09</v>
      </c>
      <c r="CI28" s="17">
        <f>IF(ISNA(VLOOKUP(A28,'Données projet'!$A$113:$I$133,6,0)),0%,VLOOKUP(A28,'Données projet'!$A$113:$I$133,6,0)*VLOOKUP('Données projet'!$B$12,Paramètres!$A$1:$I$89,7,0))</f>
        <v>0.06</v>
      </c>
      <c r="CJ28" s="17">
        <f>IF(ISNA(VLOOKUP(A28,'Données projet'!$A$113:$I$133,7,0)),0%,VLOOKUP(A28,'Données projet'!$A$113:$I$133,7,0))</f>
        <v>0.5</v>
      </c>
      <c r="CK28" s="23">
        <f>EXP(-LN(2)/35)*CK27+(1-EXP(-LN(2)/35))/(LN(2)/35)*CG28*CH28*VLOOKUP('Données projet'!$B$12,Paramètres!$A$1:$I$89,3,0)*0.475*44/12</f>
        <v>2.2386954425508532</v>
      </c>
      <c r="CL28" s="23">
        <f>EXP(-LN(2)/25)*CL27+(1-EXP(-LN(2)/25))/(LN(2)/25)*Calculateur!CG28*Calculateur!CI28*VLOOKUP('Données projet'!$B$12,Paramètres!$A$1:$I$89,3,0)*0.475*44/12</f>
        <v>2.2419462872181044</v>
      </c>
      <c r="CM28" s="23">
        <f>EXP(-LN(2)/2)*CM27+(1-EXP(-LN(2)/2))/(LN(2)/2)*CG28*CJ28*VLOOKUP('Données projet'!$B$12,Paramètres!$A$1:$I$89,3,0)*0.475*44/12</f>
        <v>8.0848072415803358</v>
      </c>
      <c r="CN28" s="24">
        <f t="shared" si="12"/>
        <v>12.565448971349294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19.2</v>
      </c>
      <c r="N29" s="14">
        <f>IF('Données projet'!$A$36&gt;35,N28+M29-V28,IF(A29&lt;'Données projet'!$A$36,$K$205^A29,IF(A29='Données projet'!$A$36,'Données projet'!$B$36,N28+M29-V28)))</f>
        <v>209.2</v>
      </c>
      <c r="O29" s="14">
        <f>N29*VLOOKUP('Données projet'!$B$9,Paramètres!$A$1:$I$89,3,0)*VLOOKUP('Données projet'!$B$9,Paramètres!$A$1:$I$89,5,0)</f>
        <v>116.94279999999999</v>
      </c>
      <c r="P29" s="14">
        <f t="shared" si="33"/>
        <v>30.960890181326164</v>
      </c>
      <c r="Q29" s="22">
        <f t="shared" si="2"/>
        <v>257.59892706580973</v>
      </c>
      <c r="R29" s="62">
        <f t="shared" si="0"/>
        <v>487.88564111499988</v>
      </c>
      <c r="S29" s="62">
        <f ca="1">AVERAGE(OFFSET($R$3,0,0,'Données projet'!$E$9+1,1))-AVERAGE(OFFSET($H$3,0,0,'Données projet'!$E$9+1,1))</f>
        <v>349.46033149388688</v>
      </c>
      <c r="T29" s="62">
        <f t="shared" si="34"/>
        <v>405.30585610371702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6.2655670941051769</v>
      </c>
      <c r="AC29" s="24">
        <f t="shared" si="3"/>
        <v>6.2655670941051769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6.2</v>
      </c>
      <c r="AI29" s="14">
        <f>IF('Données projet'!$A$62&gt;35,AI28+AH29-AQ28,IF(A29&lt;'Données projet'!$A$62,$AF$205^A29,IF(A29='Données projet'!$A$62,'Données projet'!$B$62,AI28+AH29-AQ28)))</f>
        <v>155.19999999999996</v>
      </c>
      <c r="AJ29" s="14">
        <f>AI29*VLOOKUP('Données projet'!$B$10,Paramètres!$A$1:$I$89,3,0)*VLOOKUP('Données projet'!$B$10,Paramètres!$A$1:$I$89,5,0)</f>
        <v>72.633599999999987</v>
      </c>
      <c r="AK29" s="14">
        <f t="shared" si="35"/>
        <v>20.326060865398965</v>
      </c>
      <c r="AL29" s="22">
        <f t="shared" si="4"/>
        <v>161.90474267390317</v>
      </c>
      <c r="AM29" s="62">
        <f t="shared" si="5"/>
        <v>392.19145672309332</v>
      </c>
      <c r="AN29" s="62">
        <f ca="1">AVERAGE(OFFSET($AM$3,0,0,'Données projet'!$E$10+1,1))-AVERAGE(OFFSET($H$3,0,0,'Données projet'!$E$10+1,1))</f>
        <v>289.94963088302325</v>
      </c>
      <c r="AO29" s="62">
        <f t="shared" si="36"/>
        <v>242.84781402593839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548.06861503713844</v>
      </c>
      <c r="BI29" s="62">
        <f ca="1">AVERAGE(OFFSET($BH$3,0,0,'Données projet'!$E$11+1,1))-AVERAGE(OFFSET($H$3,0,0,'Données projet'!$E$11+1,1))</f>
        <v>189.09998601768521</v>
      </c>
      <c r="BJ29" s="62">
        <f t="shared" si="38"/>
        <v>458.38901659119472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8.6</v>
      </c>
      <c r="BY29" s="13">
        <f>IF('Données projet'!$A$114&gt;35,BY28+BX29-CG28,IF(A29&lt;'Données projet'!$A$114,$BV$205^A29,IF(A29='Données projet'!$A$114,'Données projet'!$B$114,BY28+BX29-CG28)))</f>
        <v>208.6</v>
      </c>
      <c r="BZ29" s="14">
        <f>BY29*VLOOKUP('Données projet'!$B$12,Paramètres!$A$1:$I$89,3,0)*VLOOKUP('Données projet'!$B$12,Paramètres!$A$1:$I$89,5,0)</f>
        <v>188.74127999999999</v>
      </c>
      <c r="CA29" s="14">
        <f t="shared" si="39"/>
        <v>47.261560168122358</v>
      </c>
      <c r="CB29" s="22">
        <f t="shared" si="10"/>
        <v>411.03827995947972</v>
      </c>
      <c r="CC29" s="62">
        <f t="shared" si="11"/>
        <v>641.32499400866993</v>
      </c>
      <c r="CD29" s="62">
        <f ca="1">AVERAGE(OFFSET($CC$3,0,0,'Données projet'!$E$12+1,1))-AVERAGE(OFFSET($H$3,0,0,'Données projet'!$E$12+1,1))</f>
        <v>376.68007030857598</v>
      </c>
      <c r="CE29" s="62">
        <f t="shared" si="40"/>
        <v>532.90758914457626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2.1947959903918219</v>
      </c>
      <c r="CL29" s="23">
        <f>EXP(-LN(2)/25)*CL28+(1-EXP(-LN(2)/25))/(LN(2)/25)*Calculateur!CG29*Calculateur!CI29*VLOOKUP('Données projet'!$B$12,Paramètres!$A$1:$I$89,3,0)*0.475*44/12</f>
        <v>2.1806401480952942</v>
      </c>
      <c r="CM29" s="23">
        <f>EXP(-LN(2)/2)*CM28+(1-EXP(-LN(2)/2))/(LN(2)/2)*CG29*CJ29*VLOOKUP('Données projet'!$B$12,Paramètres!$A$1:$I$89,3,0)*0.475*44/12</f>
        <v>5.7168220251075619</v>
      </c>
      <c r="CN29" s="24">
        <f t="shared" si="12"/>
        <v>10.092258163594678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19.2</v>
      </c>
      <c r="N30" s="14">
        <f>IF('Données projet'!$A$36&gt;35,N29+M30-V29,IF(A30&lt;'Données projet'!$A$36,$K$205^A30,IF(A30='Données projet'!$A$36,'Données projet'!$B$36,N29+M30-V29)))</f>
        <v>228.39999999999998</v>
      </c>
      <c r="O30" s="14">
        <f>N30*VLOOKUP('Données projet'!$B$9,Paramètres!$A$1:$I$89,3,0)*VLOOKUP('Données projet'!$B$9,Paramètres!$A$1:$I$89,5,0)</f>
        <v>127.67559999999999</v>
      </c>
      <c r="P30" s="14">
        <f t="shared" si="33"/>
        <v>33.458696068482496</v>
      </c>
      <c r="Q30" s="22">
        <f t="shared" si="2"/>
        <v>280.64223231927366</v>
      </c>
      <c r="R30" s="62">
        <f t="shared" si="0"/>
        <v>513.16007519183722</v>
      </c>
      <c r="S30" s="62">
        <f ca="1">AVERAGE(OFFSET($R$3,0,0,'Données projet'!$E$9+1,1))-AVERAGE(OFFSET($H$3,0,0,'Données projet'!$E$9+1,1))</f>
        <v>349.46033149388688</v>
      </c>
      <c r="T30" s="62">
        <f t="shared" si="34"/>
        <v>405.30585610371702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4.430424980221062</v>
      </c>
      <c r="AC30" s="24">
        <f t="shared" si="3"/>
        <v>4.430424980221062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6.2</v>
      </c>
      <c r="AI30" s="14">
        <f>IF('Données projet'!$A$62&gt;35,AI29+AH30-AQ29,IF(A30&lt;'Données projet'!$A$62,$AF$205^A30,IF(A30='Données projet'!$A$62,'Données projet'!$B$62,AI29+AH30-AQ29)))</f>
        <v>161.39999999999995</v>
      </c>
      <c r="AJ30" s="14">
        <f>AI30*VLOOKUP('Données projet'!$B$10,Paramètres!$A$1:$I$89,3,0)*VLOOKUP('Données projet'!$B$10,Paramètres!$A$1:$I$89,5,0)</f>
        <v>75.535199999999975</v>
      </c>
      <c r="AK30" s="14">
        <f t="shared" si="35"/>
        <v>21.041895531667382</v>
      </c>
      <c r="AL30" s="22">
        <f t="shared" si="4"/>
        <v>168.20510805098732</v>
      </c>
      <c r="AM30" s="62">
        <f t="shared" si="5"/>
        <v>400.7229509235508</v>
      </c>
      <c r="AN30" s="62">
        <f ca="1">AVERAGE(OFFSET($AM$3,0,0,'Données projet'!$E$10+1,1))-AVERAGE(OFFSET($H$3,0,0,'Données projet'!$E$10+1,1))</f>
        <v>289.94963088302325</v>
      </c>
      <c r="AO30" s="62">
        <f t="shared" si="36"/>
        <v>242.84781402593839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571.55003986997372</v>
      </c>
      <c r="BI30" s="62">
        <f ca="1">AVERAGE(OFFSET($BH$3,0,0,'Données projet'!$E$11+1,1))-AVERAGE(OFFSET($H$3,0,0,'Données projet'!$E$11+1,1))</f>
        <v>189.09998601768521</v>
      </c>
      <c r="BJ30" s="62">
        <f t="shared" si="38"/>
        <v>458.38901659119472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8.6</v>
      </c>
      <c r="BY30" s="13">
        <f>IF('Données projet'!$A$114&gt;35,BY29+BX30-CG29,IF(A30&lt;'Données projet'!$A$114,$BV$205^A30,IF(A30='Données projet'!$A$114,'Données projet'!$B$114,BY29+BX30-CG29)))</f>
        <v>217.2</v>
      </c>
      <c r="BZ30" s="14">
        <f>BY30*VLOOKUP('Données projet'!$B$12,Paramètres!$A$1:$I$89,3,0)*VLOOKUP('Données projet'!$B$12,Paramètres!$A$1:$I$89,5,0)</f>
        <v>196.52255999999997</v>
      </c>
      <c r="CA30" s="14">
        <f t="shared" si="39"/>
        <v>48.979153257338155</v>
      </c>
      <c r="CB30" s="22">
        <f t="shared" si="10"/>
        <v>427.58215058986383</v>
      </c>
      <c r="CC30" s="62">
        <f t="shared" si="11"/>
        <v>660.09999346242739</v>
      </c>
      <c r="CD30" s="62">
        <f ca="1">AVERAGE(OFFSET($CC$3,0,0,'Données projet'!$E$12+1,1))-AVERAGE(OFFSET($H$3,0,0,'Données projet'!$E$12+1,1))</f>
        <v>376.68007030857598</v>
      </c>
      <c r="CE30" s="62">
        <f t="shared" si="40"/>
        <v>532.90758914457626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2.1517573797136076</v>
      </c>
      <c r="CL30" s="23">
        <f>EXP(-LN(2)/25)*CL29+(1-EXP(-LN(2)/25))/(LN(2)/25)*Calculateur!CG30*Calculateur!CI30*VLOOKUP('Données projet'!$B$12,Paramètres!$A$1:$I$89,3,0)*0.475*44/12</f>
        <v>2.121010428570747</v>
      </c>
      <c r="CM30" s="23">
        <f>EXP(-LN(2)/2)*CM29+(1-EXP(-LN(2)/2))/(LN(2)/2)*CG30*CJ30*VLOOKUP('Données projet'!$B$12,Paramètres!$A$1:$I$89,3,0)*0.475*44/12</f>
        <v>4.0424036207901688</v>
      </c>
      <c r="CN30" s="24">
        <f t="shared" si="12"/>
        <v>8.3151714290745247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19.2</v>
      </c>
      <c r="N31" s="14">
        <f>IF('Données projet'!$A$36&gt;35,N30+M31-V30,IF(A31&lt;'Données projet'!$A$36,$K$205^A31,IF(A31='Données projet'!$A$36,'Données projet'!$B$36,N30+M31-V30)))</f>
        <v>247.59999999999997</v>
      </c>
      <c r="O31" s="14">
        <f>N31*VLOOKUP('Données projet'!$B$9,Paramètres!$A$1:$I$89,3,0)*VLOOKUP('Données projet'!$B$9,Paramètres!$A$1:$I$89,5,0)</f>
        <v>138.4084</v>
      </c>
      <c r="P31" s="14">
        <f t="shared" si="33"/>
        <v>35.932150011539875</v>
      </c>
      <c r="Q31" s="22">
        <f t="shared" si="2"/>
        <v>303.64312460343194</v>
      </c>
      <c r="R31" s="62">
        <f t="shared" si="0"/>
        <v>538.37459402541606</v>
      </c>
      <c r="S31" s="62">
        <f ca="1">AVERAGE(OFFSET($R$3,0,0,'Données projet'!$E$9+1,1))-AVERAGE(OFFSET($H$3,0,0,'Données projet'!$E$9+1,1))</f>
        <v>349.46033149388688</v>
      </c>
      <c r="T31" s="62">
        <f t="shared" si="34"/>
        <v>405.30585610371702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3.1327835470525889</v>
      </c>
      <c r="AC31" s="24">
        <f t="shared" si="3"/>
        <v>3.1327835470525889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6.2</v>
      </c>
      <c r="AI31" s="14">
        <f>IF('Données projet'!$A$62&gt;35,AI30+AH31-AQ30,IF(A31&lt;'Données projet'!$A$62,$AF$205^A31,IF(A31='Données projet'!$A$62,'Données projet'!$B$62,AI30+AH31-AQ30)))</f>
        <v>167.59999999999994</v>
      </c>
      <c r="AJ31" s="14">
        <f>AI31*VLOOKUP('Données projet'!$B$10,Paramètres!$A$1:$I$89,3,0)*VLOOKUP('Données projet'!$B$10,Paramètres!$A$1:$I$89,5,0)</f>
        <v>78.436799999999977</v>
      </c>
      <c r="AK31" s="14">
        <f t="shared" si="35"/>
        <v>21.75453574783165</v>
      </c>
      <c r="AL31" s="22">
        <f t="shared" si="4"/>
        <v>174.49990976080673</v>
      </c>
      <c r="AM31" s="62">
        <f t="shared" si="5"/>
        <v>409.23137918279082</v>
      </c>
      <c r="AN31" s="62">
        <f ca="1">AVERAGE(OFFSET($AM$3,0,0,'Données projet'!$E$10+1,1))-AVERAGE(OFFSET($H$3,0,0,'Données projet'!$E$10+1,1))</f>
        <v>289.94963088302325</v>
      </c>
      <c r="AO31" s="62">
        <f t="shared" si="36"/>
        <v>242.84781402593839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594.98466341986409</v>
      </c>
      <c r="BI31" s="62">
        <f ca="1">AVERAGE(OFFSET($BH$3,0,0,'Données projet'!$E$11+1,1))-AVERAGE(OFFSET($H$3,0,0,'Données projet'!$E$11+1,1))</f>
        <v>189.09998601768521</v>
      </c>
      <c r="BJ31" s="62">
        <f t="shared" si="38"/>
        <v>458.38901659119472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8.6</v>
      </c>
      <c r="BY31" s="13">
        <f>IF('Données projet'!$A$114&gt;35,BY30+BX31-CG30,IF(A31&lt;'Données projet'!$A$114,$BV$205^A31,IF(A31='Données projet'!$A$114,'Données projet'!$B$114,BY30+BX31-CG30)))</f>
        <v>225.79999999999998</v>
      </c>
      <c r="BZ31" s="14">
        <f>BY31*VLOOKUP('Données projet'!$B$12,Paramètres!$A$1:$I$89,3,0)*VLOOKUP('Données projet'!$B$12,Paramètres!$A$1:$I$89,5,0)</f>
        <v>204.30383999999995</v>
      </c>
      <c r="CA31" s="14">
        <f t="shared" si="39"/>
        <v>50.688846269088558</v>
      </c>
      <c r="CB31" s="22">
        <f t="shared" si="10"/>
        <v>444.11226191866245</v>
      </c>
      <c r="CC31" s="62">
        <f t="shared" si="11"/>
        <v>678.84373134064651</v>
      </c>
      <c r="CD31" s="62">
        <f ca="1">AVERAGE(OFFSET($CC$3,0,0,'Données projet'!$E$12+1,1))-AVERAGE(OFFSET($H$3,0,0,'Données projet'!$E$12+1,1))</f>
        <v>376.68007030857598</v>
      </c>
      <c r="CE31" s="62">
        <f t="shared" si="40"/>
        <v>532.90758914457626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2.1095627299398325</v>
      </c>
      <c r="CL31" s="23">
        <f>EXP(-LN(2)/25)*CL30+(1-EXP(-LN(2)/25))/(LN(2)/25)*Calculateur!CG31*Calculateur!CI31*VLOOKUP('Données projet'!$B$12,Paramètres!$A$1:$I$89,3,0)*0.475*44/12</f>
        <v>2.0630112868623889</v>
      </c>
      <c r="CM31" s="23">
        <f>EXP(-LN(2)/2)*CM30+(1-EXP(-LN(2)/2))/(LN(2)/2)*CG31*CJ31*VLOOKUP('Données projet'!$B$12,Paramètres!$A$1:$I$89,3,0)*0.475*44/12</f>
        <v>2.8584110125537814</v>
      </c>
      <c r="CN31" s="24">
        <f t="shared" si="12"/>
        <v>7.0309850293560023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19.2</v>
      </c>
      <c r="N32" s="14">
        <f>IF('Données projet'!$A$36&gt;35,N31+M32-V31,IF(A32&lt;'Données projet'!$A$36,$K$205^A32,IF(A32='Données projet'!$A$36,'Données projet'!$B$36,N31+M32-V31)))</f>
        <v>266.79999999999995</v>
      </c>
      <c r="O32" s="14">
        <f>N32*VLOOKUP('Données projet'!$B$9,Paramètres!$A$1:$I$89,3,0)*VLOOKUP('Données projet'!$B$9,Paramètres!$A$1:$I$89,5,0)</f>
        <v>149.14119999999997</v>
      </c>
      <c r="P32" s="14">
        <f t="shared" si="33"/>
        <v>38.383355068273794</v>
      </c>
      <c r="Q32" s="22">
        <f t="shared" si="2"/>
        <v>326.60526674391014</v>
      </c>
      <c r="R32" s="62">
        <f t="shared" si="0"/>
        <v>563.53316406668591</v>
      </c>
      <c r="S32" s="62">
        <f ca="1">AVERAGE(OFFSET($R$3,0,0,'Données projet'!$E$9+1,1))-AVERAGE(OFFSET($H$3,0,0,'Données projet'!$E$9+1,1))</f>
        <v>349.46033149388688</v>
      </c>
      <c r="T32" s="62">
        <f t="shared" si="34"/>
        <v>405.30585610371702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2.2152124901105315</v>
      </c>
      <c r="AC32" s="24">
        <f t="shared" si="3"/>
        <v>2.2152124901105315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6.2</v>
      </c>
      <c r="AI32" s="14">
        <f>IF('Données projet'!$A$62&gt;35,AI31+AH32-AQ31,IF(A32&lt;'Données projet'!$A$62,$AF$205^A32,IF(A32='Données projet'!$A$62,'Données projet'!$B$62,AI31+AH32-AQ31)))</f>
        <v>173.79999999999993</v>
      </c>
      <c r="AJ32" s="14">
        <f>AI32*VLOOKUP('Données projet'!$B$10,Paramètres!$A$1:$I$89,3,0)*VLOOKUP('Données projet'!$B$10,Paramètres!$A$1:$I$89,5,0)</f>
        <v>81.338399999999965</v>
      </c>
      <c r="AK32" s="14">
        <f t="shared" si="35"/>
        <v>22.464113218363337</v>
      </c>
      <c r="AL32" s="22">
        <f t="shared" si="4"/>
        <v>180.78937718864941</v>
      </c>
      <c r="AM32" s="62">
        <f t="shared" si="5"/>
        <v>417.71727451142522</v>
      </c>
      <c r="AN32" s="62">
        <f ca="1">AVERAGE(OFFSET($AM$3,0,0,'Données projet'!$E$10+1,1))-AVERAGE(OFFSET($H$3,0,0,'Données projet'!$E$10+1,1))</f>
        <v>289.94963088302325</v>
      </c>
      <c r="AO32" s="62">
        <f t="shared" si="36"/>
        <v>242.84781402593839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618.37475691759983</v>
      </c>
      <c r="BI32" s="62">
        <f ca="1">AVERAGE(OFFSET($BH$3,0,0,'Données projet'!$E$11+1,1))-AVERAGE(OFFSET($H$3,0,0,'Données projet'!$E$11+1,1))</f>
        <v>189.09998601768521</v>
      </c>
      <c r="BJ32" s="62">
        <f t="shared" si="38"/>
        <v>458.38901659119472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8.6</v>
      </c>
      <c r="BY32" s="13">
        <f>IF('Données projet'!$A$114&gt;35,BY31+BX32-CG31,IF(A32&lt;'Données projet'!$A$114,$BV$205^A32,IF(A32='Données projet'!$A$114,'Données projet'!$B$114,BY31+BX32-CG31)))</f>
        <v>234.39999999999998</v>
      </c>
      <c r="BZ32" s="14">
        <f>BY32*VLOOKUP('Données projet'!$B$12,Paramètres!$A$1:$I$89,3,0)*VLOOKUP('Données projet'!$B$12,Paramètres!$A$1:$I$89,5,0)</f>
        <v>212.08511999999996</v>
      </c>
      <c r="CA32" s="14">
        <f t="shared" si="39"/>
        <v>52.390974537063087</v>
      </c>
      <c r="CB32" s="22">
        <f t="shared" si="10"/>
        <v>460.62919798538474</v>
      </c>
      <c r="CC32" s="62">
        <f t="shared" si="11"/>
        <v>697.55709530816057</v>
      </c>
      <c r="CD32" s="62">
        <f ca="1">AVERAGE(OFFSET($CC$3,0,0,'Données projet'!$E$12+1,1))-AVERAGE(OFFSET($H$3,0,0,'Données projet'!$E$12+1,1))</f>
        <v>376.68007030857598</v>
      </c>
      <c r="CE32" s="62">
        <f t="shared" si="40"/>
        <v>532.90758914457626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2.0681954915119261</v>
      </c>
      <c r="CL32" s="23">
        <f>EXP(-LN(2)/25)*CL31+(1-EXP(-LN(2)/25))/(LN(2)/25)*Calculateur!CG32*Calculateur!CI32*VLOOKUP('Données projet'!$B$12,Paramètres!$A$1:$I$89,3,0)*0.475*44/12</f>
        <v>2.0065981347340882</v>
      </c>
      <c r="CM32" s="23">
        <f>EXP(-LN(2)/2)*CM31+(1-EXP(-LN(2)/2))/(LN(2)/2)*CG32*CJ32*VLOOKUP('Données projet'!$B$12,Paramètres!$A$1:$I$89,3,0)*0.475*44/12</f>
        <v>2.0212018103950844</v>
      </c>
      <c r="CN32" s="24">
        <f t="shared" si="12"/>
        <v>6.0959954366410987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286</v>
      </c>
      <c r="L33" s="13">
        <f>VLOOKUP(A33,'Données projet'!$A$35:$I$55,9,0)</f>
        <v>19.2</v>
      </c>
      <c r="M33" s="13">
        <f t="array" ref="M33">INDEX(L:L,MIN(IF(ISNUMBER(L33:L229),ROW(L33:L229),"")))</f>
        <v>19.2</v>
      </c>
      <c r="N33" s="14">
        <f>IF('Données projet'!$A$36&gt;35,N32+M33-V32,IF(A33&lt;'Données projet'!$A$36,$K$205^A33,IF(A33='Données projet'!$A$36,'Données projet'!$B$36,N32+M33-V32)))</f>
        <v>285.99999999999994</v>
      </c>
      <c r="O33" s="14">
        <f>N33*VLOOKUP('Données projet'!$B$9,Paramètres!$A$1:$I$89,3,0)*VLOOKUP('Données projet'!$B$9,Paramètres!$A$1:$I$89,5,0)</f>
        <v>159.87399999999997</v>
      </c>
      <c r="P33" s="14">
        <f t="shared" si="33"/>
        <v>40.81409445206225</v>
      </c>
      <c r="Q33" s="22">
        <f t="shared" si="2"/>
        <v>349.53176450400838</v>
      </c>
      <c r="R33" s="62">
        <f t="shared" si="0"/>
        <v>588.63918943705039</v>
      </c>
      <c r="S33" s="62">
        <f ca="1">AVERAGE(OFFSET($R$3,0,0,'Données projet'!$E$9+1,1))-AVERAGE(OFFSET($H$3,0,0,'Données projet'!$E$9+1,1))</f>
        <v>349.46033149388688</v>
      </c>
      <c r="T33" s="62">
        <f t="shared" si="34"/>
        <v>405.30585610371702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42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28.148941654852663</v>
      </c>
      <c r="AC33" s="24">
        <f t="shared" si="3"/>
        <v>28.148941654852663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6.2</v>
      </c>
      <c r="AH33" s="13">
        <f t="array" ref="AH33">INDEX(AG:AG,MIN(IF(ISNUMBER(AG33:AG229),ROW(AG33:AG229),"")))</f>
        <v>6.2</v>
      </c>
      <c r="AI33" s="14">
        <f>IF('Données projet'!$A$62&gt;35,AI32+AH33-AQ32,IF(A33&lt;'Données projet'!$A$62,$AF$205^A33,IF(A33='Données projet'!$A$62,'Données projet'!$B$62,AI32+AH33-AQ32)))</f>
        <v>179.99999999999991</v>
      </c>
      <c r="AJ33" s="14">
        <f>AI33*VLOOKUP('Données projet'!$B$10,Paramètres!$A$1:$I$89,3,0)*VLOOKUP('Données projet'!$B$10,Paramètres!$A$1:$I$89,5,0)</f>
        <v>84.239999999999966</v>
      </c>
      <c r="AK33" s="14">
        <f t="shared" si="35"/>
        <v>23.170749718409468</v>
      </c>
      <c r="AL33" s="22">
        <f t="shared" si="4"/>
        <v>187.07372242622975</v>
      </c>
      <c r="AM33" s="62">
        <f t="shared" si="5"/>
        <v>426.18114735927173</v>
      </c>
      <c r="AN33" s="62">
        <f ca="1">AVERAGE(OFFSET($AM$3,0,0,'Données projet'!$E$10+1,1))-AVERAGE(OFFSET($H$3,0,0,'Données projet'!$E$10+1,1))</f>
        <v>289.94963088302325</v>
      </c>
      <c r="AO33" s="62">
        <f t="shared" si="36"/>
        <v>242.84781402593839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0.11000000000000001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0.8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641.72234992452809</v>
      </c>
      <c r="BI33" s="62">
        <f ca="1">AVERAGE(OFFSET($BH$3,0,0,'Données projet'!$E$11+1,1))-AVERAGE(OFFSET($H$3,0,0,'Données projet'!$E$11+1,1))</f>
        <v>189.09998601768521</v>
      </c>
      <c r="BJ33" s="62">
        <f t="shared" si="38"/>
        <v>458.38901659119472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243</v>
      </c>
      <c r="BW33" s="13">
        <f>VLOOKUP(A33,'Données projet'!$A$113:$I$133,9,0)</f>
        <v>8.6</v>
      </c>
      <c r="BX33" s="13">
        <f t="array" ref="BX33">INDEX(BW:BW,MIN(IF(ISNUMBER(BW33:BW229),ROW(BW33:BW229),"")))</f>
        <v>8.6</v>
      </c>
      <c r="BY33" s="13">
        <f>IF('Données projet'!$A$114&gt;35,BY32+BX33-CG32,IF(A33&lt;'Données projet'!$A$114,$BV$205^A33,IF(A33='Données projet'!$A$114,'Données projet'!$B$114,BY32+BX33-CG32)))</f>
        <v>242.99999999999997</v>
      </c>
      <c r="BZ33" s="14">
        <f>BY33*VLOOKUP('Données projet'!$B$12,Paramètres!$A$1:$I$89,3,0)*VLOOKUP('Données projet'!$B$12,Paramètres!$A$1:$I$89,5,0)</f>
        <v>219.86639999999997</v>
      </c>
      <c r="CA33" s="14">
        <f t="shared" si="39"/>
        <v>54.085847394182416</v>
      </c>
      <c r="CB33" s="22">
        <f t="shared" si="10"/>
        <v>477.13349754486762</v>
      </c>
      <c r="CC33" s="62">
        <f t="shared" si="11"/>
        <v>716.24092247790963</v>
      </c>
      <c r="CD33" s="62">
        <f ca="1">AVERAGE(OFFSET($CC$3,0,0,'Données projet'!$E$12+1,1))-AVERAGE(OFFSET($H$3,0,0,'Données projet'!$E$12+1,1))</f>
        <v>376.68007030857598</v>
      </c>
      <c r="CE33" s="62">
        <f t="shared" si="40"/>
        <v>532.90758914457626</v>
      </c>
      <c r="CF33" s="16">
        <f>IF(ISNA(VLOOKUP(A33,'Données projet'!$A$113:$I$133,3,0)),0,VLOOKUP(A33,'Données projet'!$A$113:$I$133,3,0))</f>
        <v>6</v>
      </c>
      <c r="CG33" s="16">
        <f>IF(ISNA(VLOOKUP(A33,'Données projet'!$A$113:$I$133,4,0)),0,VLOOKUP(A33,'Données projet'!$A$113:$I$133,4,0))</f>
        <v>11</v>
      </c>
      <c r="CH33" s="17">
        <f>IF(ISNA(VLOOKUP(A33,'Données projet'!$A$113:$I$133,5,0)),0%,VLOOKUP(A33,'Données projet'!$A$113:$I$133,5,0)*VLOOKUP('Données projet'!$B$12,Paramètres!$A$1:$I$89,7,0))</f>
        <v>0.12</v>
      </c>
      <c r="CI33" s="17">
        <f>IF(ISNA(VLOOKUP(A33,'Données projet'!$A$113:$I$133,6,0)),0%,VLOOKUP(A33,'Données projet'!$A$113:$I$133,6,0)*VLOOKUP('Données projet'!$B$12,Paramètres!$A$1:$I$89,7,0))</f>
        <v>0.06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3.3479425106079317</v>
      </c>
      <c r="CL33" s="23">
        <f>EXP(-LN(2)/25)*CL32+(1-EXP(-LN(2)/25))/(LN(2)/25)*Calculateur!CG33*Calculateur!CI33*VLOOKUP('Données projet'!$B$12,Paramètres!$A$1:$I$89,3,0)*0.475*44/12</f>
        <v>2.6092798706891758</v>
      </c>
      <c r="CM33" s="23">
        <f>EXP(-LN(2)/2)*CM32+(1-EXP(-LN(2)/2))/(LN(2)/2)*CG33*CJ33*VLOOKUP('Données projet'!$B$12,Paramètres!$A$1:$I$89,3,0)*0.475*44/12</f>
        <v>5.1854993765506929</v>
      </c>
      <c r="CN33" s="24">
        <f t="shared" si="12"/>
        <v>11.1427217578478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23.4</v>
      </c>
      <c r="N34" s="14">
        <f>IF('Données projet'!$A$36&gt;35,N33+M34-V33,IF(A34&lt;'Données projet'!$A$36,$K$205^A34,IF(A34='Données projet'!$A$36,'Données projet'!$B$36,N33+M34-V33)))</f>
        <v>267.39999999999992</v>
      </c>
      <c r="O34" s="14">
        <f>N34*VLOOKUP('Données projet'!$B$9,Paramètres!$A$1:$I$89,3,0)*VLOOKUP('Données projet'!$B$9,Paramètres!$A$1:$I$89,5,0)</f>
        <v>149.47659999999996</v>
      </c>
      <c r="P34" s="14">
        <f t="shared" si="33"/>
        <v>38.459616906120935</v>
      </c>
      <c r="Q34" s="22">
        <f t="shared" si="2"/>
        <v>327.32224444482722</v>
      </c>
      <c r="R34" s="62">
        <f t="shared" si="0"/>
        <v>567.37036765764481</v>
      </c>
      <c r="S34" s="62">
        <f ca="1">AVERAGE(OFFSET($R$3,0,0,'Données projet'!$E$9+1,1))-AVERAGE(OFFSET($H$3,0,0,'Données projet'!$E$9+1,1))</f>
        <v>349.46033149388688</v>
      </c>
      <c r="T34" s="62">
        <f t="shared" si="34"/>
        <v>405.30585610371702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19.904307527370797</v>
      </c>
      <c r="AC34" s="24">
        <f t="shared" si="3"/>
        <v>19.904307527370797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186.99999999999991</v>
      </c>
      <c r="AJ34" s="14">
        <f>AI34*VLOOKUP('Données projet'!$B$10,Paramètres!$A$1:$I$89,3,0)*VLOOKUP('Données projet'!$B$10,Paramètres!$A$1:$I$89,5,0)</f>
        <v>87.515999999999963</v>
      </c>
      <c r="AK34" s="14">
        <f t="shared" si="35"/>
        <v>23.965171662037644</v>
      </c>
      <c r="AL34" s="22">
        <f t="shared" si="4"/>
        <v>194.16304064471549</v>
      </c>
      <c r="AM34" s="62">
        <f t="shared" si="5"/>
        <v>434.21116385753305</v>
      </c>
      <c r="AN34" s="62">
        <f ca="1">AVERAGE(OFFSET($AM$3,0,0,'Données projet'!$E$10+1,1))-AVERAGE(OFFSET($H$3,0,0,'Données projet'!$E$10+1,1))</f>
        <v>289.94963088302325</v>
      </c>
      <c r="AO34" s="62">
        <f t="shared" si="36"/>
        <v>242.84781402593839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240.04812321281955</v>
      </c>
      <c r="BI34" s="62">
        <f ca="1">AVERAGE(OFFSET($BH$3,0,0,'Données projet'!$E$11+1,1))-AVERAGE(OFFSET($H$3,0,0,'Données projet'!$E$11+1,1))</f>
        <v>189.09998601768521</v>
      </c>
      <c r="BJ34" s="62">
        <f t="shared" si="38"/>
        <v>458.38901659119472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</v>
      </c>
      <c r="BY34" s="13">
        <f>IF('Données projet'!$A$114&gt;35,BY33+BX34-CG33,IF(A34&lt;'Données projet'!$A$114,$BV$205^A34,IF(A34='Données projet'!$A$114,'Données projet'!$B$114,BY33+BX34-CG33)))</f>
        <v>238.99999999999997</v>
      </c>
      <c r="BZ34" s="14">
        <f>BY34*VLOOKUP('Données projet'!$B$12,Paramètres!$A$1:$I$89,3,0)*VLOOKUP('Données projet'!$B$12,Paramètres!$A$1:$I$89,5,0)</f>
        <v>216.24719999999996</v>
      </c>
      <c r="CA34" s="14">
        <f t="shared" si="39"/>
        <v>53.298418226645332</v>
      </c>
      <c r="CB34" s="22">
        <f t="shared" si="10"/>
        <v>469.45861841140714</v>
      </c>
      <c r="CC34" s="62">
        <f t="shared" si="11"/>
        <v>709.50674162422467</v>
      </c>
      <c r="CD34" s="62">
        <f ca="1">AVERAGE(OFFSET($CC$3,0,0,'Données projet'!$E$12+1,1))-AVERAGE(OFFSET($H$3,0,0,'Données projet'!$E$12+1,1))</f>
        <v>376.68007030857598</v>
      </c>
      <c r="CE34" s="62">
        <f t="shared" si="40"/>
        <v>532.90758914457626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3.2822914000182064</v>
      </c>
      <c r="CL34" s="23">
        <f>EXP(-LN(2)/25)*CL33+(1-EXP(-LN(2)/25))/(LN(2)/25)*Calculateur!CG34*Calculateur!CI34*VLOOKUP('Données projet'!$B$12,Paramètres!$A$1:$I$89,3,0)*0.475*44/12</f>
        <v>2.5379289754091157</v>
      </c>
      <c r="CM34" s="23">
        <f>EXP(-LN(2)/2)*CM33+(1-EXP(-LN(2)/2))/(LN(2)/2)*CG34*CJ34*VLOOKUP('Données projet'!$B$12,Paramètres!$A$1:$I$89,3,0)*0.475*44/12</f>
        <v>3.6667017729976097</v>
      </c>
      <c r="CN34" s="24">
        <f t="shared" si="12"/>
        <v>9.4869221484249309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23.4</v>
      </c>
      <c r="N35" s="14">
        <f>IF('Données projet'!$A$36&gt;35,N34+M35-V34,IF(A35&lt;'Données projet'!$A$36,$K$205^A35,IF(A35='Données projet'!$A$36,'Données projet'!$B$36,N34+M35-V34)))</f>
        <v>290.7999999999999</v>
      </c>
      <c r="O35" s="14">
        <f>N35*VLOOKUP('Données projet'!$B$9,Paramètres!$A$1:$I$89,3,0)*VLOOKUP('Données projet'!$B$9,Paramètres!$A$1:$I$89,5,0)</f>
        <v>162.55719999999994</v>
      </c>
      <c r="P35" s="14">
        <f t="shared" si="33"/>
        <v>41.418765655521881</v>
      </c>
      <c r="Q35" s="22">
        <f t="shared" ref="Q35:Q66" si="53">(O35+P35)*0.475*44/12</f>
        <v>355.25814018336717</v>
      </c>
      <c r="R35" s="62">
        <f t="shared" si="0"/>
        <v>596.23064266389247</v>
      </c>
      <c r="S35" s="62">
        <f ca="1">AVERAGE(OFFSET($R$3,0,0,'Données projet'!$E$9+1,1))-AVERAGE(OFFSET($H$3,0,0,'Données projet'!$E$9+1,1))</f>
        <v>349.46033149388688</v>
      </c>
      <c r="T35" s="62">
        <f t="shared" si="34"/>
        <v>405.30585610371702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14.074470827426333</v>
      </c>
      <c r="AC35" s="24">
        <f t="shared" si="3"/>
        <v>14.074470827426333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193.99999999999991</v>
      </c>
      <c r="AJ35" s="14">
        <f>AI35*VLOOKUP('Données projet'!$B$10,Paramètres!$A$1:$I$89,3,0)*VLOOKUP('Données projet'!$B$10,Paramètres!$A$1:$I$89,5,0)</f>
        <v>90.791999999999959</v>
      </c>
      <c r="AK35" s="14">
        <f t="shared" si="35"/>
        <v>24.756138813110173</v>
      </c>
      <c r="AL35" s="22">
        <f t="shared" si="4"/>
        <v>201.24634176616681</v>
      </c>
      <c r="AM35" s="62">
        <f t="shared" si="5"/>
        <v>442.21884424669213</v>
      </c>
      <c r="AN35" s="62">
        <f ca="1">AVERAGE(OFFSET($AM$3,0,0,'Données projet'!$E$10+1,1))-AVERAGE(OFFSET($H$3,0,0,'Données projet'!$E$10+1,1))</f>
        <v>289.94963088302325</v>
      </c>
      <c r="AO35" s="62">
        <f t="shared" si="36"/>
        <v>242.84781402593839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240.97250248052731</v>
      </c>
      <c r="BI35" s="62">
        <f ca="1">AVERAGE(OFFSET($BH$3,0,0,'Données projet'!$E$11+1,1))-AVERAGE(OFFSET($H$3,0,0,'Données projet'!$E$11+1,1))</f>
        <v>189.09998601768521</v>
      </c>
      <c r="BJ35" s="62">
        <f t="shared" si="38"/>
        <v>458.38901659119472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</v>
      </c>
      <c r="BY35" s="13">
        <f>IF('Données projet'!$A$114&gt;35,BY34+BX35-CG34,IF(A35&lt;'Données projet'!$A$114,$BV$205^A35,IF(A35='Données projet'!$A$114,'Données projet'!$B$114,BY34+BX35-CG34)))</f>
        <v>245.99999999999997</v>
      </c>
      <c r="BZ35" s="14">
        <f>BY35*VLOOKUP('Données projet'!$B$12,Paramètres!$A$1:$I$89,3,0)*VLOOKUP('Données projet'!$B$12,Paramètres!$A$1:$I$89,5,0)</f>
        <v>222.58079999999998</v>
      </c>
      <c r="CA35" s="14">
        <f t="shared" si="39"/>
        <v>54.675428546153199</v>
      </c>
      <c r="CB35" s="22">
        <f t="shared" si="10"/>
        <v>482.88793138455003</v>
      </c>
      <c r="CC35" s="62">
        <f t="shared" si="11"/>
        <v>723.86043386507538</v>
      </c>
      <c r="CD35" s="62">
        <f ca="1">AVERAGE(OFFSET($CC$3,0,0,'Données projet'!$E$12+1,1))-AVERAGE(OFFSET($H$3,0,0,'Données projet'!$E$12+1,1))</f>
        <v>376.68007030857598</v>
      </c>
      <c r="CE35" s="62">
        <f t="shared" si="40"/>
        <v>532.90758914457626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3.2179276676639224</v>
      </c>
      <c r="CL35" s="23">
        <f>EXP(-LN(2)/25)*CL34+(1-EXP(-LN(2)/25))/(LN(2)/25)*Calculateur!CG35*Calculateur!CI35*VLOOKUP('Données projet'!$B$12,Paramètres!$A$1:$I$89,3,0)*0.475*44/12</f>
        <v>2.4685291741126689</v>
      </c>
      <c r="CM35" s="23">
        <f>EXP(-LN(2)/2)*CM34+(1-EXP(-LN(2)/2))/(LN(2)/2)*CG35*CJ35*VLOOKUP('Données projet'!$B$12,Paramètres!$A$1:$I$89,3,0)*0.475*44/12</f>
        <v>2.5927496882753469</v>
      </c>
      <c r="CN35" s="24">
        <f t="shared" si="12"/>
        <v>8.2792065300519386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23.4</v>
      </c>
      <c r="N36" s="14">
        <f>IF('Données projet'!$A$36&gt;35,N35+M36-V35,IF(A36&lt;'Données projet'!$A$36,$K$205^A36,IF(A36='Données projet'!$A$36,'Données projet'!$B$36,N35+M36-V35)))</f>
        <v>314.19999999999987</v>
      </c>
      <c r="O36" s="14">
        <f>N36*VLOOKUP('Données projet'!$B$9,Paramètres!$A$1:$I$89,3,0)*VLOOKUP('Données projet'!$B$9,Paramètres!$A$1:$I$89,5,0)</f>
        <v>175.63779999999991</v>
      </c>
      <c r="P36" s="14">
        <f t="shared" si="33"/>
        <v>44.350295680286266</v>
      </c>
      <c r="Q36" s="22">
        <f t="shared" si="53"/>
        <v>383.14593330983166</v>
      </c>
      <c r="R36" s="62">
        <f t="shared" si="0"/>
        <v>625.02677914437243</v>
      </c>
      <c r="S36" s="62">
        <f ca="1">AVERAGE(OFFSET($R$3,0,0,'Données projet'!$E$9+1,1))-AVERAGE(OFFSET($H$3,0,0,'Données projet'!$E$9+1,1))</f>
        <v>349.46033149388688</v>
      </c>
      <c r="T36" s="62">
        <f t="shared" si="34"/>
        <v>405.30585610371702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9.9521537636854003</v>
      </c>
      <c r="AC36" s="24">
        <f t="shared" si="3"/>
        <v>9.9521537636854003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200.99999999999991</v>
      </c>
      <c r="AJ36" s="14">
        <f>AI36*VLOOKUP('Données projet'!$B$10,Paramètres!$A$1:$I$89,3,0)*VLOOKUP('Données projet'!$B$10,Paramètres!$A$1:$I$89,5,0)</f>
        <v>94.067999999999969</v>
      </c>
      <c r="AK36" s="14">
        <f t="shared" si="35"/>
        <v>25.543790108694029</v>
      </c>
      <c r="AL36" s="22">
        <f t="shared" si="4"/>
        <v>208.32386777264205</v>
      </c>
      <c r="AM36" s="62">
        <f t="shared" si="5"/>
        <v>450.20471360718278</v>
      </c>
      <c r="AN36" s="62">
        <f ca="1">AVERAGE(OFFSET($AM$3,0,0,'Données projet'!$E$10+1,1))-AVERAGE(OFFSET($H$3,0,0,'Données projet'!$E$10+1,1))</f>
        <v>289.94963088302325</v>
      </c>
      <c r="AO36" s="62">
        <f t="shared" si="36"/>
        <v>242.84781402593839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241.88084583454273</v>
      </c>
      <c r="BI36" s="62">
        <f ca="1">AVERAGE(OFFSET($BH$3,0,0,'Données projet'!$E$11+1,1))-AVERAGE(OFFSET($H$3,0,0,'Données projet'!$E$11+1,1))</f>
        <v>189.09998601768521</v>
      </c>
      <c r="BJ36" s="62">
        <f t="shared" si="38"/>
        <v>458.38901659119472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</v>
      </c>
      <c r="BY36" s="13">
        <f>IF('Données projet'!$A$114&gt;35,BY35+BX36-CG35,IF(A36&lt;'Données projet'!$A$114,$BV$205^A36,IF(A36='Données projet'!$A$114,'Données projet'!$B$114,BY35+BX36-CG35)))</f>
        <v>252.99999999999997</v>
      </c>
      <c r="BZ36" s="14">
        <f>BY36*VLOOKUP('Données projet'!$B$12,Paramètres!$A$1:$I$89,3,0)*VLOOKUP('Données projet'!$B$12,Paramètres!$A$1:$I$89,5,0)</f>
        <v>228.91439999999997</v>
      </c>
      <c r="CA36" s="14">
        <f t="shared" si="39"/>
        <v>56.047884834417424</v>
      </c>
      <c r="CB36" s="22">
        <f t="shared" si="10"/>
        <v>496.30931275327697</v>
      </c>
      <c r="CC36" s="62">
        <f t="shared" si="11"/>
        <v>738.19015858781768</v>
      </c>
      <c r="CD36" s="62">
        <f ca="1">AVERAGE(OFFSET($CC$3,0,0,'Données projet'!$E$12+1,1))-AVERAGE(OFFSET($H$3,0,0,'Données projet'!$E$12+1,1))</f>
        <v>376.68007030857598</v>
      </c>
      <c r="CE36" s="62">
        <f t="shared" si="40"/>
        <v>532.90758914457626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3.1548260688431053</v>
      </c>
      <c r="CL36" s="23">
        <f>EXP(-LN(2)/25)*CL35+(1-EXP(-LN(2)/25))/(LN(2)/25)*Calculateur!CG36*Calculateur!CI36*VLOOKUP('Données projet'!$B$12,Paramètres!$A$1:$I$89,3,0)*0.475*44/12</f>
        <v>2.4010271140322508</v>
      </c>
      <c r="CM36" s="23">
        <f>EXP(-LN(2)/2)*CM35+(1-EXP(-LN(2)/2))/(LN(2)/2)*CG36*CJ36*VLOOKUP('Données projet'!$B$12,Paramètres!$A$1:$I$89,3,0)*0.475*44/12</f>
        <v>1.8333508864988051</v>
      </c>
      <c r="CN36" s="24">
        <f t="shared" si="12"/>
        <v>7.3892040693741619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23.4</v>
      </c>
      <c r="N37" s="14">
        <f>IF('Données projet'!$A$36&gt;35,N36+M37-V36,IF(A37&lt;'Données projet'!$A$36,$K$205^A37,IF(A37='Données projet'!$A$36,'Données projet'!$B$36,N36+M37-V36)))</f>
        <v>337.59999999999985</v>
      </c>
      <c r="O37" s="14">
        <f>N37*VLOOKUP('Données projet'!$B$9,Paramètres!$A$1:$I$89,3,0)*VLOOKUP('Données projet'!$B$9,Paramètres!$A$1:$I$89,5,0)</f>
        <v>188.71839999999992</v>
      </c>
      <c r="P37" s="14">
        <f t="shared" si="33"/>
        <v>47.25649777404162</v>
      </c>
      <c r="Q37" s="22">
        <f t="shared" si="53"/>
        <v>410.98961362312235</v>
      </c>
      <c r="R37" s="62">
        <f t="shared" si="0"/>
        <v>653.76304508523799</v>
      </c>
      <c r="S37" s="62">
        <f ca="1">AVERAGE(OFFSET($R$3,0,0,'Données projet'!$E$9+1,1))-AVERAGE(OFFSET($H$3,0,0,'Données projet'!$E$9+1,1))</f>
        <v>349.46033149388688</v>
      </c>
      <c r="T37" s="62">
        <f t="shared" si="34"/>
        <v>405.30585610371702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7.0372354137131685</v>
      </c>
      <c r="AC37" s="24">
        <f t="shared" si="3"/>
        <v>7.0372354137131685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207.99999999999991</v>
      </c>
      <c r="AJ37" s="14">
        <f>AI37*VLOOKUP('Données projet'!$B$10,Paramètres!$A$1:$I$89,3,0)*VLOOKUP('Données projet'!$B$10,Paramètres!$A$1:$I$89,5,0)</f>
        <v>97.343999999999966</v>
      </c>
      <c r="AK37" s="14">
        <f t="shared" si="35"/>
        <v>26.328254259866451</v>
      </c>
      <c r="AL37" s="22">
        <f t="shared" si="4"/>
        <v>215.39584283593402</v>
      </c>
      <c r="AM37" s="62">
        <f t="shared" si="5"/>
        <v>458.16927429804957</v>
      </c>
      <c r="AN37" s="62">
        <f ca="1">AVERAGE(OFFSET($AM$3,0,0,'Données projet'!$E$10+1,1))-AVERAGE(OFFSET($H$3,0,0,'Données projet'!$E$10+1,1))</f>
        <v>289.94963088302325</v>
      </c>
      <c r="AO37" s="62">
        <f t="shared" si="36"/>
        <v>242.84781402593839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242.77343146211757</v>
      </c>
      <c r="BI37" s="62">
        <f ca="1">AVERAGE(OFFSET($BH$3,0,0,'Données projet'!$E$11+1,1))-AVERAGE(OFFSET($H$3,0,0,'Données projet'!$E$11+1,1))</f>
        <v>189.09998601768521</v>
      </c>
      <c r="BJ37" s="62">
        <f t="shared" si="38"/>
        <v>458.38901659119472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</v>
      </c>
      <c r="BY37" s="13">
        <f>IF('Données projet'!$A$114&gt;35,BY36+BX37-CG36,IF(A37&lt;'Données projet'!$A$114,$BV$205^A37,IF(A37='Données projet'!$A$114,'Données projet'!$B$114,BY36+BX37-CG36)))</f>
        <v>260</v>
      </c>
      <c r="BZ37" s="14">
        <f>BY37*VLOOKUP('Données projet'!$B$12,Paramètres!$A$1:$I$89,3,0)*VLOOKUP('Données projet'!$B$12,Paramètres!$A$1:$I$89,5,0)</f>
        <v>235.24799999999999</v>
      </c>
      <c r="CA37" s="14">
        <f t="shared" si="39"/>
        <v>57.41592756883739</v>
      </c>
      <c r="CB37" s="22">
        <f t="shared" si="10"/>
        <v>509.72300718239177</v>
      </c>
      <c r="CC37" s="62">
        <f t="shared" si="11"/>
        <v>752.49643864450741</v>
      </c>
      <c r="CD37" s="62">
        <f ca="1">AVERAGE(OFFSET($CC$3,0,0,'Données projet'!$E$12+1,1))-AVERAGE(OFFSET($H$3,0,0,'Données projet'!$E$12+1,1))</f>
        <v>376.68007030857598</v>
      </c>
      <c r="CE37" s="62">
        <f t="shared" si="40"/>
        <v>532.90758914457626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3.0929618538869899</v>
      </c>
      <c r="CL37" s="23">
        <f>EXP(-LN(2)/25)*CL36+(1-EXP(-LN(2)/25))/(LN(2)/25)*Calculateur!CG37*Calculateur!CI37*VLOOKUP('Données projet'!$B$12,Paramètres!$A$1:$I$89,3,0)*0.475*44/12</f>
        <v>2.3353709013345108</v>
      </c>
      <c r="CM37" s="23">
        <f>EXP(-LN(2)/2)*CM36+(1-EXP(-LN(2)/2))/(LN(2)/2)*CG37*CJ37*VLOOKUP('Données projet'!$B$12,Paramètres!$A$1:$I$89,3,0)*0.475*44/12</f>
        <v>1.2963748441376737</v>
      </c>
      <c r="CN37" s="24">
        <f t="shared" si="12"/>
        <v>6.7247075993591743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361</v>
      </c>
      <c r="L38" s="13">
        <f>VLOOKUP(A38,'Données projet'!$A$35:$I$55,9,0)</f>
        <v>23.4</v>
      </c>
      <c r="M38" s="13">
        <f t="array" ref="M38">INDEX(L:L,MIN(IF(ISNUMBER(L38:L234),ROW(L38:L234),"")))</f>
        <v>23.4</v>
      </c>
      <c r="N38" s="14">
        <f>IF('Données projet'!$A$36&gt;35,N37+M38-V37,IF(A38&lt;'Données projet'!$A$36,$K$205^A38,IF(A38='Données projet'!$A$36,'Données projet'!$B$36,N37+M38-V37)))</f>
        <v>360.99999999999983</v>
      </c>
      <c r="O38" s="14">
        <f>N38*VLOOKUP('Données projet'!$B$9,Paramètres!$A$1:$I$89,3,0)*VLOOKUP('Données projet'!$B$9,Paramètres!$A$1:$I$89,5,0)</f>
        <v>201.79899999999992</v>
      </c>
      <c r="P38" s="14">
        <f t="shared" si="33"/>
        <v>50.139327187086316</v>
      </c>
      <c r="Q38" s="22">
        <f t="shared" si="53"/>
        <v>438.79258651750848</v>
      </c>
      <c r="R38" s="62">
        <f t="shared" si="0"/>
        <v>682.44311924208296</v>
      </c>
      <c r="S38" s="62">
        <f ca="1">AVERAGE(OFFSET($R$3,0,0,'Données projet'!$E$9+1,1))-AVERAGE(OFFSET($H$3,0,0,'Données projet'!$E$9+1,1))</f>
        <v>349.46033149388688</v>
      </c>
      <c r="T38" s="62">
        <f t="shared" si="34"/>
        <v>405.30585610371702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4.976076881842701</v>
      </c>
      <c r="AC38" s="24">
        <f t="shared" si="3"/>
        <v>4.976076881842701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214.99999999999991</v>
      </c>
      <c r="AJ38" s="14">
        <f>AI38*VLOOKUP('Données projet'!$B$10,Paramètres!$A$1:$I$89,3,0)*VLOOKUP('Données projet'!$B$10,Paramètres!$A$1:$I$89,5,0)</f>
        <v>100.61999999999996</v>
      </c>
      <c r="AK38" s="14">
        <f t="shared" si="35"/>
        <v>27.109650822934128</v>
      </c>
      <c r="AL38" s="22">
        <f t="shared" si="4"/>
        <v>222.46247518327687</v>
      </c>
      <c r="AM38" s="62">
        <f t="shared" si="5"/>
        <v>466.1130079078514</v>
      </c>
      <c r="AN38" s="62">
        <f ca="1">AVERAGE(OFFSET($AM$3,0,0,'Données projet'!$E$10+1,1))-AVERAGE(OFFSET($H$3,0,0,'Données projet'!$E$10+1,1))</f>
        <v>289.94963088302325</v>
      </c>
      <c r="AO38" s="62">
        <f t="shared" si="36"/>
        <v>242.84781402593839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243.65053272457649</v>
      </c>
      <c r="BI38" s="62">
        <f ca="1">AVERAGE(OFFSET($BH$3,0,0,'Données projet'!$E$11+1,1))-AVERAGE(OFFSET($H$3,0,0,'Données projet'!$E$11+1,1))</f>
        <v>189.09998601768521</v>
      </c>
      <c r="BJ38" s="62">
        <f t="shared" si="38"/>
        <v>458.38901659119472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267</v>
      </c>
      <c r="BW38" s="13">
        <f>VLOOKUP(A38,'Données projet'!$A$113:$I$133,9,0)</f>
        <v>7</v>
      </c>
      <c r="BX38" s="13">
        <f t="array" ref="BX38">INDEX(BW:BW,MIN(IF(ISNUMBER(BW38:BW234),ROW(BW38:BW234),"")))</f>
        <v>7</v>
      </c>
      <c r="BY38" s="13">
        <f>IF('Données projet'!$A$114&gt;35,BY37+BX38-CG37,IF(A38&lt;'Données projet'!$A$114,$BV$205^A38,IF(A38='Données projet'!$A$114,'Données projet'!$B$114,BY37+BX38-CG37)))</f>
        <v>267</v>
      </c>
      <c r="BZ38" s="14">
        <f>BY38*VLOOKUP('Données projet'!$B$12,Paramètres!$A$1:$I$89,3,0)*VLOOKUP('Données projet'!$B$12,Paramètres!$A$1:$I$89,5,0)</f>
        <v>241.58159999999998</v>
      </c>
      <c r="CA38" s="14">
        <f t="shared" si="39"/>
        <v>58.779689232021951</v>
      </c>
      <c r="CB38" s="22">
        <f t="shared" si="10"/>
        <v>523.12924541243819</v>
      </c>
      <c r="CC38" s="62">
        <f t="shared" si="11"/>
        <v>766.77977813701273</v>
      </c>
      <c r="CD38" s="62">
        <f ca="1">AVERAGE(OFFSET($CC$3,0,0,'Données projet'!$E$12+1,1))-AVERAGE(OFFSET($H$3,0,0,'Données projet'!$E$12+1,1))</f>
        <v>376.68007030857598</v>
      </c>
      <c r="CE38" s="62">
        <f t="shared" si="40"/>
        <v>532.90758914457626</v>
      </c>
      <c r="CF38" s="16">
        <f>IF(ISNA(VLOOKUP(A38,'Données projet'!$A$113:$I$133,3,0)),0,VLOOKUP(A38,'Données projet'!$A$113:$I$133,3,0))</f>
        <v>7</v>
      </c>
      <c r="CG38" s="16">
        <f>IF(ISNA(VLOOKUP(A38,'Données projet'!$A$113:$I$133,4,0)),0,VLOOKUP(A38,'Données projet'!$A$113:$I$133,4,0))</f>
        <v>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3.0323107584527182</v>
      </c>
      <c r="CL38" s="23">
        <f>EXP(-LN(2)/25)*CL37+(1-EXP(-LN(2)/25))/(LN(2)/25)*Calculateur!CG38*Calculateur!CI38*VLOOKUP('Données projet'!$B$12,Paramètres!$A$1:$I$89,3,0)*0.475*44/12</f>
        <v>2.2715100612257002</v>
      </c>
      <c r="CM38" s="23">
        <f>EXP(-LN(2)/2)*CM37+(1-EXP(-LN(2)/2))/(LN(2)/2)*CG38*CJ38*VLOOKUP('Données projet'!$B$12,Paramètres!$A$1:$I$89,3,0)*0.475*44/12</f>
        <v>0.91667544324940275</v>
      </c>
      <c r="CN38" s="24">
        <f t="shared" si="12"/>
        <v>6.2204962629278215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22.2</v>
      </c>
      <c r="N39" s="14">
        <f>IF('Données projet'!$A$36&gt;35,N38+M39-V38,IF(A39&lt;'Données projet'!$A$36,$K$205^A39,IF(A39='Données projet'!$A$36,'Données projet'!$B$36,N38+M39-V38)))</f>
        <v>334.19999999999982</v>
      </c>
      <c r="O39" s="14">
        <f>N39*VLOOKUP('Données projet'!$B$9,Paramètres!$A$1:$I$89,3,0)*VLOOKUP('Données projet'!$B$9,Paramètres!$A$1:$I$89,5,0)</f>
        <v>186.81779999999992</v>
      </c>
      <c r="P39" s="14">
        <f t="shared" si="33"/>
        <v>46.835723519705653</v>
      </c>
      <c r="Q39" s="22">
        <f t="shared" si="53"/>
        <v>406.94655346348719</v>
      </c>
      <c r="R39" s="62">
        <f t="shared" si="0"/>
        <v>651.45897170452167</v>
      </c>
      <c r="S39" s="62">
        <f ca="1">AVERAGE(OFFSET($R$3,0,0,'Données projet'!$E$9+1,1))-AVERAGE(OFFSET($H$3,0,0,'Données projet'!$E$9+1,1))</f>
        <v>349.46033149388688</v>
      </c>
      <c r="T39" s="62">
        <f t="shared" si="34"/>
        <v>405.30585610371702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3.5186177068565847</v>
      </c>
      <c r="AC39" s="24">
        <f t="shared" si="3"/>
        <v>3.5186177068565847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221.99999999999991</v>
      </c>
      <c r="AJ39" s="14">
        <f>AI39*VLOOKUP('Données projet'!$B$10,Paramètres!$A$1:$I$89,3,0)*VLOOKUP('Données projet'!$B$10,Paramètres!$A$1:$I$89,5,0)</f>
        <v>103.89599999999997</v>
      </c>
      <c r="AK39" s="14">
        <f t="shared" si="35"/>
        <v>27.888091127225799</v>
      </c>
      <c r="AL39" s="22">
        <f t="shared" si="4"/>
        <v>229.52395871325152</v>
      </c>
      <c r="AM39" s="62">
        <f t="shared" si="5"/>
        <v>474.03637695428597</v>
      </c>
      <c r="AN39" s="62">
        <f ca="1">AVERAGE(OFFSET($AM$3,0,0,'Données projet'!$E$10+1,1))-AVERAGE(OFFSET($H$3,0,0,'Données projet'!$E$10+1,1))</f>
        <v>289.94963088302325</v>
      </c>
      <c r="AO39" s="62">
        <f t="shared" si="36"/>
        <v>242.84781402593839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244.51241824103641</v>
      </c>
      <c r="BI39" s="62">
        <f ca="1">AVERAGE(OFFSET($BH$3,0,0,'Données projet'!$E$11+1,1))-AVERAGE(OFFSET($H$3,0,0,'Données projet'!$E$11+1,1))</f>
        <v>189.09998601768521</v>
      </c>
      <c r="BJ39" s="62">
        <f t="shared" si="38"/>
        <v>458.38901659119472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6.2</v>
      </c>
      <c r="BY39" s="13">
        <f>IF('Données projet'!$A$114&gt;35,BY38+BX39-CG38,IF(A39&lt;'Données projet'!$A$114,$BV$205^A39,IF(A39='Données projet'!$A$114,'Données projet'!$B$114,BY38+BX39-CG38)))</f>
        <v>264.2</v>
      </c>
      <c r="BZ39" s="14">
        <f>BY39*VLOOKUP('Données projet'!$B$12,Paramètres!$A$1:$I$89,3,0)*VLOOKUP('Données projet'!$B$12,Paramètres!$A$1:$I$89,5,0)</f>
        <v>239.04816</v>
      </c>
      <c r="CA39" s="14">
        <f t="shared" si="39"/>
        <v>58.234690128947292</v>
      </c>
      <c r="CB39" s="22">
        <f t="shared" si="10"/>
        <v>517.76763064124987</v>
      </c>
      <c r="CC39" s="62">
        <f t="shared" si="11"/>
        <v>762.28004888228429</v>
      </c>
      <c r="CD39" s="62">
        <f ca="1">AVERAGE(OFFSET($CC$3,0,0,'Données projet'!$E$12+1,1))-AVERAGE(OFFSET($H$3,0,0,'Données projet'!$E$12+1,1))</f>
        <v>376.68007030857598</v>
      </c>
      <c r="CE39" s="62">
        <f t="shared" si="40"/>
        <v>532.90758914457626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2.9728489940063976</v>
      </c>
      <c r="CL39" s="23">
        <f>EXP(-LN(2)/25)*CL38+(1-EXP(-LN(2)/25))/(LN(2)/25)*Calculateur!CG39*Calculateur!CI39*VLOOKUP('Données projet'!$B$12,Paramètres!$A$1:$I$89,3,0)*0.475*44/12</f>
        <v>2.209395499147961</v>
      </c>
      <c r="CM39" s="23">
        <f>EXP(-LN(2)/2)*CM38+(1-EXP(-LN(2)/2))/(LN(2)/2)*CG39*CJ39*VLOOKUP('Données projet'!$B$12,Paramètres!$A$1:$I$89,3,0)*0.475*44/12</f>
        <v>0.64818742206883695</v>
      </c>
      <c r="CN39" s="24">
        <f t="shared" si="12"/>
        <v>5.8304319152231958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22.2</v>
      </c>
      <c r="N40" s="14">
        <f>IF('Données projet'!$A$36&gt;35,N39+M40-V39,IF(A40&lt;'Données projet'!$A$36,$K$205^A40,IF(A40='Données projet'!$A$36,'Données projet'!$B$36,N39+M40-V39)))</f>
        <v>356.39999999999981</v>
      </c>
      <c r="O40" s="14">
        <f>N40*VLOOKUP('Données projet'!$B$9,Paramètres!$A$1:$I$89,3,0)*VLOOKUP('Données projet'!$B$9,Paramètres!$A$1:$I$89,5,0)</f>
        <v>199.22759999999991</v>
      </c>
      <c r="P40" s="14">
        <f t="shared" si="33"/>
        <v>49.574379374190791</v>
      </c>
      <c r="Q40" s="22">
        <f t="shared" si="53"/>
        <v>433.33011407671546</v>
      </c>
      <c r="R40" s="62">
        <f t="shared" si="0"/>
        <v>678.68946604738653</v>
      </c>
      <c r="S40" s="62">
        <f ca="1">AVERAGE(OFFSET($R$3,0,0,'Données projet'!$E$9+1,1))-AVERAGE(OFFSET($H$3,0,0,'Données projet'!$E$9+1,1))</f>
        <v>349.46033149388688</v>
      </c>
      <c r="T40" s="62">
        <f t="shared" si="34"/>
        <v>405.30585610371702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2.488038440921351</v>
      </c>
      <c r="AC40" s="24">
        <f t="shared" si="3"/>
        <v>2.488038440921351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228.99999999999991</v>
      </c>
      <c r="AJ40" s="14">
        <f>AI40*VLOOKUP('Données projet'!$B$10,Paramètres!$A$1:$I$89,3,0)*VLOOKUP('Données projet'!$B$10,Paramètres!$A$1:$I$89,5,0)</f>
        <v>107.17199999999997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481.93982637282915</v>
      </c>
      <c r="AN40" s="62">
        <f ca="1">AVERAGE(OFFSET($AM$3,0,0,'Données projet'!$E$10+1,1))-AVERAGE(OFFSET($H$3,0,0,'Données projet'!$E$10+1,1))</f>
        <v>289.94963088302325</v>
      </c>
      <c r="AO40" s="62">
        <f t="shared" si="36"/>
        <v>242.84781402593839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245.35935197067309</v>
      </c>
      <c r="BI40" s="62">
        <f ca="1">AVERAGE(OFFSET($BH$3,0,0,'Données projet'!$E$11+1,1))-AVERAGE(OFFSET($H$3,0,0,'Données projet'!$E$11+1,1))</f>
        <v>189.09998601768521</v>
      </c>
      <c r="BJ40" s="62">
        <f t="shared" si="38"/>
        <v>458.38901659119472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6.2</v>
      </c>
      <c r="BY40" s="13">
        <f>IF('Données projet'!$A$114&gt;35,BY39+BX40-CG39,IF(A40&lt;'Données projet'!$A$114,$BV$205^A40,IF(A40='Données projet'!$A$114,'Données projet'!$B$114,BY39+BX40-CG39)))</f>
        <v>270.39999999999998</v>
      </c>
      <c r="BZ40" s="14">
        <f>BY40*VLOOKUP('Données projet'!$B$12,Paramètres!$A$1:$I$89,3,0)*VLOOKUP('Données projet'!$B$12,Paramètres!$A$1:$I$89,5,0)</f>
        <v>244.65791999999996</v>
      </c>
      <c r="CA40" s="14">
        <f t="shared" si="39"/>
        <v>59.44058075210868</v>
      </c>
      <c r="CB40" s="22">
        <f t="shared" si="10"/>
        <v>529.6382221432558</v>
      </c>
      <c r="CC40" s="62">
        <f t="shared" si="11"/>
        <v>774.99757411392693</v>
      </c>
      <c r="CD40" s="62">
        <f ca="1">AVERAGE(OFFSET($CC$3,0,0,'Données projet'!$E$12+1,1))-AVERAGE(OFFSET($H$3,0,0,'Données projet'!$E$12+1,1))</f>
        <v>376.68007030857598</v>
      </c>
      <c r="CE40" s="62">
        <f t="shared" si="40"/>
        <v>532.90758914457626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2.9145532384927741</v>
      </c>
      <c r="CL40" s="23">
        <f>EXP(-LN(2)/25)*CL39+(1-EXP(-LN(2)/25))/(LN(2)/25)*Calculateur!CG40*Calculateur!CI40*VLOOKUP('Données projet'!$B$12,Paramètres!$A$1:$I$89,3,0)*0.475*44/12</f>
        <v>2.1489794630367003</v>
      </c>
      <c r="CM40" s="23">
        <f>EXP(-LN(2)/2)*CM39+(1-EXP(-LN(2)/2))/(LN(2)/2)*CG40*CJ40*VLOOKUP('Données projet'!$B$12,Paramètres!$A$1:$I$89,3,0)*0.475*44/12</f>
        <v>0.45833772162470143</v>
      </c>
      <c r="CN40" s="24">
        <f t="shared" si="12"/>
        <v>5.5218704231541764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22.2</v>
      </c>
      <c r="N41" s="14">
        <f>IF('Données projet'!$A$36&gt;35,N40+M41-V40,IF(A41&lt;'Données projet'!$A$36,$K$205^A41,IF(A41='Données projet'!$A$36,'Données projet'!$B$36,N40+M41-V40)))</f>
        <v>378.5999999999998</v>
      </c>
      <c r="O41" s="14">
        <f>N41*VLOOKUP('Données projet'!$B$9,Paramètres!$A$1:$I$89,3,0)*VLOOKUP('Données projet'!$B$9,Paramètres!$A$1:$I$89,5,0)</f>
        <v>211.6373999999999</v>
      </c>
      <c r="P41" s="14">
        <f t="shared" si="33"/>
        <v>52.293236890555093</v>
      </c>
      <c r="Q41" s="22">
        <f t="shared" si="53"/>
        <v>459.6791925843832</v>
      </c>
      <c r="R41" s="62">
        <f t="shared" si="0"/>
        <v>705.8707858779419</v>
      </c>
      <c r="S41" s="62">
        <f ca="1">AVERAGE(OFFSET($R$3,0,0,'Données projet'!$E$9+1,1))-AVERAGE(OFFSET($H$3,0,0,'Données projet'!$E$9+1,1))</f>
        <v>349.46033149388688</v>
      </c>
      <c r="T41" s="62">
        <f t="shared" si="34"/>
        <v>405.30585610371702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1.7593088534282926</v>
      </c>
      <c r="AC41" s="24">
        <f t="shared" si="3"/>
        <v>1.7593088534282926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235.99999999999991</v>
      </c>
      <c r="AJ41" s="14">
        <f>AI41*VLOOKUP('Données projet'!$B$10,Paramètres!$A$1:$I$89,3,0)*VLOOKUP('Données projet'!$B$10,Paramètres!$A$1:$I$89,5,0)</f>
        <v>110.44799999999996</v>
      </c>
      <c r="AK41" s="14">
        <f t="shared" si="35"/>
        <v>29.436511885319536</v>
      </c>
      <c r="AL41" s="22">
        <f t="shared" si="4"/>
        <v>243.63219153359816</v>
      </c>
      <c r="AM41" s="62">
        <f t="shared" si="5"/>
        <v>489.82378482715689</v>
      </c>
      <c r="AN41" s="62">
        <f ca="1">AVERAGE(OFFSET($AM$3,0,0,'Données projet'!$E$10+1,1))-AVERAGE(OFFSET($H$3,0,0,'Données projet'!$E$10+1,1))</f>
        <v>289.94963088302325</v>
      </c>
      <c r="AO41" s="62">
        <f t="shared" si="36"/>
        <v>242.84781402593839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246.19159329356071</v>
      </c>
      <c r="BI41" s="62">
        <f ca="1">AVERAGE(OFFSET($BH$3,0,0,'Données projet'!$E$11+1,1))-AVERAGE(OFFSET($H$3,0,0,'Données projet'!$E$11+1,1))</f>
        <v>189.09998601768521</v>
      </c>
      <c r="BJ41" s="62">
        <f t="shared" si="38"/>
        <v>458.38901659119472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6.2</v>
      </c>
      <c r="BY41" s="13">
        <f>IF('Données projet'!$A$114&gt;35,BY40+BX41-CG40,IF(A41&lt;'Données projet'!$A$114,$BV$205^A41,IF(A41='Données projet'!$A$114,'Données projet'!$B$114,BY40+BX41-CG40)))</f>
        <v>276.59999999999997</v>
      </c>
      <c r="BZ41" s="14">
        <f>BY41*VLOOKUP('Données projet'!$B$12,Paramètres!$A$1:$I$89,3,0)*VLOOKUP('Données projet'!$B$12,Paramètres!$A$1:$I$89,5,0)</f>
        <v>250.26767999999996</v>
      </c>
      <c r="CA41" s="14">
        <f t="shared" si="39"/>
        <v>60.643256925083442</v>
      </c>
      <c r="CB41" s="22">
        <f t="shared" si="10"/>
        <v>541.50321514452014</v>
      </c>
      <c r="CC41" s="62">
        <f t="shared" si="11"/>
        <v>787.69480843807889</v>
      </c>
      <c r="CD41" s="62">
        <f ca="1">AVERAGE(OFFSET($CC$3,0,0,'Données projet'!$E$12+1,1))-AVERAGE(OFFSET($H$3,0,0,'Données projet'!$E$12+1,1))</f>
        <v>376.68007030857598</v>
      </c>
      <c r="CE41" s="62">
        <f t="shared" si="40"/>
        <v>532.90758914457626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2.8574006271878729</v>
      </c>
      <c r="CL41" s="23">
        <f>EXP(-LN(2)/25)*CL40+(1-EXP(-LN(2)/25))/(LN(2)/25)*Calculateur!CG41*Calculateur!CI41*VLOOKUP('Données projet'!$B$12,Paramètres!$A$1:$I$89,3,0)*0.475*44/12</f>
        <v>2.0902155066100434</v>
      </c>
      <c r="CM41" s="23">
        <f>EXP(-LN(2)/2)*CM40+(1-EXP(-LN(2)/2))/(LN(2)/2)*CG41*CJ41*VLOOKUP('Données projet'!$B$12,Paramètres!$A$1:$I$89,3,0)*0.475*44/12</f>
        <v>0.32409371103441853</v>
      </c>
      <c r="CN41" s="24">
        <f t="shared" si="12"/>
        <v>5.2717098448323352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22.2</v>
      </c>
      <c r="N42" s="14">
        <f>IF('Données projet'!$A$36&gt;35,N41+M42-V41,IF(A42&lt;'Données projet'!$A$36,$K$205^A42,IF(A42='Données projet'!$A$36,'Données projet'!$B$36,N41+M42-V41)))</f>
        <v>400.79999999999978</v>
      </c>
      <c r="O42" s="14">
        <f>N42*VLOOKUP('Données projet'!$B$9,Paramètres!$A$1:$I$89,3,0)*VLOOKUP('Données projet'!$B$9,Paramètres!$A$1:$I$89,5,0)</f>
        <v>224.04719999999989</v>
      </c>
      <c r="P42" s="14">
        <f t="shared" si="33"/>
        <v>54.993589228033144</v>
      </c>
      <c r="Q42" s="22">
        <f t="shared" si="53"/>
        <v>485.99604123882409</v>
      </c>
      <c r="R42" s="62">
        <f t="shared" si="0"/>
        <v>733.00543832893118</v>
      </c>
      <c r="S42" s="62">
        <f ca="1">AVERAGE(OFFSET($R$3,0,0,'Données projet'!$E$9+1,1))-AVERAGE(OFFSET($H$3,0,0,'Données projet'!$E$9+1,1))</f>
        <v>349.46033149388688</v>
      </c>
      <c r="T42" s="62">
        <f t="shared" si="34"/>
        <v>405.30585610371702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1.2440192204606755</v>
      </c>
      <c r="AC42" s="24">
        <f t="shared" si="3"/>
        <v>1.2440192204606755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242.99999999999991</v>
      </c>
      <c r="AJ42" s="14">
        <f>AI42*VLOOKUP('Données projet'!$B$10,Paramètres!$A$1:$I$89,3,0)*VLOOKUP('Données projet'!$B$10,Paramètres!$A$1:$I$89,5,0)</f>
        <v>113.72399999999995</v>
      </c>
      <c r="AK42" s="14">
        <f t="shared" si="35"/>
        <v>30.206680638130489</v>
      </c>
      <c r="AL42" s="22">
        <f t="shared" si="4"/>
        <v>250.67926877807716</v>
      </c>
      <c r="AM42" s="62">
        <f t="shared" si="5"/>
        <v>497.68866586818427</v>
      </c>
      <c r="AN42" s="62">
        <f ca="1">AVERAGE(OFFSET($AM$3,0,0,'Données projet'!$E$10+1,1))-AVERAGE(OFFSET($H$3,0,0,'Données projet'!$E$10+1,1))</f>
        <v>289.94963088302325</v>
      </c>
      <c r="AO42" s="62">
        <f t="shared" si="36"/>
        <v>242.84781402593839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247.0093970901091</v>
      </c>
      <c r="BI42" s="62">
        <f ca="1">AVERAGE(OFFSET($BH$3,0,0,'Données projet'!$E$11+1,1))-AVERAGE(OFFSET($H$3,0,0,'Données projet'!$E$11+1,1))</f>
        <v>189.09998601768521</v>
      </c>
      <c r="BJ42" s="62">
        <f t="shared" si="38"/>
        <v>458.38901659119472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6.2</v>
      </c>
      <c r="BY42" s="13">
        <f>IF('Données projet'!$A$114&gt;35,BY41+BX42-CG41,IF(A42&lt;'Données projet'!$A$114,$BV$205^A42,IF(A42='Données projet'!$A$114,'Données projet'!$B$114,BY41+BX42-CG41)))</f>
        <v>282.79999999999995</v>
      </c>
      <c r="BZ42" s="14">
        <f>BY42*VLOOKUP('Données projet'!$B$12,Paramètres!$A$1:$I$89,3,0)*VLOOKUP('Données projet'!$B$12,Paramètres!$A$1:$I$89,5,0)</f>
        <v>255.87743999999998</v>
      </c>
      <c r="CA42" s="14">
        <f t="shared" si="39"/>
        <v>61.842798995505326</v>
      </c>
      <c r="CB42" s="22">
        <f t="shared" si="10"/>
        <v>553.36274958383854</v>
      </c>
      <c r="CC42" s="62">
        <f t="shared" si="11"/>
        <v>800.37214667394562</v>
      </c>
      <c r="CD42" s="62">
        <f ca="1">AVERAGE(OFFSET($CC$3,0,0,'Données projet'!$E$12+1,1))-AVERAGE(OFFSET($H$3,0,0,'Données projet'!$E$12+1,1))</f>
        <v>376.68007030857598</v>
      </c>
      <c r="CE42" s="62">
        <f t="shared" si="40"/>
        <v>532.90758914457626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2.8013687437310097</v>
      </c>
      <c r="CL42" s="23">
        <f>EXP(-LN(2)/25)*CL41+(1-EXP(-LN(2)/25))/(LN(2)/25)*Calculateur!CG42*Calculateur!CI42*VLOOKUP('Données projet'!$B$12,Paramètres!$A$1:$I$89,3,0)*0.475*44/12</f>
        <v>2.0330584536621354</v>
      </c>
      <c r="CM42" s="23">
        <f>EXP(-LN(2)/2)*CM41+(1-EXP(-LN(2)/2))/(LN(2)/2)*CG42*CJ42*VLOOKUP('Données projet'!$B$12,Paramètres!$A$1:$I$89,3,0)*0.475*44/12</f>
        <v>0.22916886081235077</v>
      </c>
      <c r="CN42" s="24">
        <f t="shared" si="12"/>
        <v>5.063596058205496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423</v>
      </c>
      <c r="L43" s="13">
        <f>VLOOKUP(A43,'Données projet'!$A$35:$I$55,9,0)</f>
        <v>22.2</v>
      </c>
      <c r="M43" s="13">
        <f t="array" ref="M43">INDEX(L:L,MIN(IF(ISNUMBER(L43:L239),ROW(L43:L239),"")))</f>
        <v>22.2</v>
      </c>
      <c r="N43" s="14">
        <f>IF('Données projet'!$A$36&gt;35,N42+M43-V42,IF(A43&lt;'Données projet'!$A$36,$K$205^A43,IF(A43='Données projet'!$A$36,'Données projet'!$B$36,N42+M43-V42)))</f>
        <v>422.99999999999977</v>
      </c>
      <c r="O43" s="14">
        <f>N43*VLOOKUP('Données projet'!$B$9,Paramètres!$A$1:$I$89,3,0)*VLOOKUP('Données projet'!$B$9,Paramètres!$A$1:$I$89,5,0)</f>
        <v>236.45699999999988</v>
      </c>
      <c r="P43" s="14">
        <f t="shared" si="33"/>
        <v>57.676578200883178</v>
      </c>
      <c r="Q43" s="22">
        <f t="shared" si="53"/>
        <v>512.28264869987129</v>
      </c>
      <c r="R43" s="62">
        <f t="shared" si="0"/>
        <v>760.09566251899207</v>
      </c>
      <c r="S43" s="62">
        <f ca="1">AVERAGE(OFFSET($R$3,0,0,'Données projet'!$E$9+1,1))-AVERAGE(OFFSET($H$3,0,0,'Données projet'!$E$9+1,1))</f>
        <v>349.46033149388688</v>
      </c>
      <c r="T43" s="62">
        <f t="shared" si="34"/>
        <v>405.30585610371702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0.87965442671414629</v>
      </c>
      <c r="AC43" s="24">
        <f t="shared" si="3"/>
        <v>0.87965442671414629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249.99999999999991</v>
      </c>
      <c r="AJ43" s="14">
        <f>AI43*VLOOKUP('Données projet'!$B$10,Paramètres!$A$1:$I$89,3,0)*VLOOKUP('Données projet'!$B$10,Paramètres!$A$1:$I$89,5,0)</f>
        <v>116.99999999999997</v>
      </c>
      <c r="AK43" s="14">
        <f t="shared" si="35"/>
        <v>30.974270896484146</v>
      </c>
      <c r="AL43" s="22">
        <f t="shared" si="4"/>
        <v>257.72185514470982</v>
      </c>
      <c r="AM43" s="62">
        <f t="shared" si="5"/>
        <v>505.5348689638306</v>
      </c>
      <c r="AN43" s="62">
        <f ca="1">AVERAGE(OFFSET($AM$3,0,0,'Données projet'!$E$10+1,1))-AVERAGE(OFFSET($H$3,0,0,'Données projet'!$E$10+1,1))</f>
        <v>289.94963088302325</v>
      </c>
      <c r="AO43" s="62">
        <f t="shared" si="36"/>
        <v>242.84781402593839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247.8130138191228</v>
      </c>
      <c r="BI43" s="62">
        <f ca="1">AVERAGE(OFFSET($BH$3,0,0,'Données projet'!$E$11+1,1))-AVERAGE(OFFSET($H$3,0,0,'Données projet'!$E$11+1,1))</f>
        <v>189.09998601768521</v>
      </c>
      <c r="BJ43" s="62">
        <f t="shared" si="38"/>
        <v>458.38901659119472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289</v>
      </c>
      <c r="BW43" s="13">
        <f>VLOOKUP(A43,'Données projet'!$A$113:$I$133,9,0)</f>
        <v>6.2</v>
      </c>
      <c r="BX43" s="13">
        <f t="array" ref="BX43">INDEX(BW:BW,MIN(IF(ISNUMBER(BW43:BW239),ROW(BW43:BW239),"")))</f>
        <v>6.2</v>
      </c>
      <c r="BY43" s="13">
        <f>IF('Données projet'!$A$114&gt;35,BY42+BX43-CG42,IF(A43&lt;'Données projet'!$A$114,$BV$205^A43,IF(A43='Données projet'!$A$114,'Données projet'!$B$114,BY42+BX43-CG42)))</f>
        <v>288.99999999999994</v>
      </c>
      <c r="BZ43" s="14">
        <f>BY43*VLOOKUP('Données projet'!$B$12,Paramètres!$A$1:$I$89,3,0)*VLOOKUP('Données projet'!$B$12,Paramètres!$A$1:$I$89,5,0)</f>
        <v>261.48719999999992</v>
      </c>
      <c r="CA43" s="14">
        <f t="shared" si="39"/>
        <v>63.039283586802391</v>
      </c>
      <c r="CB43" s="22">
        <f t="shared" si="10"/>
        <v>565.21695891368074</v>
      </c>
      <c r="CC43" s="62">
        <f t="shared" si="11"/>
        <v>813.02997273280153</v>
      </c>
      <c r="CD43" s="62">
        <f ca="1">AVERAGE(OFFSET($CC$3,0,0,'Données projet'!$E$12+1,1))-AVERAGE(OFFSET($H$3,0,0,'Données projet'!$E$12+1,1))</f>
        <v>376.68007030857598</v>
      </c>
      <c r="CE43" s="62">
        <f t="shared" si="40"/>
        <v>532.90758914457626</v>
      </c>
      <c r="CF43" s="16">
        <f>IF(ISNA(VLOOKUP(A43,'Données projet'!$A$113:$I$133,3,0)),0,VLOOKUP(A43,'Données projet'!$A$113:$I$133,3,0))</f>
        <v>8</v>
      </c>
      <c r="CG43" s="16">
        <f>IF(ISNA(VLOOKUP(A43,'Données projet'!$A$113:$I$133,4,0)),0,VLOOKUP(A43,'Données projet'!$A$113:$I$133,4,0))</f>
        <v>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2.7464356113326613</v>
      </c>
      <c r="CL43" s="23">
        <f>EXP(-LN(2)/25)*CL42+(1-EXP(-LN(2)/25))/(LN(2)/25)*Calculateur!CG43*Calculateur!CI43*VLOOKUP('Données projet'!$B$12,Paramètres!$A$1:$I$89,3,0)*0.475*44/12</f>
        <v>1.9774643633328468</v>
      </c>
      <c r="CM43" s="23">
        <f>EXP(-LN(2)/2)*CM42+(1-EXP(-LN(2)/2))/(LN(2)/2)*CG43*CJ43*VLOOKUP('Données projet'!$B$12,Paramètres!$A$1:$I$89,3,0)*0.475*44/12</f>
        <v>0.16204685551720929</v>
      </c>
      <c r="CN43" s="24">
        <f t="shared" si="12"/>
        <v>4.8859468301827178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20.8</v>
      </c>
      <c r="N44" s="14">
        <f>IF('Données projet'!$A$36&gt;35,N43+M44-V43,IF(A44&lt;'Données projet'!$A$36,$K$205^A44,IF(A44='Données projet'!$A$36,'Données projet'!$B$36,N43+M44-V43)))</f>
        <v>385.79999999999978</v>
      </c>
      <c r="O44" s="14">
        <f>N44*VLOOKUP('Données projet'!$B$9,Paramètres!$A$1:$I$89,3,0)*VLOOKUP('Données projet'!$B$9,Paramètres!$A$1:$I$89,5,0)</f>
        <v>215.66219999999987</v>
      </c>
      <c r="P44" s="14">
        <f t="shared" si="33"/>
        <v>53.17099639555417</v>
      </c>
      <c r="Q44" s="22">
        <f t="shared" si="53"/>
        <v>468.21781705558993</v>
      </c>
      <c r="R44" s="62">
        <f t="shared" si="0"/>
        <v>716.82050665009388</v>
      </c>
      <c r="S44" s="62">
        <f ca="1">AVERAGE(OFFSET($R$3,0,0,'Données projet'!$E$9+1,1))-AVERAGE(OFFSET($H$3,0,0,'Données projet'!$E$9+1,1))</f>
        <v>349.46033149388688</v>
      </c>
      <c r="T44" s="62">
        <f t="shared" si="34"/>
        <v>405.30585610371702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0.62200961023033774</v>
      </c>
      <c r="AC44" s="24">
        <f t="shared" si="3"/>
        <v>0.62200961023033774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193.99999999999989</v>
      </c>
      <c r="AJ44" s="14">
        <f>AI44*VLOOKUP('Données projet'!$B$10,Paramètres!$A$1:$I$89,3,0)*VLOOKUP('Données projet'!$B$10,Paramètres!$A$1:$I$89,5,0)</f>
        <v>90.791999999999959</v>
      </c>
      <c r="AK44" s="14">
        <f t="shared" si="35"/>
        <v>24.756138813110173</v>
      </c>
      <c r="AL44" s="22">
        <f t="shared" si="4"/>
        <v>201.24634176616681</v>
      </c>
      <c r="AM44" s="62">
        <f t="shared" si="5"/>
        <v>449.84903136067078</v>
      </c>
      <c r="AN44" s="62">
        <f ca="1">AVERAGE(OFFSET($AM$3,0,0,'Données projet'!$E$10+1,1))-AVERAGE(OFFSET($H$3,0,0,'Données projet'!$E$10+1,1))</f>
        <v>289.94963088302325</v>
      </c>
      <c r="AO44" s="62">
        <f t="shared" si="36"/>
        <v>242.84781402593839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248.60268959450596</v>
      </c>
      <c r="BI44" s="62">
        <f ca="1">AVERAGE(OFFSET($BH$3,0,0,'Données projet'!$E$11+1,1))-AVERAGE(OFFSET($H$3,0,0,'Données projet'!$E$11+1,1))</f>
        <v>189.09998601768521</v>
      </c>
      <c r="BJ44" s="62">
        <f t="shared" si="38"/>
        <v>458.38901659119472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</v>
      </c>
      <c r="BY44" s="13">
        <f>IF('Données projet'!$A$114&gt;35,BY43+BX44-CG43,IF(A44&lt;'Données projet'!$A$114,$BV$205^A44,IF(A44='Données projet'!$A$114,'Données projet'!$B$114,BY43+BX44-CG43)))</f>
        <v>287.99999999999994</v>
      </c>
      <c r="BZ44" s="14">
        <f>BY44*VLOOKUP('Données projet'!$B$12,Paramètres!$A$1:$I$89,3,0)*VLOOKUP('Données projet'!$B$12,Paramètres!$A$1:$I$89,5,0)</f>
        <v>260.58239999999995</v>
      </c>
      <c r="CA44" s="14">
        <f t="shared" si="39"/>
        <v>62.846505929896907</v>
      </c>
      <c r="CB44" s="22">
        <f t="shared" si="10"/>
        <v>563.30534449457025</v>
      </c>
      <c r="CC44" s="62">
        <f t="shared" si="11"/>
        <v>811.90803408907425</v>
      </c>
      <c r="CD44" s="62">
        <f ca="1">AVERAGE(OFFSET($CC$3,0,0,'Données projet'!$E$12+1,1))-AVERAGE(OFFSET($H$3,0,0,'Données projet'!$E$12+1,1))</f>
        <v>376.68007030857598</v>
      </c>
      <c r="CE44" s="62">
        <f t="shared" si="40"/>
        <v>532.90758914457626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2.6925796841547425</v>
      </c>
      <c r="CL44" s="23">
        <f>EXP(-LN(2)/25)*CL43+(1-EXP(-LN(2)/25))/(LN(2)/25)*Calculateur!CG44*Calculateur!CI44*VLOOKUP('Données projet'!$B$12,Paramètres!$A$1:$I$89,3,0)*0.475*44/12</f>
        <v>1.9233904963271788</v>
      </c>
      <c r="CM44" s="23">
        <f>EXP(-LN(2)/2)*CM43+(1-EXP(-LN(2)/2))/(LN(2)/2)*CG44*CJ44*VLOOKUP('Données projet'!$B$12,Paramètres!$A$1:$I$89,3,0)*0.475*44/12</f>
        <v>0.1145844304061754</v>
      </c>
      <c r="CN44" s="24">
        <f t="shared" si="12"/>
        <v>4.7305546108880971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20.8</v>
      </c>
      <c r="N45" s="14">
        <f>IF('Données projet'!$A$36&gt;35,N44+M45-V44,IF(A45&lt;'Données projet'!$A$36,$K$205^A45,IF(A45='Données projet'!$A$36,'Données projet'!$B$36,N44+M45-V44)))</f>
        <v>406.5999999999998</v>
      </c>
      <c r="O45" s="14">
        <f>N45*VLOOKUP('Données projet'!$B$9,Paramètres!$A$1:$I$89,3,0)*VLOOKUP('Données projet'!$B$9,Paramètres!$A$1:$I$89,5,0)</f>
        <v>227.28939999999989</v>
      </c>
      <c r="P45" s="14">
        <f t="shared" si="33"/>
        <v>55.696182660755333</v>
      </c>
      <c r="Q45" s="22">
        <f t="shared" si="53"/>
        <v>492.86655646748187</v>
      </c>
      <c r="R45" s="62">
        <f t="shared" si="0"/>
        <v>742.24522272811657</v>
      </c>
      <c r="S45" s="62">
        <f ca="1">AVERAGE(OFFSET($R$3,0,0,'Données projet'!$E$9+1,1))-AVERAGE(OFFSET($H$3,0,0,'Données projet'!$E$9+1,1))</f>
        <v>349.46033149388688</v>
      </c>
      <c r="T45" s="62">
        <f t="shared" si="34"/>
        <v>405.30585610371702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0.43982721335707314</v>
      </c>
      <c r="AC45" s="24">
        <f t="shared" si="3"/>
        <v>0.43982721335707314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200.99999999999989</v>
      </c>
      <c r="AJ45" s="14">
        <f>AI45*VLOOKUP('Données projet'!$B$10,Paramètres!$A$1:$I$89,3,0)*VLOOKUP('Données projet'!$B$10,Paramètres!$A$1:$I$89,5,0)</f>
        <v>94.067999999999941</v>
      </c>
      <c r="AK45" s="14">
        <f t="shared" si="35"/>
        <v>25.543790108694029</v>
      </c>
      <c r="AL45" s="22">
        <f t="shared" si="4"/>
        <v>208.32386777264196</v>
      </c>
      <c r="AM45" s="62">
        <f t="shared" si="5"/>
        <v>457.70253403327672</v>
      </c>
      <c r="AN45" s="62">
        <f ca="1">AVERAGE(OFFSET($AM$3,0,0,'Données projet'!$E$10+1,1))-AVERAGE(OFFSET($H$3,0,0,'Données projet'!$E$10+1,1))</f>
        <v>289.94963088302325</v>
      </c>
      <c r="AO45" s="62">
        <f t="shared" si="36"/>
        <v>242.84781402593839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249.37866626063672</v>
      </c>
      <c r="BI45" s="62">
        <f ca="1">AVERAGE(OFFSET($BH$3,0,0,'Données projet'!$E$11+1,1))-AVERAGE(OFFSET($H$3,0,0,'Données projet'!$E$11+1,1))</f>
        <v>189.09998601768521</v>
      </c>
      <c r="BJ45" s="62">
        <f t="shared" si="38"/>
        <v>458.38901659119472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</v>
      </c>
      <c r="BY45" s="13">
        <f>IF('Données projet'!$A$114&gt;35,BY44+BX45-CG44,IF(A45&lt;'Données projet'!$A$114,$BV$205^A45,IF(A45='Données projet'!$A$114,'Données projet'!$B$114,BY44+BX45-CG44)))</f>
        <v>293.99999999999994</v>
      </c>
      <c r="BZ45" s="14">
        <f>BY45*VLOOKUP('Données projet'!$B$12,Paramètres!$A$1:$I$89,3,0)*VLOOKUP('Données projet'!$B$12,Paramètres!$A$1:$I$89,5,0)</f>
        <v>266.01119999999992</v>
      </c>
      <c r="CA45" s="14">
        <f t="shared" si="39"/>
        <v>64.00201337612566</v>
      </c>
      <c r="CB45" s="22">
        <f t="shared" si="10"/>
        <v>574.77301329675208</v>
      </c>
      <c r="CC45" s="62">
        <f t="shared" si="11"/>
        <v>824.15167955738684</v>
      </c>
      <c r="CD45" s="62">
        <f ca="1">AVERAGE(OFFSET($CC$3,0,0,'Données projet'!$E$12+1,1))-AVERAGE(OFFSET($H$3,0,0,'Données projet'!$E$12+1,1))</f>
        <v>376.68007030857598</v>
      </c>
      <c r="CE45" s="62">
        <f t="shared" si="40"/>
        <v>532.90758914457626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2.6397798388599103</v>
      </c>
      <c r="CL45" s="23">
        <f>EXP(-LN(2)/25)*CL44+(1-EXP(-LN(2)/25))/(LN(2)/25)*Calculateur!CG45*Calculateur!CI45*VLOOKUP('Données projet'!$B$12,Paramètres!$A$1:$I$89,3,0)*0.475*44/12</f>
        <v>1.870795282058402</v>
      </c>
      <c r="CM45" s="23">
        <f>EXP(-LN(2)/2)*CM44+(1-EXP(-LN(2)/2))/(LN(2)/2)*CG45*CJ45*VLOOKUP('Données projet'!$B$12,Paramètres!$A$1:$I$89,3,0)*0.475*44/12</f>
        <v>8.102342775860466E-2</v>
      </c>
      <c r="CN45" s="24">
        <f t="shared" si="12"/>
        <v>4.5915985486769166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20.8</v>
      </c>
      <c r="N46" s="14">
        <f>IF('Données projet'!$A$36&gt;35,N45+M46-V45,IF(A46&lt;'Données projet'!$A$36,$K$205^A46,IF(A46='Données projet'!$A$36,'Données projet'!$B$36,N45+M46-V45)))</f>
        <v>427.39999999999981</v>
      </c>
      <c r="O46" s="14">
        <f>N46*VLOOKUP('Données projet'!$B$9,Paramètres!$A$1:$I$89,3,0)*VLOOKUP('Données projet'!$B$9,Paramètres!$A$1:$I$89,5,0)</f>
        <v>238.9165999999999</v>
      </c>
      <c r="P46" s="14">
        <f t="shared" si="33"/>
        <v>58.206370350662915</v>
      </c>
      <c r="Q46" s="22">
        <f t="shared" si="53"/>
        <v>517.48917336073771</v>
      </c>
      <c r="R46" s="62">
        <f t="shared" si="0"/>
        <v>767.63035482716975</v>
      </c>
      <c r="S46" s="62">
        <f ca="1">AVERAGE(OFFSET($R$3,0,0,'Données projet'!$E$9+1,1))-AVERAGE(OFFSET($H$3,0,0,'Données projet'!$E$9+1,1))</f>
        <v>349.46033149388688</v>
      </c>
      <c r="T46" s="62">
        <f t="shared" si="34"/>
        <v>405.30585610371702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0.31100480511516887</v>
      </c>
      <c r="AC46" s="24">
        <f t="shared" si="3"/>
        <v>0.31100480511516887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207.99999999999989</v>
      </c>
      <c r="AJ46" s="14">
        <f>AI46*VLOOKUP('Données projet'!$B$10,Paramètres!$A$1:$I$89,3,0)*VLOOKUP('Données projet'!$B$10,Paramètres!$A$1:$I$89,5,0)</f>
        <v>97.343999999999937</v>
      </c>
      <c r="AK46" s="14">
        <f t="shared" si="35"/>
        <v>26.328254259866451</v>
      </c>
      <c r="AL46" s="22">
        <f t="shared" si="4"/>
        <v>215.39584283593396</v>
      </c>
      <c r="AM46" s="62">
        <f t="shared" si="5"/>
        <v>465.53702430236604</v>
      </c>
      <c r="AN46" s="62">
        <f ca="1">AVERAGE(OFFSET($AM$3,0,0,'Données projet'!$E$10+1,1))-AVERAGE(OFFSET($H$3,0,0,'Données projet'!$E$10+1,1))</f>
        <v>289.94963088302325</v>
      </c>
      <c r="AO46" s="62">
        <f t="shared" si="36"/>
        <v>242.84781402593839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250.14118146643403</v>
      </c>
      <c r="BI46" s="62">
        <f ca="1">AVERAGE(OFFSET($BH$3,0,0,'Données projet'!$E$11+1,1))-AVERAGE(OFFSET($H$3,0,0,'Données projet'!$E$11+1,1))</f>
        <v>189.09998601768521</v>
      </c>
      <c r="BJ46" s="62">
        <f t="shared" si="38"/>
        <v>458.38901659119472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</v>
      </c>
      <c r="BY46" s="13">
        <f>IF('Données projet'!$A$114&gt;35,BY45+BX46-CG45,IF(A46&lt;'Données projet'!$A$114,$BV$205^A46,IF(A46='Données projet'!$A$114,'Données projet'!$B$114,BY45+BX46-CG45)))</f>
        <v>299.99999999999994</v>
      </c>
      <c r="BZ46" s="14">
        <f>BY46*VLOOKUP('Données projet'!$B$12,Paramètres!$A$1:$I$89,3,0)*VLOOKUP('Données projet'!$B$12,Paramètres!$A$1:$I$89,5,0)</f>
        <v>271.43999999999994</v>
      </c>
      <c r="CA46" s="14">
        <f t="shared" si="39"/>
        <v>65.154778959151173</v>
      </c>
      <c r="CB46" s="22">
        <f t="shared" si="10"/>
        <v>586.23590668718805</v>
      </c>
      <c r="CC46" s="62">
        <f t="shared" si="11"/>
        <v>836.37708815362009</v>
      </c>
      <c r="CD46" s="62">
        <f ca="1">AVERAGE(OFFSET($CC$3,0,0,'Données projet'!$E$12+1,1))-AVERAGE(OFFSET($H$3,0,0,'Données projet'!$E$12+1,1))</f>
        <v>376.68007030857598</v>
      </c>
      <c r="CE46" s="62">
        <f t="shared" si="40"/>
        <v>532.90758914457626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2.5880153663265841</v>
      </c>
      <c r="CL46" s="23">
        <f>EXP(-LN(2)/25)*CL45+(1-EXP(-LN(2)/25))/(LN(2)/25)*Calculateur!CG46*Calculateur!CI46*VLOOKUP('Données projet'!$B$12,Paramètres!$A$1:$I$89,3,0)*0.475*44/12</f>
        <v>1.8196382866896668</v>
      </c>
      <c r="CM46" s="23">
        <f>EXP(-LN(2)/2)*CM45+(1-EXP(-LN(2)/2))/(LN(2)/2)*CG46*CJ46*VLOOKUP('Données projet'!$B$12,Paramètres!$A$1:$I$89,3,0)*0.475*44/12</f>
        <v>5.7292215203087707E-2</v>
      </c>
      <c r="CN46" s="24">
        <f t="shared" si="12"/>
        <v>4.4649458682193384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20.8</v>
      </c>
      <c r="N47" s="14">
        <f>IF('Données projet'!$A$36&gt;35,N46+M47-V46,IF(A47&lt;'Données projet'!$A$36,$K$205^A47,IF(A47='Données projet'!$A$36,'Données projet'!$B$36,N46+M47-V46)))</f>
        <v>448.19999999999982</v>
      </c>
      <c r="O47" s="14">
        <f>N47*VLOOKUP('Données projet'!$B$9,Paramètres!$A$1:$I$89,3,0)*VLOOKUP('Données projet'!$B$9,Paramètres!$A$1:$I$89,5,0)</f>
        <v>250.54379999999989</v>
      </c>
      <c r="P47" s="14">
        <f t="shared" si="33"/>
        <v>60.702372707973225</v>
      </c>
      <c r="Q47" s="22">
        <f t="shared" si="53"/>
        <v>542.08708413305317</v>
      </c>
      <c r="R47" s="62">
        <f t="shared" si="0"/>
        <v>792.9775528711906</v>
      </c>
      <c r="S47" s="62">
        <f ca="1">AVERAGE(OFFSET($R$3,0,0,'Données projet'!$E$9+1,1))-AVERAGE(OFFSET($H$3,0,0,'Données projet'!$E$9+1,1))</f>
        <v>349.46033149388688</v>
      </c>
      <c r="T47" s="62">
        <f t="shared" si="34"/>
        <v>405.30585610371702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0.21991360667853657</v>
      </c>
      <c r="AC47" s="24">
        <f t="shared" si="3"/>
        <v>0.21991360667853657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214.99999999999989</v>
      </c>
      <c r="AJ47" s="14">
        <f>AI47*VLOOKUP('Données projet'!$B$10,Paramètres!$A$1:$I$89,3,0)*VLOOKUP('Données projet'!$B$10,Paramètres!$A$1:$I$89,5,0)</f>
        <v>100.61999999999996</v>
      </c>
      <c r="AK47" s="14">
        <f t="shared" si="35"/>
        <v>27.109650822934128</v>
      </c>
      <c r="AL47" s="22">
        <f t="shared" si="4"/>
        <v>222.46247518327687</v>
      </c>
      <c r="AM47" s="62">
        <f t="shared" si="5"/>
        <v>473.35294392141429</v>
      </c>
      <c r="AN47" s="62">
        <f ca="1">AVERAGE(OFFSET($AM$3,0,0,'Données projet'!$E$10+1,1))-AVERAGE(OFFSET($H$3,0,0,'Données projet'!$E$10+1,1))</f>
        <v>289.94963088302325</v>
      </c>
      <c r="AO47" s="62">
        <f t="shared" si="36"/>
        <v>242.84781402593839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250.89046873813942</v>
      </c>
      <c r="BI47" s="62">
        <f ca="1">AVERAGE(OFFSET($BH$3,0,0,'Données projet'!$E$11+1,1))-AVERAGE(OFFSET($H$3,0,0,'Données projet'!$E$11+1,1))</f>
        <v>189.09998601768521</v>
      </c>
      <c r="BJ47" s="62">
        <f t="shared" si="38"/>
        <v>458.38901659119472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</v>
      </c>
      <c r="BY47" s="13">
        <f>IF('Données projet'!$A$114&gt;35,BY46+BX47-CG46,IF(A47&lt;'Données projet'!$A$114,$BV$205^A47,IF(A47='Données projet'!$A$114,'Données projet'!$B$114,BY46+BX47-CG46)))</f>
        <v>305.99999999999994</v>
      </c>
      <c r="BZ47" s="14">
        <f>BY47*VLOOKUP('Données projet'!$B$12,Paramètres!$A$1:$I$89,3,0)*VLOOKUP('Données projet'!$B$12,Paramètres!$A$1:$I$89,5,0)</f>
        <v>276.86879999999996</v>
      </c>
      <c r="CA47" s="14">
        <f t="shared" si="39"/>
        <v>66.30486383631866</v>
      </c>
      <c r="CB47" s="22">
        <f t="shared" si="10"/>
        <v>597.6941311815882</v>
      </c>
      <c r="CC47" s="62">
        <f t="shared" si="11"/>
        <v>848.58459991972563</v>
      </c>
      <c r="CD47" s="62">
        <f ca="1">AVERAGE(OFFSET($CC$3,0,0,'Données projet'!$E$12+1,1))-AVERAGE(OFFSET($H$3,0,0,'Données projet'!$E$12+1,1))</f>
        <v>376.68007030857598</v>
      </c>
      <c r="CE47" s="62">
        <f t="shared" si="40"/>
        <v>532.90758914457626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2.5372659635264259</v>
      </c>
      <c r="CL47" s="23">
        <f>EXP(-LN(2)/25)*CL46+(1-EXP(-LN(2)/25))/(LN(2)/25)*Calculateur!CG47*Calculateur!CI47*VLOOKUP('Données projet'!$B$12,Paramètres!$A$1:$I$89,3,0)*0.475*44/12</f>
        <v>1.7698801820495191</v>
      </c>
      <c r="CM47" s="23">
        <f>EXP(-LN(2)/2)*CM46+(1-EXP(-LN(2)/2))/(LN(2)/2)*CG47*CJ47*VLOOKUP('Données projet'!$B$12,Paramètres!$A$1:$I$89,3,0)*0.475*44/12</f>
        <v>4.051171387930233E-2</v>
      </c>
      <c r="CN47" s="24">
        <f t="shared" si="12"/>
        <v>4.3476578594552482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469</v>
      </c>
      <c r="L48" s="13">
        <f>VLOOKUP(A48,'Données projet'!$A$35:$I$55,9,0)</f>
        <v>20.8</v>
      </c>
      <c r="M48" s="13">
        <f t="array" ref="M48">INDEX(L:L,MIN(IF(ISNUMBER(L48:L244),ROW(L48:L244),"")))</f>
        <v>20.8</v>
      </c>
      <c r="N48" s="14">
        <f>IF('Données projet'!$A$36&gt;35,N47+M48-V47,IF(A48&lt;'Données projet'!$A$36,$K$205^A48,IF(A48='Données projet'!$A$36,'Données projet'!$B$36,N47+M48-V47)))</f>
        <v>468.99999999999983</v>
      </c>
      <c r="O48" s="14">
        <f>N48*VLOOKUP('Données projet'!$B$9,Paramètres!$A$1:$I$89,3,0)*VLOOKUP('Données projet'!$B$9,Paramètres!$A$1:$I$89,5,0)</f>
        <v>262.17099999999994</v>
      </c>
      <c r="P48" s="14">
        <f t="shared" si="33"/>
        <v>63.184923227726436</v>
      </c>
      <c r="Q48" s="22">
        <f t="shared" si="53"/>
        <v>566.66156628829003</v>
      </c>
      <c r="R48" s="62">
        <f t="shared" si="0"/>
        <v>818.28832383912413</v>
      </c>
      <c r="S48" s="62">
        <f ca="1">AVERAGE(OFFSET($R$3,0,0,'Données projet'!$E$9+1,1))-AVERAGE(OFFSET($H$3,0,0,'Données projet'!$E$9+1,1))</f>
        <v>349.46033149388688</v>
      </c>
      <c r="T48" s="62">
        <f t="shared" si="34"/>
        <v>405.30585610371702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0.15550240255758443</v>
      </c>
      <c r="AC48" s="24">
        <f t="shared" si="3"/>
        <v>0.15550240255758443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221.99999999999989</v>
      </c>
      <c r="AJ48" s="14">
        <f>AI48*VLOOKUP('Données projet'!$B$10,Paramètres!$A$1:$I$89,3,0)*VLOOKUP('Données projet'!$B$10,Paramètres!$A$1:$I$89,5,0)</f>
        <v>103.89599999999994</v>
      </c>
      <c r="AK48" s="14">
        <f t="shared" si="35"/>
        <v>27.888091127225799</v>
      </c>
      <c r="AL48" s="22">
        <f t="shared" si="4"/>
        <v>229.52395871325146</v>
      </c>
      <c r="AM48" s="62">
        <f t="shared" si="5"/>
        <v>481.15071626408559</v>
      </c>
      <c r="AN48" s="62">
        <f ca="1">AVERAGE(OFFSET($AM$3,0,0,'Données projet'!$E$10+1,1))-AVERAGE(OFFSET($H$3,0,0,'Données projet'!$E$10+1,1))</f>
        <v>289.94963088302325</v>
      </c>
      <c r="AO48" s="62">
        <f t="shared" si="36"/>
        <v>242.84781402593839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251.62675755083612</v>
      </c>
      <c r="BI48" s="62">
        <f ca="1">AVERAGE(OFFSET($BH$3,0,0,'Données projet'!$E$11+1,1))-AVERAGE(OFFSET($H$3,0,0,'Données projet'!$E$11+1,1))</f>
        <v>189.09998601768521</v>
      </c>
      <c r="BJ48" s="62">
        <f t="shared" si="38"/>
        <v>458.38901659119472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312</v>
      </c>
      <c r="BW48" s="13">
        <f>VLOOKUP(A48,'Données projet'!$A$113:$I$133,9,0)</f>
        <v>6</v>
      </c>
      <c r="BX48" s="13">
        <f t="array" ref="BX48">INDEX(BW:BW,MIN(IF(ISNUMBER(BW48:BW244),ROW(BW48:BW244),"")))</f>
        <v>6</v>
      </c>
      <c r="BY48" s="13">
        <f>IF('Données projet'!$A$114&gt;35,BY47+BX48-CG47,IF(A48&lt;'Données projet'!$A$114,$BV$205^A48,IF(A48='Données projet'!$A$114,'Données projet'!$B$114,BY47+BX48-CG47)))</f>
        <v>311.99999999999994</v>
      </c>
      <c r="BZ48" s="14">
        <f>BY48*VLOOKUP('Données projet'!$B$12,Paramètres!$A$1:$I$89,3,0)*VLOOKUP('Données projet'!$B$12,Paramètres!$A$1:$I$89,5,0)</f>
        <v>282.29759999999993</v>
      </c>
      <c r="CA48" s="14">
        <f t="shared" si="39"/>
        <v>67.452326629470178</v>
      </c>
      <c r="CB48" s="22">
        <f t="shared" si="10"/>
        <v>609.14778887966042</v>
      </c>
      <c r="CC48" s="62">
        <f t="shared" si="11"/>
        <v>860.77454643049452</v>
      </c>
      <c r="CD48" s="62">
        <f ca="1">AVERAGE(OFFSET($CC$3,0,0,'Données projet'!$E$12+1,1))-AVERAGE(OFFSET($H$3,0,0,'Données projet'!$E$12+1,1))</f>
        <v>376.68007030857598</v>
      </c>
      <c r="CE48" s="62">
        <f t="shared" si="40"/>
        <v>532.90758914457626</v>
      </c>
      <c r="CF48" s="16">
        <f>IF(ISNA(VLOOKUP(A48,'Données projet'!$A$113:$I$133,3,0)),0,VLOOKUP(A48,'Données projet'!$A$113:$I$133,3,0))</f>
        <v>9</v>
      </c>
      <c r="CG48" s="16">
        <f>IF(ISNA(VLOOKUP(A48,'Données projet'!$A$113:$I$133,4,0)),0,VLOOKUP(A48,'Données projet'!$A$113:$I$133,4,0))</f>
        <v>312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2.4875117255610997</v>
      </c>
      <c r="CL48" s="23">
        <f>EXP(-LN(2)/25)*CL47+(1-EXP(-LN(2)/25))/(LN(2)/25)*Calculateur!CG48*Calculateur!CI48*VLOOKUP('Données projet'!$B$12,Paramètres!$A$1:$I$89,3,0)*0.475*44/12</f>
        <v>1.7214827153974215</v>
      </c>
      <c r="CM48" s="23">
        <f>EXP(-LN(2)/2)*CM47+(1-EXP(-LN(2)/2))/(LN(2)/2)*CG48*CJ48*VLOOKUP('Données projet'!$B$12,Paramètres!$A$1:$I$89,3,0)*0.475*44/12</f>
        <v>2.8646107601543853E-2</v>
      </c>
      <c r="CN48" s="24">
        <f t="shared" si="12"/>
        <v>4.2376405485600648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</v>
      </c>
      <c r="N49" s="14">
        <f>IF('Données projet'!$A$36&gt;35,N48+M49-V48,IF(A49&lt;'Données projet'!$A$36,$K$205^A49,IF(A49='Données projet'!$A$36,'Données projet'!$B$36,N48+M49-V48)))</f>
        <v>429.99999999999983</v>
      </c>
      <c r="O49" s="14">
        <f>N49*VLOOKUP('Données projet'!$B$9,Paramètres!$A$1:$I$89,3,0)*VLOOKUP('Données projet'!$B$9,Paramètres!$A$1:$I$89,5,0)</f>
        <v>240.36999999999989</v>
      </c>
      <c r="P49" s="14">
        <f t="shared" si="33"/>
        <v>58.51913064595886</v>
      </c>
      <c r="Q49" s="22">
        <f t="shared" si="53"/>
        <v>520.56523587504478</v>
      </c>
      <c r="R49" s="62">
        <f t="shared" si="0"/>
        <v>772.91550927377045</v>
      </c>
      <c r="S49" s="62">
        <f ca="1">AVERAGE(OFFSET($R$3,0,0,'Données projet'!$E$9+1,1))-AVERAGE(OFFSET($H$3,0,0,'Données projet'!$E$9+1,1))</f>
        <v>349.46033149388688</v>
      </c>
      <c r="T49" s="62">
        <f t="shared" si="34"/>
        <v>405.30585610371702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0.10995680333926829</v>
      </c>
      <c r="AC49" s="24">
        <f t="shared" si="3"/>
        <v>0.10995680333926829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228.99999999999989</v>
      </c>
      <c r="AJ49" s="14">
        <f>AI49*VLOOKUP('Données projet'!$B$10,Paramètres!$A$1:$I$89,3,0)*VLOOKUP('Données projet'!$B$10,Paramètres!$A$1:$I$89,5,0)</f>
        <v>107.17199999999994</v>
      </c>
      <c r="AK49" s="14">
        <f t="shared" si="35"/>
        <v>28.663679082578764</v>
      </c>
      <c r="AL49" s="22">
        <f t="shared" si="4"/>
        <v>236.58047440215793</v>
      </c>
      <c r="AM49" s="62">
        <f t="shared" si="5"/>
        <v>488.93074780088358</v>
      </c>
      <c r="AN49" s="62">
        <f ca="1">AVERAGE(OFFSET($AM$3,0,0,'Données projet'!$E$10+1,1))-AVERAGE(OFFSET($H$3,0,0,'Données projet'!$E$10+1,1))</f>
        <v>289.94963088302325</v>
      </c>
      <c r="AO49" s="62">
        <f t="shared" si="36"/>
        <v>242.84781402593839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252.35027339872764</v>
      </c>
      <c r="BI49" s="62">
        <f ca="1">AVERAGE(OFFSET($BH$3,0,0,'Données projet'!$E$11+1,1))-AVERAGE(OFFSET($H$3,0,0,'Données projet'!$E$11+1,1))</f>
        <v>189.09998601768521</v>
      </c>
      <c r="BJ49" s="62">
        <f t="shared" si="38"/>
        <v>458.38901659119472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-5.6843418860808015E-14</v>
      </c>
      <c r="BZ49" s="14">
        <f>BY49*VLOOKUP('Données projet'!$B$12,Paramètres!$A$1:$I$89,3,0)*VLOOKUP('Données projet'!$B$12,Paramètres!$A$1:$I$89,5,0)</f>
        <v>-5.1431925385259088E-14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376.68007030857598</v>
      </c>
      <c r="CE49" s="62">
        <f t="shared" si="40"/>
        <v>532.90758914457626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2.4387331378551846</v>
      </c>
      <c r="CL49" s="23">
        <f>EXP(-LN(2)/25)*CL48+(1-EXP(-LN(2)/25))/(LN(2)/25)*Calculateur!CG49*Calculateur!CI49*VLOOKUP('Données projet'!$B$12,Paramètres!$A$1:$I$89,3,0)*0.475*44/12</f>
        <v>1.6744086800160376</v>
      </c>
      <c r="CM49" s="23">
        <f>EXP(-LN(2)/2)*CM48+(1-EXP(-LN(2)/2))/(LN(2)/2)*CG49*CJ49*VLOOKUP('Données projet'!$B$12,Paramètres!$A$1:$I$89,3,0)*0.475*44/12</f>
        <v>2.0255856939651165E-2</v>
      </c>
      <c r="CN49" s="24">
        <f t="shared" si="12"/>
        <v>4.1333976748108734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</v>
      </c>
      <c r="N50" s="14">
        <f>IF('Données projet'!$A$36&gt;35,N49+M50-V49,IF(A50&lt;'Données projet'!$A$36,$K$205^A50,IF(A50='Données projet'!$A$36,'Données projet'!$B$36,N49+M50-V49)))</f>
        <v>447.99999999999983</v>
      </c>
      <c r="O50" s="14">
        <f>N50*VLOOKUP('Données projet'!$B$9,Paramètres!$A$1:$I$89,3,0)*VLOOKUP('Données projet'!$B$9,Paramètres!$A$1:$I$89,5,0)</f>
        <v>250.43199999999993</v>
      </c>
      <c r="P50" s="14">
        <f t="shared" si="33"/>
        <v>60.67843785311895</v>
      </c>
      <c r="Q50" s="22">
        <f t="shared" si="53"/>
        <v>541.85067926084866</v>
      </c>
      <c r="R50" s="62">
        <f t="shared" si="0"/>
        <v>794.91191712504406</v>
      </c>
      <c r="S50" s="62">
        <f ca="1">AVERAGE(OFFSET($R$3,0,0,'Données projet'!$E$9+1,1))-AVERAGE(OFFSET($H$3,0,0,'Données projet'!$E$9+1,1))</f>
        <v>349.46033149388688</v>
      </c>
      <c r="T50" s="62">
        <f t="shared" si="34"/>
        <v>405.30585610371702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7.7751201278792217E-2</v>
      </c>
      <c r="AC50" s="24">
        <f t="shared" si="3"/>
        <v>7.7751201278792217E-2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235.99999999999989</v>
      </c>
      <c r="AJ50" s="14">
        <f>AI50*VLOOKUP('Données projet'!$B$10,Paramètres!$A$1:$I$89,3,0)*VLOOKUP('Données projet'!$B$10,Paramètres!$A$1:$I$89,5,0)</f>
        <v>110.44799999999994</v>
      </c>
      <c r="AK50" s="14">
        <f t="shared" si="35"/>
        <v>29.436511885319536</v>
      </c>
      <c r="AL50" s="22">
        <f t="shared" si="4"/>
        <v>243.6321915335981</v>
      </c>
      <c r="AM50" s="62">
        <f t="shared" si="5"/>
        <v>496.69342939779347</v>
      </c>
      <c r="AN50" s="62">
        <f ca="1">AVERAGE(OFFSET($AM$3,0,0,'Données projet'!$E$10+1,1))-AVERAGE(OFFSET($H$3,0,0,'Données projet'!$E$10+1,1))</f>
        <v>289.94963088302325</v>
      </c>
      <c r="AO50" s="62">
        <f t="shared" si="36"/>
        <v>242.84781402593839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253.06123786419738</v>
      </c>
      <c r="BI50" s="62">
        <f ca="1">AVERAGE(OFFSET($BH$3,0,0,'Données projet'!$E$11+1,1))-AVERAGE(OFFSET($H$3,0,0,'Données projet'!$E$11+1,1))</f>
        <v>189.09998601768521</v>
      </c>
      <c r="BJ50" s="62">
        <f t="shared" si="38"/>
        <v>458.38901659119472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-5.6843418860808015E-14</v>
      </c>
      <c r="BZ50" s="14">
        <f>BY50*VLOOKUP('Données projet'!$B$12,Paramètres!$A$1:$I$89,3,0)*VLOOKUP('Données projet'!$B$12,Paramètres!$A$1:$I$89,5,0)</f>
        <v>-5.1431925385259088E-14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376.68007030857598</v>
      </c>
      <c r="CE50" s="62">
        <f t="shared" si="40"/>
        <v>532.90758914457626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2.3909110685021822</v>
      </c>
      <c r="CL50" s="23">
        <f>EXP(-LN(2)/25)*CL49+(1-EXP(-LN(2)/25))/(LN(2)/25)*Calculateur!CG50*Calculateur!CI50*VLOOKUP('Données projet'!$B$12,Paramètres!$A$1:$I$89,3,0)*0.475*44/12</f>
        <v>1.6286218866076734</v>
      </c>
      <c r="CM50" s="23">
        <f>EXP(-LN(2)/2)*CM49+(1-EXP(-LN(2)/2))/(LN(2)/2)*CG50*CJ50*VLOOKUP('Données projet'!$B$12,Paramètres!$A$1:$I$89,3,0)*0.475*44/12</f>
        <v>1.4323053800771927E-2</v>
      </c>
      <c r="CN50" s="24">
        <f t="shared" si="12"/>
        <v>4.0338560089106279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</v>
      </c>
      <c r="N51" s="14">
        <f>IF('Données projet'!$A$36&gt;35,N50+M51-V50,IF(A51&lt;'Données projet'!$A$36,$K$205^A51,IF(A51='Données projet'!$A$36,'Données projet'!$B$36,N50+M51-V50)))</f>
        <v>465.99999999999983</v>
      </c>
      <c r="O51" s="14">
        <f>N51*VLOOKUP('Données projet'!$B$9,Paramètres!$A$1:$I$89,3,0)*VLOOKUP('Données projet'!$B$9,Paramètres!$A$1:$I$89,5,0)</f>
        <v>260.49399999999991</v>
      </c>
      <c r="P51" s="14">
        <f t="shared" si="33"/>
        <v>62.827667157228845</v>
      </c>
      <c r="Q51" s="22">
        <f t="shared" si="53"/>
        <v>563.11857029884015</v>
      </c>
      <c r="R51" s="62">
        <f t="shared" si="0"/>
        <v>816.87843898450785</v>
      </c>
      <c r="S51" s="62">
        <f ca="1">AVERAGE(OFFSET($R$3,0,0,'Données projet'!$E$9+1,1))-AVERAGE(OFFSET($H$3,0,0,'Données projet'!$E$9+1,1))</f>
        <v>349.46033149388688</v>
      </c>
      <c r="T51" s="62">
        <f t="shared" si="34"/>
        <v>405.30585610371702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5.4978401669634143E-2</v>
      </c>
      <c r="AC51" s="24">
        <f t="shared" si="3"/>
        <v>5.4978401669634143E-2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242.99999999999989</v>
      </c>
      <c r="AJ51" s="14">
        <f>AI51*VLOOKUP('Données projet'!$B$10,Paramètres!$A$1:$I$89,3,0)*VLOOKUP('Données projet'!$B$10,Paramètres!$A$1:$I$89,5,0)</f>
        <v>113.72399999999995</v>
      </c>
      <c r="AK51" s="14">
        <f t="shared" si="35"/>
        <v>30.206680638130489</v>
      </c>
      <c r="AL51" s="22">
        <f t="shared" si="4"/>
        <v>250.67926877807716</v>
      </c>
      <c r="AM51" s="62">
        <f t="shared" si="5"/>
        <v>504.43913746374483</v>
      </c>
      <c r="AN51" s="62">
        <f ca="1">AVERAGE(OFFSET($AM$3,0,0,'Données projet'!$E$10+1,1))-AVERAGE(OFFSET($H$3,0,0,'Données projet'!$E$10+1,1))</f>
        <v>289.94963088302325</v>
      </c>
      <c r="AO51" s="62">
        <f t="shared" si="36"/>
        <v>242.84781402593839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253.75986868566969</v>
      </c>
      <c r="BI51" s="62">
        <f ca="1">AVERAGE(OFFSET($BH$3,0,0,'Données projet'!$E$11+1,1))-AVERAGE(OFFSET($H$3,0,0,'Données projet'!$E$11+1,1))</f>
        <v>189.09998601768521</v>
      </c>
      <c r="BJ51" s="62">
        <f t="shared" si="38"/>
        <v>458.38901659119472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-5.6843418860808015E-14</v>
      </c>
      <c r="BZ51" s="14">
        <f>BY51*VLOOKUP('Données projet'!$B$12,Paramètres!$A$1:$I$89,3,0)*VLOOKUP('Données projet'!$B$12,Paramètres!$A$1:$I$89,5,0)</f>
        <v>-5.1431925385259088E-14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376.68007030857598</v>
      </c>
      <c r="CE51" s="62">
        <f t="shared" si="40"/>
        <v>532.90758914457626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2.34402676076061</v>
      </c>
      <c r="CL51" s="23">
        <f>EXP(-LN(2)/25)*CL50+(1-EXP(-LN(2)/25))/(LN(2)/25)*Calculateur!CG51*Calculateur!CI51*VLOOKUP('Données projet'!$B$12,Paramètres!$A$1:$I$89,3,0)*0.475*44/12</f>
        <v>1.5840871354728838</v>
      </c>
      <c r="CM51" s="23">
        <f>EXP(-LN(2)/2)*CM50+(1-EXP(-LN(2)/2))/(LN(2)/2)*CG51*CJ51*VLOOKUP('Données projet'!$B$12,Paramètres!$A$1:$I$89,3,0)*0.475*44/12</f>
        <v>1.0127928469825583E-2</v>
      </c>
      <c r="CN51" s="24">
        <f t="shared" si="12"/>
        <v>3.9382418247033195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</v>
      </c>
      <c r="N52" s="14">
        <f>IF('Données projet'!$A$36&gt;35,N51+M52-V51,IF(A52&lt;'Données projet'!$A$36,$K$205^A52,IF(A52='Données projet'!$A$36,'Données projet'!$B$36,N51+M52-V51)))</f>
        <v>483.99999999999983</v>
      </c>
      <c r="O52" s="14">
        <f>N52*VLOOKUP('Données projet'!$B$9,Paramètres!$A$1:$I$89,3,0)*VLOOKUP('Données projet'!$B$9,Paramètres!$A$1:$I$89,5,0)</f>
        <v>270.55599999999993</v>
      </c>
      <c r="P52" s="14">
        <f t="shared" si="33"/>
        <v>64.967252389325225</v>
      </c>
      <c r="Q52" s="22">
        <f t="shared" si="53"/>
        <v>584.36966457807455</v>
      </c>
      <c r="R52" s="62">
        <f t="shared" si="0"/>
        <v>838.81604440236651</v>
      </c>
      <c r="S52" s="62">
        <f ca="1">AVERAGE(OFFSET($R$3,0,0,'Données projet'!$E$9+1,1))-AVERAGE(OFFSET($H$3,0,0,'Données projet'!$E$9+1,1))</f>
        <v>349.46033149388688</v>
      </c>
      <c r="T52" s="62">
        <f t="shared" si="34"/>
        <v>405.30585610371702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3.8875600639396109E-2</v>
      </c>
      <c r="AC52" s="24">
        <f t="shared" si="3"/>
        <v>3.8875600639396109E-2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249.99999999999989</v>
      </c>
      <c r="AJ52" s="14">
        <f>AI52*VLOOKUP('Données projet'!$B$10,Paramètres!$A$1:$I$89,3,0)*VLOOKUP('Données projet'!$B$10,Paramètres!$A$1:$I$89,5,0)</f>
        <v>116.99999999999994</v>
      </c>
      <c r="AK52" s="14">
        <f t="shared" si="35"/>
        <v>30.974270896484118</v>
      </c>
      <c r="AL52" s="22">
        <f t="shared" si="4"/>
        <v>257.72185514470976</v>
      </c>
      <c r="AM52" s="62">
        <f t="shared" si="5"/>
        <v>512.16823496900179</v>
      </c>
      <c r="AN52" s="62">
        <f ca="1">AVERAGE(OFFSET($AM$3,0,0,'Données projet'!$E$10+1,1))-AVERAGE(OFFSET($H$3,0,0,'Données projet'!$E$10+1,1))</f>
        <v>289.94963088302325</v>
      </c>
      <c r="AO52" s="62">
        <f t="shared" si="36"/>
        <v>242.84781402593839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254.44637982429396</v>
      </c>
      <c r="BI52" s="62">
        <f ca="1">AVERAGE(OFFSET($BH$3,0,0,'Données projet'!$E$11+1,1))-AVERAGE(OFFSET($H$3,0,0,'Données projet'!$E$11+1,1))</f>
        <v>189.09998601768521</v>
      </c>
      <c r="BJ52" s="62">
        <f t="shared" si="38"/>
        <v>458.38901659119472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-5.6843418860808015E-14</v>
      </c>
      <c r="BZ52" s="14">
        <f>BY52*VLOOKUP('Données projet'!$B$12,Paramètres!$A$1:$I$89,3,0)*VLOOKUP('Données projet'!$B$12,Paramètres!$A$1:$I$89,5,0)</f>
        <v>-5.1431925385259088E-14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376.68007030857598</v>
      </c>
      <c r="CE52" s="62">
        <f t="shared" si="40"/>
        <v>532.90758914457626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2.2980618256972458</v>
      </c>
      <c r="CL52" s="23">
        <f>EXP(-LN(2)/25)*CL51+(1-EXP(-LN(2)/25))/(LN(2)/25)*Calculateur!CG52*Calculateur!CI52*VLOOKUP('Données projet'!$B$12,Paramètres!$A$1:$I$89,3,0)*0.475*44/12</f>
        <v>1.5407701894498558</v>
      </c>
      <c r="CM52" s="23">
        <f>EXP(-LN(2)/2)*CM51+(1-EXP(-LN(2)/2))/(LN(2)/2)*CG52*CJ52*VLOOKUP('Données projet'!$B$12,Paramètres!$A$1:$I$89,3,0)*0.475*44/12</f>
        <v>7.1615269003859634E-3</v>
      </c>
      <c r="CN52" s="24">
        <f t="shared" si="12"/>
        <v>3.8459935420474873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502</v>
      </c>
      <c r="L53" s="13">
        <f>VLOOKUP(A53,'Données projet'!$A$35:$I$55,9,0)</f>
        <v>18</v>
      </c>
      <c r="M53" s="13">
        <f t="array" ref="M53">INDEX(L:L,MIN(IF(ISNUMBER(L53:L249),ROW(L53:L249),"")))</f>
        <v>18</v>
      </c>
      <c r="N53" s="14">
        <f>IF('Données projet'!$A$36&gt;35,N52+M53-V52,IF(A53&lt;'Données projet'!$A$36,$K$205^A53,IF(A53='Données projet'!$A$36,'Données projet'!$B$36,N52+M53-V52)))</f>
        <v>501.99999999999983</v>
      </c>
      <c r="O53" s="14">
        <f>N53*VLOOKUP('Données projet'!$B$9,Paramètres!$A$1:$I$89,3,0)*VLOOKUP('Données projet'!$B$9,Paramètres!$A$1:$I$89,5,0)</f>
        <v>280.61799999999994</v>
      </c>
      <c r="P53" s="14">
        <f t="shared" si="33"/>
        <v>67.097593283802667</v>
      </c>
      <c r="Q53" s="22">
        <f t="shared" si="53"/>
        <v>605.60465830262285</v>
      </c>
      <c r="R53" s="62">
        <f t="shared" si="0"/>
        <v>860.72563983209295</v>
      </c>
      <c r="S53" s="62">
        <f ca="1">AVERAGE(OFFSET($R$3,0,0,'Données projet'!$E$9+1,1))-AVERAGE(OFFSET($H$3,0,0,'Données projet'!$E$9+1,1))</f>
        <v>349.46033149388688</v>
      </c>
      <c r="T53" s="62">
        <f t="shared" si="34"/>
        <v>405.30585610371702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2.7489200834817071E-2</v>
      </c>
      <c r="AC53" s="24">
        <f t="shared" si="3"/>
        <v>2.7489200834817071E-2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256.99999999999989</v>
      </c>
      <c r="AJ53" s="14">
        <f>AI53*VLOOKUP('Données projet'!$B$10,Paramètres!$A$1:$I$89,3,0)*VLOOKUP('Données projet'!$B$10,Paramètres!$A$1:$I$89,5,0)</f>
        <v>120.27599999999994</v>
      </c>
      <c r="AK53" s="14">
        <f t="shared" si="35"/>
        <v>31.739363152156287</v>
      </c>
      <c r="AL53" s="22">
        <f t="shared" si="4"/>
        <v>264.76009082333871</v>
      </c>
      <c r="AM53" s="62">
        <f t="shared" si="5"/>
        <v>519.88107235280881</v>
      </c>
      <c r="AN53" s="62">
        <f ca="1">AVERAGE(OFFSET($AM$3,0,0,'Données projet'!$E$10+1,1))-AVERAGE(OFFSET($H$3,0,0,'Données projet'!$E$10+1,1))</f>
        <v>289.94963088302325</v>
      </c>
      <c r="AO53" s="62">
        <f t="shared" si="36"/>
        <v>242.84781402593839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255.12098152947209</v>
      </c>
      <c r="BI53" s="62">
        <f ca="1">AVERAGE(OFFSET($BH$3,0,0,'Données projet'!$E$11+1,1))-AVERAGE(OFFSET($H$3,0,0,'Données projet'!$E$11+1,1))</f>
        <v>189.09998601768521</v>
      </c>
      <c r="BJ53" s="62">
        <f t="shared" si="38"/>
        <v>458.38901659119472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-5.6843418860808015E-14</v>
      </c>
      <c r="BZ53" s="14">
        <f>BY53*VLOOKUP('Données projet'!$B$12,Paramètres!$A$1:$I$89,3,0)*VLOOKUP('Données projet'!$B$12,Paramètres!$A$1:$I$89,5,0)</f>
        <v>-5.1431925385259088E-14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376.68007030857598</v>
      </c>
      <c r="CE53" s="62">
        <f t="shared" si="40"/>
        <v>532.90758914457626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2.252998234974632</v>
      </c>
      <c r="CL53" s="23">
        <f>EXP(-LN(2)/25)*CL52+(1-EXP(-LN(2)/25))/(LN(2)/25)*Calculateur!CG53*Calculateur!CI53*VLOOKUP('Données projet'!$B$12,Paramètres!$A$1:$I$89,3,0)*0.475*44/12</f>
        <v>1.4986377475937667</v>
      </c>
      <c r="CM53" s="23">
        <f>EXP(-LN(2)/2)*CM52+(1-EXP(-LN(2)/2))/(LN(2)/2)*CG53*CJ53*VLOOKUP('Données projet'!$B$12,Paramètres!$A$1:$I$89,3,0)*0.475*44/12</f>
        <v>5.0639642349127913E-3</v>
      </c>
      <c r="CN53" s="24">
        <f t="shared" si="12"/>
        <v>3.7566999468033111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13.6</v>
      </c>
      <c r="N54" s="14">
        <f>IF('Données projet'!$A$36&gt;35,N53+M54-V53,IF(A54&lt;'Données projet'!$A$36,$K$205^A54,IF(A54='Données projet'!$A$36,'Données projet'!$B$36,N53+M54-V53)))</f>
        <v>473.5999999999998</v>
      </c>
      <c r="O54" s="14">
        <f>N54*VLOOKUP('Données projet'!$B$9,Paramètres!$A$1:$I$89,3,0)*VLOOKUP('Données projet'!$B$9,Paramètres!$A$1:$I$89,5,0)</f>
        <v>264.74239999999992</v>
      </c>
      <c r="P54" s="14">
        <f t="shared" si="33"/>
        <v>63.732200079614103</v>
      </c>
      <c r="Q54" s="22">
        <f t="shared" si="53"/>
        <v>572.09326180532764</v>
      </c>
      <c r="R54" s="62">
        <f t="shared" si="0"/>
        <v>827.87714220857447</v>
      </c>
      <c r="S54" s="62">
        <f ca="1">AVERAGE(OFFSET($R$3,0,0,'Données projet'!$E$9+1,1))-AVERAGE(OFFSET($H$3,0,0,'Données projet'!$E$9+1,1))</f>
        <v>349.46033149388688</v>
      </c>
      <c r="T54" s="62">
        <f t="shared" si="34"/>
        <v>405.30585610371702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1.9437800319698054E-2</v>
      </c>
      <c r="AC54" s="24">
        <f t="shared" si="3"/>
        <v>1.9437800319698054E-2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264.99999999999989</v>
      </c>
      <c r="AJ54" s="14">
        <f>AI54*VLOOKUP('Données projet'!$B$10,Paramètres!$A$1:$I$89,3,0)*VLOOKUP('Données projet'!$B$10,Paramètres!$A$1:$I$89,5,0)</f>
        <v>124.01999999999994</v>
      </c>
      <c r="AK54" s="14">
        <f t="shared" si="35"/>
        <v>32.610792634958898</v>
      </c>
      <c r="AL54" s="22">
        <f t="shared" si="4"/>
        <v>272.79863050588659</v>
      </c>
      <c r="AM54" s="62">
        <f t="shared" si="5"/>
        <v>528.58251090913336</v>
      </c>
      <c r="AN54" s="62">
        <f ca="1">AVERAGE(OFFSET($AM$3,0,0,'Données projet'!$E$10+1,1))-AVERAGE(OFFSET($H$3,0,0,'Données projet'!$E$10+1,1))</f>
        <v>289.94963088302325</v>
      </c>
      <c r="AO54" s="62">
        <f t="shared" si="36"/>
        <v>242.84781402593839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255.78388040324882</v>
      </c>
      <c r="BI54" s="62">
        <f ca="1">AVERAGE(OFFSET($BH$3,0,0,'Données projet'!$E$11+1,1))-AVERAGE(OFFSET($H$3,0,0,'Données projet'!$E$11+1,1))</f>
        <v>189.09998601768521</v>
      </c>
      <c r="BJ54" s="62">
        <f t="shared" si="38"/>
        <v>458.38901659119472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-5.6843418860808015E-14</v>
      </c>
      <c r="BZ54" s="14">
        <f>BY54*VLOOKUP('Données projet'!$B$12,Paramètres!$A$1:$I$89,3,0)*VLOOKUP('Données projet'!$B$12,Paramètres!$A$1:$I$89,5,0)</f>
        <v>-5.1431925385259088E-14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376.68007030857598</v>
      </c>
      <c r="CE54" s="62">
        <f t="shared" si="40"/>
        <v>532.90758914457626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2.2088183137800126</v>
      </c>
      <c r="CL54" s="23">
        <f>EXP(-LN(2)/25)*CL53+(1-EXP(-LN(2)/25))/(LN(2)/25)*Calculateur!CG54*Calculateur!CI54*VLOOKUP('Données projet'!$B$12,Paramètres!$A$1:$I$89,3,0)*0.475*44/12</f>
        <v>1.4576574195758811</v>
      </c>
      <c r="CM54" s="23">
        <f>EXP(-LN(2)/2)*CM53+(1-EXP(-LN(2)/2))/(LN(2)/2)*CG54*CJ54*VLOOKUP('Données projet'!$B$12,Paramètres!$A$1:$I$89,3,0)*0.475*44/12</f>
        <v>3.5807634501929817E-3</v>
      </c>
      <c r="CN54" s="24">
        <f t="shared" si="12"/>
        <v>3.6700564968060867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13.6</v>
      </c>
      <c r="N55" s="14">
        <f>IF('Données projet'!$A$36&gt;35,N54+M55-V54,IF(A55&lt;'Données projet'!$A$36,$K$205^A55,IF(A55='Données projet'!$A$36,'Données projet'!$B$36,N54+M55-V54)))</f>
        <v>487.19999999999982</v>
      </c>
      <c r="O55" s="14">
        <f>N55*VLOOKUP('Données projet'!$B$9,Paramètres!$A$1:$I$89,3,0)*VLOOKUP('Données projet'!$B$9,Paramètres!$A$1:$I$89,5,0)</f>
        <v>272.34479999999991</v>
      </c>
      <c r="P55" s="14">
        <f t="shared" si="33"/>
        <v>65.346644318451652</v>
      </c>
      <c r="Q55" s="22">
        <f t="shared" si="53"/>
        <v>588.14593218796972</v>
      </c>
      <c r="R55" s="62">
        <f t="shared" si="0"/>
        <v>844.58121165155308</v>
      </c>
      <c r="S55" s="62">
        <f ca="1">AVERAGE(OFFSET($R$3,0,0,'Données projet'!$E$9+1,1))-AVERAGE(OFFSET($H$3,0,0,'Données projet'!$E$9+1,1))</f>
        <v>349.46033149388688</v>
      </c>
      <c r="T55" s="62">
        <f t="shared" si="34"/>
        <v>405.30585610371702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1.3744600417408536E-2</v>
      </c>
      <c r="AC55" s="24">
        <f t="shared" si="3"/>
        <v>1.3744600417408536E-2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272.99999999999989</v>
      </c>
      <c r="AJ55" s="14">
        <f>AI55*VLOOKUP('Données projet'!$B$10,Paramètres!$A$1:$I$89,3,0)*VLOOKUP('Données projet'!$B$10,Paramètres!$A$1:$I$89,5,0)</f>
        <v>127.76399999999995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537.26712487700024</v>
      </c>
      <c r="AN55" s="62">
        <f ca="1">AVERAGE(OFFSET($AM$3,0,0,'Données projet'!$E$10+1,1))-AVERAGE(OFFSET($H$3,0,0,'Données projet'!$E$10+1,1))</f>
        <v>289.94963088302325</v>
      </c>
      <c r="AO55" s="62">
        <f t="shared" si="36"/>
        <v>242.84781402593839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256.43527946358535</v>
      </c>
      <c r="BI55" s="62">
        <f ca="1">AVERAGE(OFFSET($BH$3,0,0,'Données projet'!$E$11+1,1))-AVERAGE(OFFSET($H$3,0,0,'Données projet'!$E$11+1,1))</f>
        <v>189.09998601768521</v>
      </c>
      <c r="BJ55" s="62">
        <f t="shared" si="38"/>
        <v>458.38901659119472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-5.6843418860808015E-14</v>
      </c>
      <c r="BZ55" s="14">
        <f>BY55*VLOOKUP('Données projet'!$B$12,Paramètres!$A$1:$I$89,3,0)*VLOOKUP('Données projet'!$B$12,Paramètres!$A$1:$I$89,5,0)</f>
        <v>-5.1431925385259088E-14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376.68007030857598</v>
      </c>
      <c r="CE55" s="62">
        <f t="shared" si="40"/>
        <v>532.90758914457626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2.1655047338929285</v>
      </c>
      <c r="CL55" s="23">
        <f>EXP(-LN(2)/25)*CL54+(1-EXP(-LN(2)/25))/(LN(2)/25)*Calculateur!CG55*Calculateur!CI55*VLOOKUP('Données projet'!$B$12,Paramètres!$A$1:$I$89,3,0)*0.475*44/12</f>
        <v>1.4177977007827065</v>
      </c>
      <c r="CM55" s="23">
        <f>EXP(-LN(2)/2)*CM54+(1-EXP(-LN(2)/2))/(LN(2)/2)*CG55*CJ55*VLOOKUP('Données projet'!$B$12,Paramètres!$A$1:$I$89,3,0)*0.475*44/12</f>
        <v>2.5319821174563956E-3</v>
      </c>
      <c r="CN55" s="24">
        <f t="shared" si="12"/>
        <v>3.5858344167930913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13.6</v>
      </c>
      <c r="N56" s="14">
        <f>IF('Données projet'!$A$36&gt;35,N55+M56-V55,IF(A56&lt;'Données projet'!$A$36,$K$205^A56,IF(A56='Données projet'!$A$36,'Données projet'!$B$36,N55+M56-V55)))</f>
        <v>500.79999999999984</v>
      </c>
      <c r="O56" s="14">
        <f>N56*VLOOKUP('Données projet'!$B$9,Paramètres!$A$1:$I$89,3,0)*VLOOKUP('Données projet'!$B$9,Paramètres!$A$1:$I$89,5,0)</f>
        <v>279.94719999999995</v>
      </c>
      <c r="P56" s="14">
        <f t="shared" si="33"/>
        <v>66.955850600819858</v>
      </c>
      <c r="Q56" s="22">
        <f t="shared" si="53"/>
        <v>604.18947979642792</v>
      </c>
      <c r="R56" s="62">
        <f t="shared" si="0"/>
        <v>861.26485800296109</v>
      </c>
      <c r="S56" s="62">
        <f ca="1">AVERAGE(OFFSET($R$3,0,0,'Données projet'!$E$9+1,1))-AVERAGE(OFFSET($H$3,0,0,'Données projet'!$E$9+1,1))</f>
        <v>349.46033149388688</v>
      </c>
      <c r="T56" s="62">
        <f t="shared" si="34"/>
        <v>405.30585610371702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9.7189001598490272E-3</v>
      </c>
      <c r="AC56" s="24">
        <f t="shared" si="3"/>
        <v>9.7189001598490272E-3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280.99999999999989</v>
      </c>
      <c r="AJ56" s="14">
        <f>AI56*VLOOKUP('Données projet'!$B$10,Paramètres!$A$1:$I$89,3,0)*VLOOKUP('Données projet'!$B$10,Paramètres!$A$1:$I$89,5,0)</f>
        <v>131.50799999999995</v>
      </c>
      <c r="AK56" s="14">
        <f t="shared" si="35"/>
        <v>34.344579617082481</v>
      </c>
      <c r="AL56" s="22">
        <f t="shared" si="4"/>
        <v>288.85990949975189</v>
      </c>
      <c r="AM56" s="62">
        <f t="shared" si="5"/>
        <v>545.93528770628518</v>
      </c>
      <c r="AN56" s="62">
        <f ca="1">AVERAGE(OFFSET($AM$3,0,0,'Données projet'!$E$10+1,1))-AVERAGE(OFFSET($H$3,0,0,'Données projet'!$E$10+1,1))</f>
        <v>289.94963088302325</v>
      </c>
      <c r="AO56" s="62">
        <f t="shared" si="36"/>
        <v>242.84781402593839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257.07537820653522</v>
      </c>
      <c r="BI56" s="62">
        <f ca="1">AVERAGE(OFFSET($BH$3,0,0,'Données projet'!$E$11+1,1))-AVERAGE(OFFSET($H$3,0,0,'Données projet'!$E$11+1,1))</f>
        <v>189.09998601768521</v>
      </c>
      <c r="BJ56" s="62">
        <f t="shared" si="38"/>
        <v>458.38901659119472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-5.6843418860808015E-14</v>
      </c>
      <c r="BZ56" s="14">
        <f>BY56*VLOOKUP('Données projet'!$B$12,Paramètres!$A$1:$I$89,3,0)*VLOOKUP('Données projet'!$B$12,Paramètres!$A$1:$I$89,5,0)</f>
        <v>-5.1431925385259088E-14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376.68007030857598</v>
      </c>
      <c r="CE56" s="62">
        <f t="shared" si="40"/>
        <v>532.90758914457626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2.123040506888755</v>
      </c>
      <c r="CL56" s="23">
        <f>EXP(-LN(2)/25)*CL55+(1-EXP(-LN(2)/25))/(LN(2)/25)*Calculateur!CG56*Calculateur!CI56*VLOOKUP('Données projet'!$B$12,Paramètres!$A$1:$I$89,3,0)*0.475*44/12</f>
        <v>1.3790279480960628</v>
      </c>
      <c r="CM56" s="23">
        <f>EXP(-LN(2)/2)*CM55+(1-EXP(-LN(2)/2))/(LN(2)/2)*CG56*CJ56*VLOOKUP('Données projet'!$B$12,Paramètres!$A$1:$I$89,3,0)*0.475*44/12</f>
        <v>1.7903817250964908E-3</v>
      </c>
      <c r="CN56" s="24">
        <f t="shared" si="12"/>
        <v>3.5038588367099144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13.6</v>
      </c>
      <c r="N57" s="14">
        <f>IF('Données projet'!$A$36&gt;35,N56+M57-V56,IF(A57&lt;'Données projet'!$A$36,$K$205^A57,IF(A57='Données projet'!$A$36,'Données projet'!$B$36,N56+M57-V56)))</f>
        <v>514.39999999999986</v>
      </c>
      <c r="O57" s="14">
        <f>N57*VLOOKUP('Données projet'!$B$9,Paramètres!$A$1:$I$89,3,0)*VLOOKUP('Données projet'!$B$9,Paramètres!$A$1:$I$89,5,0)</f>
        <v>287.54959999999994</v>
      </c>
      <c r="P57" s="14">
        <f t="shared" si="33"/>
        <v>68.559977517591122</v>
      </c>
      <c r="Q57" s="22">
        <f t="shared" si="53"/>
        <v>620.22418084313779</v>
      </c>
      <c r="R57" s="62">
        <f t="shared" si="0"/>
        <v>877.92855351047706</v>
      </c>
      <c r="S57" s="62">
        <f ca="1">AVERAGE(OFFSET($R$3,0,0,'Données projet'!$E$9+1,1))-AVERAGE(OFFSET($H$3,0,0,'Données projet'!$E$9+1,1))</f>
        <v>349.46033149388688</v>
      </c>
      <c r="T57" s="62">
        <f t="shared" si="34"/>
        <v>405.30585610371702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6.8723002087042679E-3</v>
      </c>
      <c r="AC57" s="24">
        <f t="shared" si="3"/>
        <v>6.8723002087042679E-3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288.99999999999989</v>
      </c>
      <c r="AJ57" s="14">
        <f>AI57*VLOOKUP('Données projet'!$B$10,Paramètres!$A$1:$I$89,3,0)*VLOOKUP('Données projet'!$B$10,Paramètres!$A$1:$I$89,5,0)</f>
        <v>135.25199999999995</v>
      </c>
      <c r="AK57" s="14">
        <f t="shared" si="35"/>
        <v>35.207130861518152</v>
      </c>
      <c r="AL57" s="22">
        <f t="shared" si="4"/>
        <v>296.88298625047736</v>
      </c>
      <c r="AM57" s="62">
        <f t="shared" si="5"/>
        <v>554.58735891781669</v>
      </c>
      <c r="AN57" s="62">
        <f ca="1">AVERAGE(OFFSET($AM$3,0,0,'Données projet'!$E$10+1,1))-AVERAGE(OFFSET($H$3,0,0,'Données projet'!$E$10+1,1))</f>
        <v>289.94963088302325</v>
      </c>
      <c r="AO57" s="62">
        <f t="shared" si="36"/>
        <v>242.84781402593839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257.70437266734132</v>
      </c>
      <c r="BI57" s="62">
        <f ca="1">AVERAGE(OFFSET($BH$3,0,0,'Données projet'!$E$11+1,1))-AVERAGE(OFFSET($H$3,0,0,'Données projet'!$E$11+1,1))</f>
        <v>189.09998601768521</v>
      </c>
      <c r="BJ57" s="62">
        <f t="shared" si="38"/>
        <v>458.38901659119472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-5.6843418860808015E-14</v>
      </c>
      <c r="BZ57" s="14">
        <f>BY57*VLOOKUP('Données projet'!$B$12,Paramètres!$A$1:$I$89,3,0)*VLOOKUP('Données projet'!$B$12,Paramètres!$A$1:$I$89,5,0)</f>
        <v>-5.1431925385259088E-14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376.68007030857598</v>
      </c>
      <c r="CE57" s="62">
        <f t="shared" si="40"/>
        <v>532.90758914457626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2.0814089774755122</v>
      </c>
      <c r="CL57" s="23">
        <f>EXP(-LN(2)/25)*CL56+(1-EXP(-LN(2)/25))/(LN(2)/25)*Calculateur!CG57*Calculateur!CI57*VLOOKUP('Données projet'!$B$12,Paramètres!$A$1:$I$89,3,0)*0.475*44/12</f>
        <v>1.341318356335448</v>
      </c>
      <c r="CM57" s="23">
        <f>EXP(-LN(2)/2)*CM56+(1-EXP(-LN(2)/2))/(LN(2)/2)*CG57*CJ57*VLOOKUP('Données projet'!$B$12,Paramètres!$A$1:$I$89,3,0)*0.475*44/12</f>
        <v>1.2659910587281978E-3</v>
      </c>
      <c r="CN57" s="24">
        <f t="shared" si="12"/>
        <v>3.4239933248696883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528</v>
      </c>
      <c r="L58" s="13">
        <f>VLOOKUP(A58,'Données projet'!$A$35:$I$55,9,0)</f>
        <v>13.6</v>
      </c>
      <c r="M58" s="13">
        <f t="array" ref="M58">INDEX(L:L,MIN(IF(ISNUMBER(L58:L254),ROW(L58:L254),"")))</f>
        <v>13.6</v>
      </c>
      <c r="N58" s="14">
        <f>IF('Données projet'!$A$36&gt;35,N57+M58-V57,IF(A58&lt;'Données projet'!$A$36,$K$205^A58,IF(A58='Données projet'!$A$36,'Données projet'!$B$36,N57+M58-V57)))</f>
        <v>527.99999999999989</v>
      </c>
      <c r="O58" s="14">
        <f>N58*VLOOKUP('Données projet'!$B$9,Paramètres!$A$1:$I$89,3,0)*VLOOKUP('Données projet'!$B$9,Paramètres!$A$1:$I$89,5,0)</f>
        <v>295.15199999999993</v>
      </c>
      <c r="P58" s="14">
        <f t="shared" si="33"/>
        <v>70.159174796274201</v>
      </c>
      <c r="Q58" s="22">
        <f t="shared" si="53"/>
        <v>636.25029610351078</v>
      </c>
      <c r="R58" s="62">
        <f t="shared" si="0"/>
        <v>894.57275158398215</v>
      </c>
      <c r="S58" s="62">
        <f ca="1">AVERAGE(OFFSET($R$3,0,0,'Données projet'!$E$9+1,1))-AVERAGE(OFFSET($H$3,0,0,'Données projet'!$E$9+1,1))</f>
        <v>349.46033149388688</v>
      </c>
      <c r="T58" s="62">
        <f t="shared" si="34"/>
        <v>405.30585610371702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37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4.8594500799245136E-3</v>
      </c>
      <c r="AC58" s="24">
        <f t="shared" si="3"/>
        <v>4.8594500799245136E-3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296.99999999999989</v>
      </c>
      <c r="AJ58" s="14">
        <f>AI58*VLOOKUP('Données projet'!$B$10,Paramètres!$A$1:$I$89,3,0)*VLOOKUP('Données projet'!$B$10,Paramètres!$A$1:$I$89,5,0)</f>
        <v>138.99599999999995</v>
      </c>
      <c r="AK58" s="14">
        <f t="shared" si="35"/>
        <v>36.066906938767758</v>
      </c>
      <c r="AL58" s="22">
        <f t="shared" si="4"/>
        <v>304.90122958502042</v>
      </c>
      <c r="AM58" s="62">
        <f t="shared" si="5"/>
        <v>563.22368506549174</v>
      </c>
      <c r="AN58" s="62">
        <f ca="1">AVERAGE(OFFSET($AM$3,0,0,'Données projet'!$E$10+1,1))-AVERAGE(OFFSET($H$3,0,0,'Données projet'!$E$10+1,1))</f>
        <v>289.94963088302325</v>
      </c>
      <c r="AO58" s="62">
        <f t="shared" si="36"/>
        <v>242.84781402593839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258.32245548047337</v>
      </c>
      <c r="BI58" s="62">
        <f ca="1">AVERAGE(OFFSET($BH$3,0,0,'Données projet'!$E$11+1,1))-AVERAGE(OFFSET($H$3,0,0,'Données projet'!$E$11+1,1))</f>
        <v>189.09998601768521</v>
      </c>
      <c r="BJ58" s="62">
        <f t="shared" si="38"/>
        <v>458.38901659119472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-5.6843418860808015E-14</v>
      </c>
      <c r="BZ58" s="14">
        <f>BY58*VLOOKUP('Données projet'!$B$12,Paramètres!$A$1:$I$89,3,0)*VLOOKUP('Données projet'!$B$12,Paramètres!$A$1:$I$89,5,0)</f>
        <v>-5.1431925385259088E-14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376.68007030857598</v>
      </c>
      <c r="CE58" s="62">
        <f t="shared" si="40"/>
        <v>532.90758914457626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2.0405938169613376</v>
      </c>
      <c r="CL58" s="23">
        <f>EXP(-LN(2)/25)*CL57+(1-EXP(-LN(2)/25))/(LN(2)/25)*Calculateur!CG58*Calculateur!CI58*VLOOKUP('Données projet'!$B$12,Paramètres!$A$1:$I$89,3,0)*0.475*44/12</f>
        <v>1.3046399353445886</v>
      </c>
      <c r="CM58" s="23">
        <f>EXP(-LN(2)/2)*CM57+(1-EXP(-LN(2)/2))/(LN(2)/2)*CG58*CJ58*VLOOKUP('Données projet'!$B$12,Paramètres!$A$1:$I$89,3,0)*0.475*44/12</f>
        <v>8.9519086254824542E-4</v>
      </c>
      <c r="CN58" s="24">
        <f t="shared" si="12"/>
        <v>3.3461289431684746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10.6</v>
      </c>
      <c r="N59" s="14">
        <f>IF('Données projet'!$A$36&gt;35,N58+M59-V58,IF(A59&lt;'Données projet'!$A$36,$K$205^A59,IF(A59='Données projet'!$A$36,'Données projet'!$B$36,N58+M59-V58)))</f>
        <v>501.59999999999991</v>
      </c>
      <c r="O59" s="14">
        <f>N59*VLOOKUP('Données projet'!$B$9,Paramètres!$A$1:$I$89,3,0)*VLOOKUP('Données projet'!$B$9,Paramètres!$A$1:$I$89,5,0)</f>
        <v>280.39439999999996</v>
      </c>
      <c r="P59" s="14">
        <f t="shared" si="33"/>
        <v>67.050350109566494</v>
      </c>
      <c r="Q59" s="22">
        <f t="shared" si="53"/>
        <v>605.13293977416163</v>
      </c>
      <c r="R59" s="62">
        <f t="shared" si="0"/>
        <v>864.06275571278343</v>
      </c>
      <c r="S59" s="62">
        <f ca="1">AVERAGE(OFFSET($R$3,0,0,'Données projet'!$E$9+1,1))-AVERAGE(OFFSET($H$3,0,0,'Données projet'!$E$9+1,1))</f>
        <v>349.46033149388688</v>
      </c>
      <c r="T59" s="62">
        <f t="shared" si="34"/>
        <v>405.30585610371702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3.4361501043521339E-3</v>
      </c>
      <c r="AC59" s="24">
        <f t="shared" si="3"/>
        <v>3.4361501043521339E-3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304.99999999999989</v>
      </c>
      <c r="AJ59" s="14">
        <f>AI59*VLOOKUP('Données projet'!$B$10,Paramètres!$A$1:$I$89,3,0)*VLOOKUP('Données projet'!$B$10,Paramètres!$A$1:$I$89,5,0)</f>
        <v>142.73999999999995</v>
      </c>
      <c r="AK59" s="14">
        <f t="shared" si="35"/>
        <v>36.923991191656064</v>
      </c>
      <c r="AL59" s="22">
        <f t="shared" si="4"/>
        <v>312.9147846588009</v>
      </c>
      <c r="AM59" s="62">
        <f t="shared" si="5"/>
        <v>571.84460059742264</v>
      </c>
      <c r="AN59" s="62">
        <f ca="1">AVERAGE(OFFSET($AM$3,0,0,'Données projet'!$E$10+1,1))-AVERAGE(OFFSET($H$3,0,0,'Données projet'!$E$10+1,1))</f>
        <v>289.94963088302325</v>
      </c>
      <c r="AO59" s="62">
        <f t="shared" si="36"/>
        <v>242.84781402593839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258.92981593862373</v>
      </c>
      <c r="BI59" s="62">
        <f ca="1">AVERAGE(OFFSET($BH$3,0,0,'Données projet'!$E$11+1,1))-AVERAGE(OFFSET($H$3,0,0,'Données projet'!$E$11+1,1))</f>
        <v>189.09998601768521</v>
      </c>
      <c r="BJ59" s="62">
        <f t="shared" si="38"/>
        <v>458.38901659119472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>
        <f>BY59*VLOOKUP('Données projet'!$B$12,Paramètres!$A$1:$I$89,3,0)*VLOOKUP('Données projet'!$B$12,Paramètres!$A$1:$I$89,5,0)</f>
        <v>-5.1431925385259088E-14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376.68007030857598</v>
      </c>
      <c r="CE59" s="62">
        <f t="shared" si="40"/>
        <v>532.90758914457626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2.0005790168500561</v>
      </c>
      <c r="CL59" s="23">
        <f>EXP(-LN(2)/25)*CL58+(1-EXP(-LN(2)/25))/(LN(2)/25)*Calculateur!CG59*Calculateur!CI59*VLOOKUP('Données projet'!$B$12,Paramètres!$A$1:$I$89,3,0)*0.475*44/12</f>
        <v>1.2689644877045583</v>
      </c>
      <c r="CM59" s="23">
        <f>EXP(-LN(2)/2)*CM58+(1-EXP(-LN(2)/2))/(LN(2)/2)*CG59*CJ59*VLOOKUP('Données projet'!$B$12,Paramètres!$A$1:$I$89,3,0)*0.475*44/12</f>
        <v>6.3299552936409891E-4</v>
      </c>
      <c r="CN59" s="24">
        <f t="shared" si="12"/>
        <v>3.2701765000839789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10.6</v>
      </c>
      <c r="N60" s="14">
        <f>IF('Données projet'!$A$36&gt;35,N59+M60-V59,IF(A60&lt;'Données projet'!$A$36,$K$205^A60,IF(A60='Données projet'!$A$36,'Données projet'!$B$36,N59+M60-V59)))</f>
        <v>512.19999999999993</v>
      </c>
      <c r="O60" s="14">
        <f>N60*VLOOKUP('Données projet'!$B$9,Paramètres!$A$1:$I$89,3,0)*VLOOKUP('Données projet'!$B$9,Paramètres!$A$1:$I$89,5,0)</f>
        <v>286.31979999999999</v>
      </c>
      <c r="P60" s="14">
        <f t="shared" si="33"/>
        <v>68.300824449741782</v>
      </c>
      <c r="Q60" s="22">
        <f t="shared" si="53"/>
        <v>617.6309209166335</v>
      </c>
      <c r="R60" s="62">
        <f t="shared" si="0"/>
        <v>877.15756096731116</v>
      </c>
      <c r="S60" s="62">
        <f ca="1">AVERAGE(OFFSET($R$3,0,0,'Données projet'!$E$9+1,1))-AVERAGE(OFFSET($H$3,0,0,'Données projet'!$E$9+1,1))</f>
        <v>349.46033149388688</v>
      </c>
      <c r="T60" s="62">
        <f t="shared" si="34"/>
        <v>405.30585610371702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2.4297250399622568E-3</v>
      </c>
      <c r="AC60" s="24">
        <f t="shared" si="3"/>
        <v>2.4297250399622568E-3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312.99999999999989</v>
      </c>
      <c r="AJ60" s="14">
        <f>AI60*VLOOKUP('Données projet'!$B$10,Paramètres!$A$1:$I$89,3,0)*VLOOKUP('Données projet'!$B$10,Paramètres!$A$1:$I$89,5,0)</f>
        <v>146.48399999999995</v>
      </c>
      <c r="AK60" s="14">
        <f t="shared" si="35"/>
        <v>37.778462341925987</v>
      </c>
      <c r="AL60" s="22">
        <f t="shared" si="4"/>
        <v>320.92378857885433</v>
      </c>
      <c r="AM60" s="62">
        <f t="shared" si="5"/>
        <v>580.4504286295321</v>
      </c>
      <c r="AN60" s="62">
        <f ca="1">AVERAGE(OFFSET($AM$3,0,0,'Données projet'!$E$10+1,1))-AVERAGE(OFFSET($H$3,0,0,'Données projet'!$E$10+1,1))</f>
        <v>289.94963088302325</v>
      </c>
      <c r="AO60" s="62">
        <f t="shared" si="36"/>
        <v>242.84781402593839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259.5266400506797</v>
      </c>
      <c r="BI60" s="62">
        <f ca="1">AVERAGE(OFFSET($BH$3,0,0,'Données projet'!$E$11+1,1))-AVERAGE(OFFSET($H$3,0,0,'Données projet'!$E$11+1,1))</f>
        <v>189.09998601768521</v>
      </c>
      <c r="BJ60" s="62">
        <f t="shared" si="38"/>
        <v>458.38901659119472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>
        <f>BY60*VLOOKUP('Données projet'!$B$12,Paramètres!$A$1:$I$89,3,0)*VLOOKUP('Données projet'!$B$12,Paramètres!$A$1:$I$89,5,0)</f>
        <v>-5.1431925385259088E-14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376.68007030857598</v>
      </c>
      <c r="CE60" s="62">
        <f t="shared" si="40"/>
        <v>532.90758914457626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1.9613488825623389</v>
      </c>
      <c r="CL60" s="23">
        <f>EXP(-LN(2)/25)*CL59+(1-EXP(-LN(2)/25))/(LN(2)/25)*Calculateur!CG60*Calculateur!CI60*VLOOKUP('Données projet'!$B$12,Paramètres!$A$1:$I$89,3,0)*0.475*44/12</f>
        <v>1.2342645870563349</v>
      </c>
      <c r="CM60" s="23">
        <f>EXP(-LN(2)/2)*CM59+(1-EXP(-LN(2)/2))/(LN(2)/2)*CG60*CJ60*VLOOKUP('Données projet'!$B$12,Paramètres!$A$1:$I$89,3,0)*0.475*44/12</f>
        <v>4.4759543127412271E-4</v>
      </c>
      <c r="CN60" s="24">
        <f t="shared" si="12"/>
        <v>3.1960610650499475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10.6</v>
      </c>
      <c r="N61" s="14">
        <f>IF('Données projet'!$A$36&gt;35,N60+M61-V60,IF(A61&lt;'Données projet'!$A$36,$K$205^A61,IF(A61='Données projet'!$A$36,'Données projet'!$B$36,N60+M61-V60)))</f>
        <v>522.79999999999995</v>
      </c>
      <c r="O61" s="14">
        <f>N61*VLOOKUP('Données projet'!$B$9,Paramètres!$A$1:$I$89,3,0)*VLOOKUP('Données projet'!$B$9,Paramètres!$A$1:$I$89,5,0)</f>
        <v>292.24519999999995</v>
      </c>
      <c r="P61" s="14">
        <f t="shared" si="33"/>
        <v>69.548289917009257</v>
      </c>
      <c r="Q61" s="22">
        <f t="shared" si="53"/>
        <v>630.12366160545764</v>
      </c>
      <c r="R61" s="62">
        <f t="shared" si="0"/>
        <v>890.23677220414606</v>
      </c>
      <c r="S61" s="62">
        <f ca="1">AVERAGE(OFFSET($R$3,0,0,'Données projet'!$E$9+1,1))-AVERAGE(OFFSET($H$3,0,0,'Données projet'!$E$9+1,1))</f>
        <v>349.46033149388688</v>
      </c>
      <c r="T61" s="62">
        <f t="shared" si="34"/>
        <v>405.30585610371702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1.718075052176067E-3</v>
      </c>
      <c r="AC61" s="24">
        <f t="shared" si="3"/>
        <v>1.718075052176067E-3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320.99999999999989</v>
      </c>
      <c r="AJ61" s="14">
        <f>AI61*VLOOKUP('Données projet'!$B$10,Paramètres!$A$1:$I$89,3,0)*VLOOKUP('Données projet'!$B$10,Paramètres!$A$1:$I$89,5,0)</f>
        <v>150.22799999999995</v>
      </c>
      <c r="AK61" s="14">
        <f t="shared" si="35"/>
        <v>38.630394857933659</v>
      </c>
      <c r="AL61" s="22">
        <f t="shared" si="4"/>
        <v>328.92837104423432</v>
      </c>
      <c r="AM61" s="62">
        <f t="shared" si="5"/>
        <v>589.04148164292269</v>
      </c>
      <c r="AN61" s="62">
        <f ca="1">AVERAGE(OFFSET($AM$3,0,0,'Données projet'!$E$10+1,1))-AVERAGE(OFFSET($H$3,0,0,'Données projet'!$E$10+1,1))</f>
        <v>289.94963088302325</v>
      </c>
      <c r="AO61" s="62">
        <f t="shared" si="36"/>
        <v>242.84781402593839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260.11311059869041</v>
      </c>
      <c r="BI61" s="62">
        <f ca="1">AVERAGE(OFFSET($BH$3,0,0,'Données projet'!$E$11+1,1))-AVERAGE(OFFSET($H$3,0,0,'Données projet'!$E$11+1,1))</f>
        <v>189.09998601768521</v>
      </c>
      <c r="BJ61" s="62">
        <f t="shared" si="38"/>
        <v>458.38901659119472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>
        <f>BY61*VLOOKUP('Données projet'!$B$12,Paramètres!$A$1:$I$89,3,0)*VLOOKUP('Données projet'!$B$12,Paramètres!$A$1:$I$89,5,0)</f>
        <v>-5.1431925385259088E-14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376.68007030857598</v>
      </c>
      <c r="CE61" s="62">
        <f t="shared" si="40"/>
        <v>532.90758914457626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1.9228880272799844</v>
      </c>
      <c r="CL61" s="23">
        <f>EXP(-LN(2)/25)*CL60+(1-EXP(-LN(2)/25))/(LN(2)/25)*Calculateur!CG61*Calculateur!CI61*VLOOKUP('Données projet'!$B$12,Paramètres!$A$1:$I$89,3,0)*0.475*44/12</f>
        <v>1.2005135570161258</v>
      </c>
      <c r="CM61" s="23">
        <f>EXP(-LN(2)/2)*CM60+(1-EXP(-LN(2)/2))/(LN(2)/2)*CG61*CJ61*VLOOKUP('Données projet'!$B$12,Paramètres!$A$1:$I$89,3,0)*0.475*44/12</f>
        <v>3.1649776468204945E-4</v>
      </c>
      <c r="CN61" s="24">
        <f t="shared" si="12"/>
        <v>3.1237180820607926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10.6</v>
      </c>
      <c r="N62" s="14">
        <f>IF('Données projet'!$A$36&gt;35,N61+M62-V61,IF(A62&lt;'Données projet'!$A$36,$K$205^A62,IF(A62='Données projet'!$A$36,'Données projet'!$B$36,N61+M62-V61)))</f>
        <v>533.4</v>
      </c>
      <c r="O62" s="14">
        <f>N62*VLOOKUP('Données projet'!$B$9,Paramètres!$A$1:$I$89,3,0)*VLOOKUP('Données projet'!$B$9,Paramètres!$A$1:$I$89,5,0)</f>
        <v>298.17059999999998</v>
      </c>
      <c r="P62" s="14">
        <f t="shared" si="33"/>
        <v>70.792814547818836</v>
      </c>
      <c r="Q62" s="22">
        <f t="shared" si="53"/>
        <v>642.61128033745115</v>
      </c>
      <c r="R62" s="62">
        <f t="shared" si="0"/>
        <v>903.30068753129399</v>
      </c>
      <c r="S62" s="62">
        <f ca="1">AVERAGE(OFFSET($R$3,0,0,'Données projet'!$E$9+1,1))-AVERAGE(OFFSET($H$3,0,0,'Données projet'!$E$9+1,1))</f>
        <v>349.46033149388688</v>
      </c>
      <c r="T62" s="62">
        <f t="shared" si="34"/>
        <v>405.30585610371702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1.2148625199811284E-3</v>
      </c>
      <c r="AC62" s="24">
        <f t="shared" si="3"/>
        <v>1.2148625199811284E-3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328.99999999999989</v>
      </c>
      <c r="AJ62" s="14">
        <f>AI62*VLOOKUP('Données projet'!$B$10,Paramètres!$A$1:$I$89,3,0)*VLOOKUP('Données projet'!$B$10,Paramètres!$A$1:$I$89,5,0)</f>
        <v>153.97199999999995</v>
      </c>
      <c r="AK62" s="14">
        <f t="shared" si="35"/>
        <v>39.479859284656378</v>
      </c>
      <c r="AL62" s="22">
        <f t="shared" si="4"/>
        <v>336.92865492077641</v>
      </c>
      <c r="AM62" s="62">
        <f t="shared" si="5"/>
        <v>597.61806211461919</v>
      </c>
      <c r="AN62" s="62">
        <f ca="1">AVERAGE(OFFSET($AM$3,0,0,'Données projet'!$E$10+1,1))-AVERAGE(OFFSET($H$3,0,0,'Données projet'!$E$10+1,1))</f>
        <v>289.94963088302325</v>
      </c>
      <c r="AO62" s="62">
        <f t="shared" si="36"/>
        <v>242.84781402593839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260.68940719384477</v>
      </c>
      <c r="BI62" s="62">
        <f ca="1">AVERAGE(OFFSET($BH$3,0,0,'Données projet'!$E$11+1,1))-AVERAGE(OFFSET($H$3,0,0,'Données projet'!$E$11+1,1))</f>
        <v>189.09998601768521</v>
      </c>
      <c r="BJ62" s="62">
        <f t="shared" si="38"/>
        <v>458.38901659119472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>
        <f>BY62*VLOOKUP('Données projet'!$B$12,Paramètres!$A$1:$I$89,3,0)*VLOOKUP('Données projet'!$B$12,Paramètres!$A$1:$I$89,5,0)</f>
        <v>-5.1431925385259088E-14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376.68007030857598</v>
      </c>
      <c r="CE62" s="62">
        <f t="shared" si="40"/>
        <v>532.90758914457626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1.8851813659109116</v>
      </c>
      <c r="CL62" s="23">
        <f>EXP(-LN(2)/25)*CL61+(1-EXP(-LN(2)/25))/(LN(2)/25)*Calculateur!CG62*Calculateur!CI62*VLOOKUP('Données projet'!$B$12,Paramètres!$A$1:$I$89,3,0)*0.475*44/12</f>
        <v>1.1676854506672558</v>
      </c>
      <c r="CM62" s="23">
        <f>EXP(-LN(2)/2)*CM61+(1-EXP(-LN(2)/2))/(LN(2)/2)*CG62*CJ62*VLOOKUP('Données projet'!$B$12,Paramètres!$A$1:$I$89,3,0)*0.475*44/12</f>
        <v>2.2379771563706135E-4</v>
      </c>
      <c r="CN62" s="24">
        <f t="shared" si="12"/>
        <v>3.0530906142938048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544</v>
      </c>
      <c r="L63" s="13">
        <f>VLOOKUP(A63,'Données projet'!$A$35:$I$55,9,0)</f>
        <v>10.6</v>
      </c>
      <c r="M63" s="13">
        <f t="array" ref="M63">INDEX(L:L,MIN(IF(ISNUMBER(L63:L259),ROW(L63:L259),"")))</f>
        <v>10.6</v>
      </c>
      <c r="N63" s="14">
        <f>IF('Données projet'!$A$36&gt;35,N62+M63-V62,IF(A63&lt;'Données projet'!$A$36,$K$205^A63,IF(A63='Données projet'!$A$36,'Données projet'!$B$36,N62+M63-V62)))</f>
        <v>544</v>
      </c>
      <c r="O63" s="14">
        <f>N63*VLOOKUP('Données projet'!$B$9,Paramètres!$A$1:$I$89,3,0)*VLOOKUP('Données projet'!$B$9,Paramètres!$A$1:$I$89,5,0)</f>
        <v>304.096</v>
      </c>
      <c r="P63" s="14">
        <f t="shared" si="33"/>
        <v>72.034463519873213</v>
      </c>
      <c r="Q63" s="22">
        <f t="shared" si="53"/>
        <v>655.0938906304458</v>
      </c>
      <c r="R63" s="62">
        <f t="shared" si="0"/>
        <v>916.34959696192323</v>
      </c>
      <c r="S63" s="62">
        <f ca="1">AVERAGE(OFFSET($R$3,0,0,'Données projet'!$E$9+1,1))-AVERAGE(OFFSET($H$3,0,0,'Données projet'!$E$9+1,1))</f>
        <v>349.46033149388688</v>
      </c>
      <c r="T63" s="62">
        <f t="shared" si="34"/>
        <v>405.30585610371702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544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8.5903752608803348E-4</v>
      </c>
      <c r="AC63" s="24">
        <f t="shared" si="3"/>
        <v>8.5903752608803348E-4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336.99999999999989</v>
      </c>
      <c r="AJ63" s="14">
        <f>AI63*VLOOKUP('Données projet'!$B$10,Paramètres!$A$1:$I$89,3,0)*VLOOKUP('Données projet'!$B$10,Paramètres!$A$1:$I$89,5,0)</f>
        <v>157.71599999999995</v>
      </c>
      <c r="AK63" s="14">
        <f t="shared" si="35"/>
        <v>40.326922540698838</v>
      </c>
      <c r="AL63" s="22">
        <f t="shared" si="4"/>
        <v>344.92475675838369</v>
      </c>
      <c r="AM63" s="62">
        <f t="shared" si="5"/>
        <v>606.18046308986118</v>
      </c>
      <c r="AN63" s="62">
        <f ca="1">AVERAGE(OFFSET($AM$3,0,0,'Données projet'!$E$10+1,1))-AVERAGE(OFFSET($H$3,0,0,'Données projet'!$E$10+1,1))</f>
        <v>289.94963088302325</v>
      </c>
      <c r="AO63" s="62">
        <f t="shared" si="36"/>
        <v>242.84781402593839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261.25570633147947</v>
      </c>
      <c r="BI63" s="62">
        <f ca="1">AVERAGE(OFFSET($BH$3,0,0,'Données projet'!$E$11+1,1))-AVERAGE(OFFSET($H$3,0,0,'Données projet'!$E$11+1,1))</f>
        <v>189.09998601768521</v>
      </c>
      <c r="BJ63" s="62">
        <f t="shared" si="38"/>
        <v>458.38901659119472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>
        <f>BY63*VLOOKUP('Données projet'!$B$12,Paramètres!$A$1:$I$89,3,0)*VLOOKUP('Données projet'!$B$12,Paramètres!$A$1:$I$89,5,0)</f>
        <v>-5.1431925385259088E-14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376.68007030857598</v>
      </c>
      <c r="CE63" s="62">
        <f t="shared" si="40"/>
        <v>532.90758914457626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1.8482141091724937</v>
      </c>
      <c r="CL63" s="23">
        <f>EXP(-LN(2)/25)*CL62+(1-EXP(-LN(2)/25))/(LN(2)/25)*Calculateur!CG63*Calculateur!CI63*VLOOKUP('Données projet'!$B$12,Paramètres!$A$1:$I$89,3,0)*0.475*44/12</f>
        <v>1.1357550306128505</v>
      </c>
      <c r="CM63" s="23">
        <f>EXP(-LN(2)/2)*CM62+(1-EXP(-LN(2)/2))/(LN(2)/2)*CG63*CJ63*VLOOKUP('Données projet'!$B$12,Paramètres!$A$1:$I$89,3,0)*0.475*44/12</f>
        <v>1.5824888234102473E-4</v>
      </c>
      <c r="CN63" s="24">
        <f t="shared" si="12"/>
        <v>2.9841273886676851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349.46033149388688</v>
      </c>
      <c r="T64" s="62">
        <f t="shared" si="34"/>
        <v>405.30585610371702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6.074312599905642E-4</v>
      </c>
      <c r="AC64" s="24">
        <f t="shared" si="3"/>
        <v>6.074312599905642E-4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277.49999999999989</v>
      </c>
      <c r="AJ64" s="14">
        <f>AI64*VLOOKUP('Données projet'!$B$10,Paramètres!$A$1:$I$89,3,0)*VLOOKUP('Données projet'!$B$10,Paramètres!$A$1:$I$89,5,0)</f>
        <v>129.86999999999995</v>
      </c>
      <c r="AK64" s="14">
        <f t="shared" si="35"/>
        <v>33.966318400312289</v>
      </c>
      <c r="AL64" s="22">
        <f t="shared" si="4"/>
        <v>285.34825454721044</v>
      </c>
      <c r="AM64" s="62">
        <f t="shared" si="5"/>
        <v>547.16043599233979</v>
      </c>
      <c r="AN64" s="62">
        <f ca="1">AVERAGE(OFFSET($AM$3,0,0,'Données projet'!$E$10+1,1))-AVERAGE(OFFSET($H$3,0,0,'Données projet'!$E$10+1,1))</f>
        <v>289.94963088302325</v>
      </c>
      <c r="AO64" s="62">
        <f t="shared" si="36"/>
        <v>242.84781402593839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261.81218144513133</v>
      </c>
      <c r="BI64" s="62">
        <f ca="1">AVERAGE(OFFSET($BH$3,0,0,'Données projet'!$E$11+1,1))-AVERAGE(OFFSET($H$3,0,0,'Données projet'!$E$11+1,1))</f>
        <v>189.09998601768521</v>
      </c>
      <c r="BJ64" s="62">
        <f t="shared" si="38"/>
        <v>458.38901659119472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>
        <f>BY64*VLOOKUP('Données projet'!$B$12,Paramètres!$A$1:$I$89,3,0)*VLOOKUP('Données projet'!$B$12,Paramètres!$A$1:$I$89,5,0)</f>
        <v>-5.1431925385259088E-14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376.68007030857598</v>
      </c>
      <c r="CE64" s="62">
        <f t="shared" si="40"/>
        <v>532.90758914457626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1.8119717577909162</v>
      </c>
      <c r="CL64" s="23">
        <f>EXP(-LN(2)/25)*CL63+(1-EXP(-LN(2)/25))/(LN(2)/25)*Calculateur!CG64*Calculateur!CI64*VLOOKUP('Données projet'!$B$12,Paramètres!$A$1:$I$89,3,0)*0.475*44/12</f>
        <v>1.1046977495739809</v>
      </c>
      <c r="CM64" s="23">
        <f>EXP(-LN(2)/2)*CM63+(1-EXP(-LN(2)/2))/(LN(2)/2)*CG64*CJ64*VLOOKUP('Données projet'!$B$12,Paramètres!$A$1:$I$89,3,0)*0.475*44/12</f>
        <v>1.1189885781853068E-4</v>
      </c>
      <c r="CN64" s="24">
        <f t="shared" si="12"/>
        <v>2.9167814062227158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349.46033149388688</v>
      </c>
      <c r="T65" s="62">
        <f t="shared" si="34"/>
        <v>405.30585610371702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4.2951876304401674E-4</v>
      </c>
      <c r="AC65" s="24">
        <f t="shared" si="3"/>
        <v>4.2951876304401674E-4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284.99999999999989</v>
      </c>
      <c r="AJ65" s="14">
        <f>AI65*VLOOKUP('Données projet'!$B$10,Paramètres!$A$1:$I$89,3,0)*VLOOKUP('Données projet'!$B$10,Paramètres!$A$1:$I$89,5,0)</f>
        <v>133.37999999999994</v>
      </c>
      <c r="AK65" s="14">
        <f t="shared" si="35"/>
        <v>34.776207535548991</v>
      </c>
      <c r="AL65" s="22">
        <f t="shared" si="4"/>
        <v>292.87206145774769</v>
      </c>
      <c r="AM65" s="62">
        <f t="shared" si="5"/>
        <v>555.23106441739901</v>
      </c>
      <c r="AN65" s="62">
        <f ca="1">AVERAGE(OFFSET($AM$3,0,0,'Données projet'!$E$10+1,1))-AVERAGE(OFFSET($H$3,0,0,'Données projet'!$E$10+1,1))</f>
        <v>289.94963088302325</v>
      </c>
      <c r="AO65" s="62">
        <f t="shared" si="36"/>
        <v>242.84781402593839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262.35900295965331</v>
      </c>
      <c r="BI65" s="62">
        <f ca="1">AVERAGE(OFFSET($BH$3,0,0,'Données projet'!$E$11+1,1))-AVERAGE(OFFSET($H$3,0,0,'Données projet'!$E$11+1,1))</f>
        <v>189.09998601768521</v>
      </c>
      <c r="BJ65" s="62">
        <f t="shared" si="38"/>
        <v>458.38901659119472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>
        <f>BY65*VLOOKUP('Données projet'!$B$12,Paramètres!$A$1:$I$89,3,0)*VLOOKUP('Données projet'!$B$12,Paramètres!$A$1:$I$89,5,0)</f>
        <v>-5.1431925385259088E-14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376.68007030857598</v>
      </c>
      <c r="CE65" s="62">
        <f t="shared" si="40"/>
        <v>532.90758914457626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1.7764400968142797</v>
      </c>
      <c r="CL65" s="23">
        <f>EXP(-LN(2)/25)*CL64+(1-EXP(-LN(2)/25))/(LN(2)/25)*Calculateur!CG65*Calculateur!CI65*VLOOKUP('Données projet'!$B$12,Paramètres!$A$1:$I$89,3,0)*0.475*44/12</f>
        <v>1.0744897315183506</v>
      </c>
      <c r="CM65" s="23">
        <f>EXP(-LN(2)/2)*CM64+(1-EXP(-LN(2)/2))/(LN(2)/2)*CG65*CJ65*VLOOKUP('Données projet'!$B$12,Paramètres!$A$1:$I$89,3,0)*0.475*44/12</f>
        <v>7.9124441170512364E-5</v>
      </c>
      <c r="CN65" s="24">
        <f t="shared" si="12"/>
        <v>2.851008952773801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349.46033149388688</v>
      </c>
      <c r="T66" s="62">
        <f t="shared" si="34"/>
        <v>405.30585610371702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3.037156299952821E-4</v>
      </c>
      <c r="AC66" s="24">
        <f t="shared" si="3"/>
        <v>3.037156299952821E-4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292.49999999999989</v>
      </c>
      <c r="AJ66" s="14">
        <f>AI66*VLOOKUP('Données projet'!$B$10,Paramètres!$A$1:$I$89,3,0)*VLOOKUP('Données projet'!$B$10,Paramètres!$A$1:$I$89,5,0)</f>
        <v>136.88999999999996</v>
      </c>
      <c r="AK66" s="14">
        <f t="shared" si="35"/>
        <v>35.583619346017713</v>
      </c>
      <c r="AL66" s="22">
        <f t="shared" si="4"/>
        <v>300.3915536943141</v>
      </c>
      <c r="AM66" s="62">
        <f t="shared" si="5"/>
        <v>563.28789203772021</v>
      </c>
      <c r="AN66" s="62">
        <f ca="1">AVERAGE(OFFSET($AM$3,0,0,'Données projet'!$E$10+1,1))-AVERAGE(OFFSET($H$3,0,0,'Données projet'!$E$10+1,1))</f>
        <v>289.94963088302325</v>
      </c>
      <c r="AO66" s="62">
        <f t="shared" si="36"/>
        <v>242.84781402593839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262.8963383434081</v>
      </c>
      <c r="BI66" s="62">
        <f ca="1">AVERAGE(OFFSET($BH$3,0,0,'Données projet'!$E$11+1,1))-AVERAGE(OFFSET($H$3,0,0,'Données projet'!$E$11+1,1))</f>
        <v>189.09998601768521</v>
      </c>
      <c r="BJ66" s="62">
        <f t="shared" si="38"/>
        <v>458.38901659119472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>
        <f>BY66*VLOOKUP('Données projet'!$B$12,Paramètres!$A$1:$I$89,3,0)*VLOOKUP('Données projet'!$B$12,Paramètres!$A$1:$I$89,5,0)</f>
        <v>-5.1431925385259088E-14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376.68007030857598</v>
      </c>
      <c r="CE66" s="62">
        <f t="shared" si="40"/>
        <v>532.90758914457626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1.7416051900372218</v>
      </c>
      <c r="CL66" s="23">
        <f>EXP(-LN(2)/25)*CL65+(1-EXP(-LN(2)/25))/(LN(2)/25)*Calculateur!CG66*Calculateur!CI66*VLOOKUP('Données projet'!$B$12,Paramètres!$A$1:$I$89,3,0)*0.475*44/12</f>
        <v>1.0451077533050221</v>
      </c>
      <c r="CM66" s="23">
        <f>EXP(-LN(2)/2)*CM65+(1-EXP(-LN(2)/2))/(LN(2)/2)*CG66*CJ66*VLOOKUP('Données projet'!$B$12,Paramètres!$A$1:$I$89,3,0)*0.475*44/12</f>
        <v>5.5949428909265339E-5</v>
      </c>
      <c r="CN66" s="24">
        <f t="shared" si="12"/>
        <v>2.7867688927711534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349.46033149388688</v>
      </c>
      <c r="T67" s="62">
        <f t="shared" si="34"/>
        <v>405.30585610371702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2.1475938152200837E-4</v>
      </c>
      <c r="AC67" s="24">
        <f t="shared" si="3"/>
        <v>2.1475938152200837E-4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299.99999999999989</v>
      </c>
      <c r="AJ67" s="14">
        <f>AI67*VLOOKUP('Données projet'!$B$10,Paramètres!$A$1:$I$89,3,0)*VLOOKUP('Données projet'!$B$10,Paramètres!$A$1:$I$89,5,0)</f>
        <v>140.39999999999995</v>
      </c>
      <c r="AK67" s="14">
        <f t="shared" si="35"/>
        <v>36.388624656711166</v>
      </c>
      <c r="AL67" s="22">
        <f t="shared" si="4"/>
        <v>307.90685461043853</v>
      </c>
      <c r="AM67" s="62">
        <f t="shared" si="5"/>
        <v>571.33120676999329</v>
      </c>
      <c r="AN67" s="62">
        <f ca="1">AVERAGE(OFFSET($AM$3,0,0,'Données projet'!$E$10+1,1))-AVERAGE(OFFSET($H$3,0,0,'Données projet'!$E$10+1,1))</f>
        <v>289.94963088302325</v>
      </c>
      <c r="AO67" s="62">
        <f t="shared" si="36"/>
        <v>242.84781402593839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263.42435215955675</v>
      </c>
      <c r="BI67" s="62">
        <f ca="1">AVERAGE(OFFSET($BH$3,0,0,'Données projet'!$E$11+1,1))-AVERAGE(OFFSET($H$3,0,0,'Données projet'!$E$11+1,1))</f>
        <v>189.09998601768521</v>
      </c>
      <c r="BJ67" s="62">
        <f t="shared" si="38"/>
        <v>458.38901659119472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>
        <f>BY67*VLOOKUP('Données projet'!$B$12,Paramètres!$A$1:$I$89,3,0)*VLOOKUP('Données projet'!$B$12,Paramètres!$A$1:$I$89,5,0)</f>
        <v>-5.1431925385259088E-14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376.68007030857598</v>
      </c>
      <c r="CE67" s="62">
        <f t="shared" si="40"/>
        <v>532.90758914457626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1.707453374534867</v>
      </c>
      <c r="CL67" s="23">
        <f>EXP(-LN(2)/25)*CL66+(1-EXP(-LN(2)/25))/(LN(2)/25)*Calculateur!CG67*Calculateur!CI67*VLOOKUP('Données projet'!$B$12,Paramètres!$A$1:$I$89,3,0)*0.475*44/12</f>
        <v>1.0165292268310682</v>
      </c>
      <c r="CM67" s="23">
        <f>EXP(-LN(2)/2)*CM66+(1-EXP(-LN(2)/2))/(LN(2)/2)*CG67*CJ67*VLOOKUP('Données projet'!$B$12,Paramètres!$A$1:$I$89,3,0)*0.475*44/12</f>
        <v>3.9562220585256182E-5</v>
      </c>
      <c r="CN67" s="24">
        <f t="shared" si="12"/>
        <v>2.7240221635865205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349.46033149388688</v>
      </c>
      <c r="T68" s="62">
        <f t="shared" si="34"/>
        <v>405.30585610371702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1.5185781499764105E-4</v>
      </c>
      <c r="AC68" s="24">
        <f t="shared" ref="AC68:AC131" si="57">SUM(Z68:AB68)</f>
        <v>1.5185781499764105E-4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307.49999999999989</v>
      </c>
      <c r="AJ68" s="14">
        <f>AI68*VLOOKUP('Données projet'!$B$10,Paramètres!$A$1:$I$89,3,0)*VLOOKUP('Données projet'!$B$10,Paramètres!$A$1:$I$89,5,0)</f>
        <v>143.90999999999994</v>
      </c>
      <c r="AK68" s="14">
        <f t="shared" si="35"/>
        <v>37.191290549543396</v>
      </c>
      <c r="AL68" s="22">
        <f t="shared" ref="AL68:AL131" si="58">(AJ68+AK68)*0.475*44/12</f>
        <v>315.41808104045464</v>
      </c>
      <c r="AM68" s="62">
        <f t="shared" ref="AM68:AM131" si="59">AL68+(AD68+AE68)*44/12</f>
        <v>579.36128715690984</v>
      </c>
      <c r="AN68" s="62">
        <f ca="1">AVERAGE(OFFSET($AM$3,0,0,'Données projet'!$E$10+1,1))-AVERAGE(OFFSET($H$3,0,0,'Données projet'!$E$10+1,1))</f>
        <v>289.94963088302325</v>
      </c>
      <c r="AO68" s="62">
        <f t="shared" si="36"/>
        <v>242.84781402593839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263.94320611645719</v>
      </c>
      <c r="BI68" s="62">
        <f ca="1">AVERAGE(OFFSET($BH$3,0,0,'Données projet'!$E$11+1,1))-AVERAGE(OFFSET($H$3,0,0,'Données projet'!$E$11+1,1))</f>
        <v>189.09998601768521</v>
      </c>
      <c r="BJ68" s="62">
        <f t="shared" si="38"/>
        <v>458.38901659119472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>
        <f>BY68*VLOOKUP('Données projet'!$B$12,Paramètres!$A$1:$I$89,3,0)*VLOOKUP('Données projet'!$B$12,Paramètres!$A$1:$I$89,5,0)</f>
        <v>-5.1431925385259088E-14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376.68007030857598</v>
      </c>
      <c r="CE68" s="62">
        <f t="shared" si="40"/>
        <v>532.90758914457626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1.6739712553039627</v>
      </c>
      <c r="CL68" s="23">
        <f>EXP(-LN(2)/25)*CL67+(1-EXP(-LN(2)/25))/(LN(2)/25)*Calculateur!CG68*Calculateur!CI68*VLOOKUP('Données projet'!$B$12,Paramètres!$A$1:$I$89,3,0)*0.475*44/12</f>
        <v>0.98873218166642385</v>
      </c>
      <c r="CM68" s="23">
        <f>EXP(-LN(2)/2)*CM67+(1-EXP(-LN(2)/2))/(LN(2)/2)*CG68*CJ68*VLOOKUP('Données projet'!$B$12,Paramètres!$A$1:$I$89,3,0)*0.475*44/12</f>
        <v>2.7974714454632669E-5</v>
      </c>
      <c r="CN68" s="24">
        <f t="shared" ref="CN68:CN131" si="66">SUM(CK68:CM68)</f>
        <v>2.6627314116848413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349.46033149388688</v>
      </c>
      <c r="T69" s="62">
        <f t="shared" ref="T69:T132" si="88">$T$3</f>
        <v>405.30585610371702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1.0737969076100419E-4</v>
      </c>
      <c r="AC69" s="24">
        <f t="shared" si="57"/>
        <v>1.0737969076100419E-4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314.99999999999989</v>
      </c>
      <c r="AJ69" s="14">
        <f>AI69*VLOOKUP('Données projet'!$B$10,Paramètres!$A$1:$I$89,3,0)*VLOOKUP('Données projet'!$B$10,Paramètres!$A$1:$I$89,5,0)</f>
        <v>147.41999999999993</v>
      </c>
      <c r="AK69" s="14">
        <f t="shared" ref="AK69:AK132" si="89">EXP(-1.0587+0.8836*LN(AJ69)+0.284)</f>
        <v>37.991680647570291</v>
      </c>
      <c r="AL69" s="22">
        <f t="shared" si="58"/>
        <v>322.92534379451814</v>
      </c>
      <c r="AM69" s="62">
        <f t="shared" si="59"/>
        <v>587.37840291170528</v>
      </c>
      <c r="AN69" s="62">
        <f ca="1">AVERAGE(OFFSET($AM$3,0,0,'Données projet'!$E$10+1,1))-AVERAGE(OFFSET($H$3,0,0,'Données projet'!$E$10+1,1))</f>
        <v>289.94963088302325</v>
      </c>
      <c r="AO69" s="62">
        <f t="shared" ref="AO69:AO132" si="90">$AO$3</f>
        <v>242.84781402593839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264.45305911718907</v>
      </c>
      <c r="BI69" s="62">
        <f ca="1">AVERAGE(OFFSET($BH$3,0,0,'Données projet'!$E$11+1,1))-AVERAGE(OFFSET($H$3,0,0,'Données projet'!$E$11+1,1))</f>
        <v>189.09998601768521</v>
      </c>
      <c r="BJ69" s="62">
        <f t="shared" ref="BJ69:BJ132" si="92">$BJ$3</f>
        <v>458.38901659119472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>
        <f>BY69*VLOOKUP('Données projet'!$B$12,Paramètres!$A$1:$I$89,3,0)*VLOOKUP('Données projet'!$B$12,Paramètres!$A$1:$I$89,5,0)</f>
        <v>-5.1431925385259088E-14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376.68007030857598</v>
      </c>
      <c r="CE69" s="62">
        <f t="shared" ref="CE69:CE132" si="94">$CE$3</f>
        <v>532.90758914457626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1.6411457000091003</v>
      </c>
      <c r="CL69" s="23">
        <f>EXP(-LN(2)/25)*CL68+(1-EXP(-LN(2)/25))/(LN(2)/25)*Calculateur!CG69*Calculateur!CI69*VLOOKUP('Données projet'!$B$12,Paramètres!$A$1:$I$89,3,0)*0.475*44/12</f>
        <v>0.96169524816358987</v>
      </c>
      <c r="CM69" s="23">
        <f>EXP(-LN(2)/2)*CM68+(1-EXP(-LN(2)/2))/(LN(2)/2)*CG69*CJ69*VLOOKUP('Données projet'!$B$12,Paramètres!$A$1:$I$89,3,0)*0.475*44/12</f>
        <v>1.9781110292628091E-5</v>
      </c>
      <c r="CN69" s="24">
        <f t="shared" si="66"/>
        <v>2.6028607292829826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349.46033149388688</v>
      </c>
      <c r="T70" s="62">
        <f t="shared" si="88"/>
        <v>405.30585610371702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7.5928907498820525E-5</v>
      </c>
      <c r="AC70" s="24">
        <f t="shared" si="57"/>
        <v>7.5928907498820525E-5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322.49999999999989</v>
      </c>
      <c r="AJ70" s="14">
        <f>AI70*VLOOKUP('Données projet'!$B$10,Paramètres!$A$1:$I$89,3,0)*VLOOKUP('Données projet'!$B$10,Paramètres!$A$1:$I$89,5,0)</f>
        <v>150.92999999999995</v>
      </c>
      <c r="AK70" s="14">
        <f t="shared" si="89"/>
        <v>38.789855371379041</v>
      </c>
      <c r="AL70" s="22">
        <f t="shared" si="58"/>
        <v>330.42874810515173</v>
      </c>
      <c r="AM70" s="62">
        <f t="shared" si="59"/>
        <v>595.38281541336869</v>
      </c>
      <c r="AN70" s="62">
        <f ca="1">AVERAGE(OFFSET($AM$3,0,0,'Données projet'!$E$10+1,1))-AVERAGE(OFFSET($H$3,0,0,'Données projet'!$E$10+1,1))</f>
        <v>289.94963088302325</v>
      </c>
      <c r="AO70" s="62">
        <f t="shared" si="90"/>
        <v>242.84781402593839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264.9540673082189</v>
      </c>
      <c r="BI70" s="62">
        <f ca="1">AVERAGE(OFFSET($BH$3,0,0,'Données projet'!$E$11+1,1))-AVERAGE(OFFSET($H$3,0,0,'Données projet'!$E$11+1,1))</f>
        <v>189.09998601768521</v>
      </c>
      <c r="BJ70" s="62">
        <f t="shared" si="92"/>
        <v>458.38901659119472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>
        <f>BY70*VLOOKUP('Données projet'!$B$12,Paramètres!$A$1:$I$89,3,0)*VLOOKUP('Données projet'!$B$12,Paramètres!$A$1:$I$89,5,0)</f>
        <v>-5.1431925385259088E-14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376.68007030857598</v>
      </c>
      <c r="CE70" s="62">
        <f t="shared" si="94"/>
        <v>532.90758914457626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1.6089638338319583</v>
      </c>
      <c r="CL70" s="23">
        <f>EXP(-LN(2)/25)*CL69+(1-EXP(-LN(2)/25))/(LN(2)/25)*Calculateur!CG70*Calculateur!CI70*VLOOKUP('Données projet'!$B$12,Paramètres!$A$1:$I$89,3,0)*0.475*44/12</f>
        <v>0.93539764102920142</v>
      </c>
      <c r="CM70" s="23">
        <f>EXP(-LN(2)/2)*CM69+(1-EXP(-LN(2)/2))/(LN(2)/2)*CG70*CJ70*VLOOKUP('Données projet'!$B$12,Paramètres!$A$1:$I$89,3,0)*0.475*44/12</f>
        <v>1.3987357227316335E-5</v>
      </c>
      <c r="CN70" s="24">
        <f t="shared" si="66"/>
        <v>2.5443754622183867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349.46033149388688</v>
      </c>
      <c r="T71" s="62">
        <f t="shared" si="88"/>
        <v>405.30585610371702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5.3689845380502093E-5</v>
      </c>
      <c r="AC71" s="24">
        <f t="shared" si="57"/>
        <v>5.3689845380502093E-5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329.99999999999989</v>
      </c>
      <c r="AJ71" s="14">
        <f>AI71*VLOOKUP('Données projet'!$B$10,Paramètres!$A$1:$I$89,3,0)*VLOOKUP('Données projet'!$B$10,Paramètres!$A$1:$I$89,5,0)</f>
        <v>154.43999999999994</v>
      </c>
      <c r="AK71" s="14">
        <f t="shared" si="89"/>
        <v>39.585872170955454</v>
      </c>
      <c r="AL71" s="22">
        <f t="shared" si="58"/>
        <v>337.92839403108059</v>
      </c>
      <c r="AM71" s="62">
        <f t="shared" si="59"/>
        <v>603.37477815829948</v>
      </c>
      <c r="AN71" s="62">
        <f ca="1">AVERAGE(OFFSET($AM$3,0,0,'Données projet'!$E$10+1,1))-AVERAGE(OFFSET($H$3,0,0,'Données projet'!$E$10+1,1))</f>
        <v>289.94963088302325</v>
      </c>
      <c r="AO71" s="62">
        <f t="shared" si="90"/>
        <v>242.84781402593839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265.44638412722082</v>
      </c>
      <c r="BI71" s="62">
        <f ca="1">AVERAGE(OFFSET($BH$3,0,0,'Données projet'!$E$11+1,1))-AVERAGE(OFFSET($H$3,0,0,'Données projet'!$E$11+1,1))</f>
        <v>189.09998601768521</v>
      </c>
      <c r="BJ71" s="62">
        <f t="shared" si="92"/>
        <v>458.38901659119472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>
        <f>BY71*VLOOKUP('Données projet'!$B$12,Paramètres!$A$1:$I$89,3,0)*VLOOKUP('Données projet'!$B$12,Paramètres!$A$1:$I$89,5,0)</f>
        <v>-5.1431925385259088E-14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376.68007030857598</v>
      </c>
      <c r="CE71" s="62">
        <f t="shared" si="94"/>
        <v>532.90758914457626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1.5774130344215498</v>
      </c>
      <c r="CL71" s="23">
        <f>EXP(-LN(2)/25)*CL70+(1-EXP(-LN(2)/25))/(LN(2)/25)*Calculateur!CG71*Calculateur!CI71*VLOOKUP('Données projet'!$B$12,Paramètres!$A$1:$I$89,3,0)*0.475*44/12</f>
        <v>0.90981914334483383</v>
      </c>
      <c r="CM71" s="23">
        <f>EXP(-LN(2)/2)*CM70+(1-EXP(-LN(2)/2))/(LN(2)/2)*CG71*CJ71*VLOOKUP('Données projet'!$B$12,Paramètres!$A$1:$I$89,3,0)*0.475*44/12</f>
        <v>9.8905551463140454E-6</v>
      </c>
      <c r="CN71" s="24">
        <f t="shared" si="66"/>
        <v>2.4872420683215299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349.46033149388688</v>
      </c>
      <c r="T72" s="62">
        <f t="shared" si="88"/>
        <v>405.30585610371702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3.7964453749410262E-5</v>
      </c>
      <c r="AC72" s="24">
        <f t="shared" si="57"/>
        <v>3.7964453749410262E-5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337.49999999999989</v>
      </c>
      <c r="AJ72" s="14">
        <f>AI72*VLOOKUP('Données projet'!$B$10,Paramètres!$A$1:$I$89,3,0)*VLOOKUP('Données projet'!$B$10,Paramètres!$A$1:$I$89,5,0)</f>
        <v>157.94999999999996</v>
      </c>
      <c r="AK72" s="14">
        <f t="shared" si="89"/>
        <v>40.379785735878301</v>
      </c>
      <c r="AL72" s="22">
        <f t="shared" si="58"/>
        <v>345.42437682332121</v>
      </c>
      <c r="AM72" s="62">
        <f t="shared" si="59"/>
        <v>611.35453717338783</v>
      </c>
      <c r="AN72" s="62">
        <f ca="1">AVERAGE(OFFSET($AM$3,0,0,'Données projet'!$E$10+1,1))-AVERAGE(OFFSET($H$3,0,0,'Données projet'!$E$10+1,1))</f>
        <v>289.94963088302325</v>
      </c>
      <c r="AO72" s="62">
        <f t="shared" si="90"/>
        <v>242.84781402593839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265.93016035006855</v>
      </c>
      <c r="BI72" s="62">
        <f ca="1">AVERAGE(OFFSET($BH$3,0,0,'Données projet'!$E$11+1,1))-AVERAGE(OFFSET($H$3,0,0,'Données projet'!$E$11+1,1))</f>
        <v>189.09998601768521</v>
      </c>
      <c r="BJ72" s="62">
        <f t="shared" si="92"/>
        <v>458.38901659119472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>
        <f>BY72*VLOOKUP('Données projet'!$B$12,Paramètres!$A$1:$I$89,3,0)*VLOOKUP('Données projet'!$B$12,Paramètres!$A$1:$I$89,5,0)</f>
        <v>-5.1431925385259088E-14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376.68007030857598</v>
      </c>
      <c r="CE72" s="62">
        <f t="shared" si="94"/>
        <v>532.90758914457626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1.546480926943492</v>
      </c>
      <c r="CL72" s="23">
        <f>EXP(-LN(2)/25)*CL71+(1-EXP(-LN(2)/25))/(LN(2)/25)*Calculateur!CG72*Calculateur!CI72*VLOOKUP('Données projet'!$B$12,Paramètres!$A$1:$I$89,3,0)*0.475*44/12</f>
        <v>0.88494009102476001</v>
      </c>
      <c r="CM72" s="23">
        <f>EXP(-LN(2)/2)*CM71+(1-EXP(-LN(2)/2))/(LN(2)/2)*CG72*CJ72*VLOOKUP('Données projet'!$B$12,Paramètres!$A$1:$I$89,3,0)*0.475*44/12</f>
        <v>6.9936786136581673E-6</v>
      </c>
      <c r="CN72" s="24">
        <f t="shared" si="66"/>
        <v>2.4314280116468656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349.46033149388688</v>
      </c>
      <c r="T73" s="62">
        <f t="shared" si="88"/>
        <v>405.30585610371702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2.6844922690251046E-5</v>
      </c>
      <c r="AC73" s="24">
        <f t="shared" si="57"/>
        <v>2.6844922690251046E-5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344.99999999999989</v>
      </c>
      <c r="AJ73" s="14">
        <f>AI73*VLOOKUP('Données projet'!$B$10,Paramètres!$A$1:$I$89,3,0)*VLOOKUP('Données projet'!$B$10,Paramètres!$A$1:$I$89,5,0)</f>
        <v>161.45999999999995</v>
      </c>
      <c r="AK73" s="14">
        <f t="shared" si="89"/>
        <v>41.171648186302534</v>
      </c>
      <c r="AL73" s="22">
        <f t="shared" si="58"/>
        <v>352.91678725781009</v>
      </c>
      <c r="AM73" s="62">
        <f t="shared" si="59"/>
        <v>619.32233139481957</v>
      </c>
      <c r="AN73" s="62">
        <f ca="1">AVERAGE(OFFSET($AM$3,0,0,'Données projet'!$E$10+1,1))-AVERAGE(OFFSET($H$3,0,0,'Données projet'!$E$10+1,1))</f>
        <v>289.94963088302325</v>
      </c>
      <c r="AO73" s="62">
        <f t="shared" si="90"/>
        <v>242.84781402593839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266.40554413701147</v>
      </c>
      <c r="BI73" s="62">
        <f ca="1">AVERAGE(OFFSET($BH$3,0,0,'Données projet'!$E$11+1,1))-AVERAGE(OFFSET($H$3,0,0,'Données projet'!$E$11+1,1))</f>
        <v>189.09998601768521</v>
      </c>
      <c r="BJ73" s="62">
        <f t="shared" si="92"/>
        <v>458.38901659119472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>
        <f>BY73*VLOOKUP('Données projet'!$B$12,Paramètres!$A$1:$I$89,3,0)*VLOOKUP('Données projet'!$B$12,Paramètres!$A$1:$I$89,5,0)</f>
        <v>-5.1431925385259088E-14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376.68007030857598</v>
      </c>
      <c r="CE73" s="62">
        <f t="shared" si="94"/>
        <v>532.90758914457626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1.5161553792263565</v>
      </c>
      <c r="CL73" s="23">
        <f>EXP(-LN(2)/25)*CL72+(1-EXP(-LN(2)/25))/(LN(2)/25)*Calculateur!CG73*Calculateur!CI73*VLOOKUP('Données projet'!$B$12,Paramètres!$A$1:$I$89,3,0)*0.475*44/12</f>
        <v>0.86074135769871107</v>
      </c>
      <c r="CM73" s="23">
        <f>EXP(-LN(2)/2)*CM72+(1-EXP(-LN(2)/2))/(LN(2)/2)*CG73*CJ73*VLOOKUP('Données projet'!$B$12,Paramètres!$A$1:$I$89,3,0)*0.475*44/12</f>
        <v>4.9452775731570227E-6</v>
      </c>
      <c r="CN73" s="24">
        <f t="shared" si="66"/>
        <v>2.3769016822026408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349.46033149388688</v>
      </c>
      <c r="T74" s="62">
        <f t="shared" si="88"/>
        <v>405.30585610371702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1.8982226874705131E-5</v>
      </c>
      <c r="AC74" s="24">
        <f t="shared" si="57"/>
        <v>1.8982226874705131E-5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283.69999999999987</v>
      </c>
      <c r="AJ74" s="14">
        <f>AI74*VLOOKUP('Données projet'!$B$10,Paramètres!$A$1:$I$89,3,0)*VLOOKUP('Données projet'!$B$10,Paramètres!$A$1:$I$89,5,0)</f>
        <v>132.77159999999995</v>
      </c>
      <c r="AK74" s="14">
        <f t="shared" si="89"/>
        <v>34.636006283186532</v>
      </c>
      <c r="AL74" s="22">
        <f t="shared" si="58"/>
        <v>291.56824760988314</v>
      </c>
      <c r="AM74" s="62">
        <f t="shared" si="59"/>
        <v>558.44092868793109</v>
      </c>
      <c r="AN74" s="62">
        <f ca="1">AVERAGE(OFFSET($AM$3,0,0,'Données projet'!$E$10+1,1))-AVERAGE(OFFSET($H$3,0,0,'Données projet'!$E$10+1,1))</f>
        <v>289.94963088302325</v>
      </c>
      <c r="AO74" s="62">
        <f t="shared" si="90"/>
        <v>242.84781402593839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266.87268107804994</v>
      </c>
      <c r="BI74" s="62">
        <f ca="1">AVERAGE(OFFSET($BH$3,0,0,'Données projet'!$E$11+1,1))-AVERAGE(OFFSET($H$3,0,0,'Données projet'!$E$11+1,1))</f>
        <v>189.09998601768521</v>
      </c>
      <c r="BJ74" s="62">
        <f t="shared" si="92"/>
        <v>458.38901659119472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>
        <f>BY74*VLOOKUP('Données projet'!$B$12,Paramètres!$A$1:$I$89,3,0)*VLOOKUP('Données projet'!$B$12,Paramètres!$A$1:$I$89,5,0)</f>
        <v>-5.1431925385259088E-14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376.68007030857598</v>
      </c>
      <c r="CE74" s="62">
        <f t="shared" si="94"/>
        <v>532.90758914457626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1.4864244970031961</v>
      </c>
      <c r="CL74" s="23">
        <f>EXP(-LN(2)/25)*CL73+(1-EXP(-LN(2)/25))/(LN(2)/25)*Calculateur!CG74*Calculateur!CI74*VLOOKUP('Données projet'!$B$12,Paramètres!$A$1:$I$89,3,0)*0.475*44/12</f>
        <v>0.83720434000801902</v>
      </c>
      <c r="CM74" s="23">
        <f>EXP(-LN(2)/2)*CM73+(1-EXP(-LN(2)/2))/(LN(2)/2)*CG74*CJ74*VLOOKUP('Données projet'!$B$12,Paramètres!$A$1:$I$89,3,0)*0.475*44/12</f>
        <v>3.4968393068290837E-6</v>
      </c>
      <c r="CN74" s="24">
        <f t="shared" si="66"/>
        <v>2.3236323338505223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349.46033149388688</v>
      </c>
      <c r="T75" s="62">
        <f t="shared" si="88"/>
        <v>405.30585610371702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1.3422461345125523E-5</v>
      </c>
      <c r="AC75" s="24">
        <f t="shared" si="57"/>
        <v>1.3422461345125523E-5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291.39999999999986</v>
      </c>
      <c r="AJ75" s="14">
        <f>AI75*VLOOKUP('Données projet'!$B$10,Paramètres!$A$1:$I$89,3,0)*VLOOKUP('Données projet'!$B$10,Paramètres!$A$1:$I$89,5,0)</f>
        <v>136.37519999999995</v>
      </c>
      <c r="AK75" s="14">
        <f t="shared" si="89"/>
        <v>35.465351191683979</v>
      </c>
      <c r="AL75" s="22">
        <f t="shared" si="58"/>
        <v>299.28895999218281</v>
      </c>
      <c r="AM75" s="62">
        <f t="shared" si="59"/>
        <v>566.62067422970392</v>
      </c>
      <c r="AN75" s="62">
        <f ca="1">AVERAGE(OFFSET($AM$3,0,0,'Données projet'!$E$10+1,1))-AVERAGE(OFFSET($H$3,0,0,'Données projet'!$E$10+1,1))</f>
        <v>289.94963088302325</v>
      </c>
      <c r="AO75" s="62">
        <f t="shared" si="90"/>
        <v>242.84781402593839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267.3317142375231</v>
      </c>
      <c r="BI75" s="62">
        <f ca="1">AVERAGE(OFFSET($BH$3,0,0,'Données projet'!$E$11+1,1))-AVERAGE(OFFSET($H$3,0,0,'Données projet'!$E$11+1,1))</f>
        <v>189.09998601768521</v>
      </c>
      <c r="BJ75" s="62">
        <f t="shared" si="92"/>
        <v>458.38901659119472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>
        <f>BY75*VLOOKUP('Données projet'!$B$12,Paramètres!$A$1:$I$89,3,0)*VLOOKUP('Données projet'!$B$12,Paramètres!$A$1:$I$89,5,0)</f>
        <v>-5.1431925385259088E-14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376.68007030857598</v>
      </c>
      <c r="CE75" s="62">
        <f t="shared" si="94"/>
        <v>532.90758914457626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1.4572766192463844</v>
      </c>
      <c r="CL75" s="23">
        <f>EXP(-LN(2)/25)*CL74+(1-EXP(-LN(2)/25))/(LN(2)/25)*Calculateur!CG75*Calculateur!CI75*VLOOKUP('Données projet'!$B$12,Paramètres!$A$1:$I$89,3,0)*0.475*44/12</f>
        <v>0.81431094330383691</v>
      </c>
      <c r="CM75" s="23">
        <f>EXP(-LN(2)/2)*CM74+(1-EXP(-LN(2)/2))/(LN(2)/2)*CG75*CJ75*VLOOKUP('Données projet'!$B$12,Paramètres!$A$1:$I$89,3,0)*0.475*44/12</f>
        <v>2.4726387865785114E-6</v>
      </c>
      <c r="CN75" s="24">
        <f t="shared" si="66"/>
        <v>2.2715900351890079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349.46033149388688</v>
      </c>
      <c r="T76" s="62">
        <f t="shared" si="88"/>
        <v>405.30585610371702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9.4911134373525656E-6</v>
      </c>
      <c r="AC76" s="24">
        <f t="shared" si="57"/>
        <v>9.4911134373525656E-6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299.09999999999985</v>
      </c>
      <c r="AJ76" s="14">
        <f>AI76*VLOOKUP('Données projet'!$B$10,Paramètres!$A$1:$I$89,3,0)*VLOOKUP('Données projet'!$B$10,Paramètres!$A$1:$I$89,5,0)</f>
        <v>139.97879999999992</v>
      </c>
      <c r="AK76" s="14">
        <f t="shared" si="89"/>
        <v>36.292148829903653</v>
      </c>
      <c r="AL76" s="22">
        <f t="shared" si="58"/>
        <v>307.00523587874869</v>
      </c>
      <c r="AM76" s="62">
        <f t="shared" si="59"/>
        <v>574.78802007667048</v>
      </c>
      <c r="AN76" s="62">
        <f ca="1">AVERAGE(OFFSET($AM$3,0,0,'Données projet'!$E$10+1,1))-AVERAGE(OFFSET($H$3,0,0,'Données projet'!$E$10+1,1))</f>
        <v>289.94963088302325</v>
      </c>
      <c r="AO76" s="62">
        <f t="shared" si="90"/>
        <v>242.84781402593839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267.78278419792377</v>
      </c>
      <c r="BI76" s="62">
        <f ca="1">AVERAGE(OFFSET($BH$3,0,0,'Données projet'!$E$11+1,1))-AVERAGE(OFFSET($H$3,0,0,'Données projet'!$E$11+1,1))</f>
        <v>189.09998601768521</v>
      </c>
      <c r="BJ76" s="62">
        <f t="shared" si="92"/>
        <v>458.38901659119472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>
        <f>BY76*VLOOKUP('Données projet'!$B$12,Paramètres!$A$1:$I$89,3,0)*VLOOKUP('Données projet'!$B$12,Paramètres!$A$1:$I$89,5,0)</f>
        <v>-5.1431925385259088E-14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376.68007030857598</v>
      </c>
      <c r="CE76" s="62">
        <f t="shared" si="94"/>
        <v>532.90758914457626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1.4287003135939338</v>
      </c>
      <c r="CL76" s="23">
        <f>EXP(-LN(2)/25)*CL75+(1-EXP(-LN(2)/25))/(LN(2)/25)*Calculateur!CG76*Calculateur!CI76*VLOOKUP('Données projet'!$B$12,Paramètres!$A$1:$I$89,3,0)*0.475*44/12</f>
        <v>0.79204356773644213</v>
      </c>
      <c r="CM76" s="23">
        <f>EXP(-LN(2)/2)*CM75+(1-EXP(-LN(2)/2))/(LN(2)/2)*CG76*CJ76*VLOOKUP('Données projet'!$B$12,Paramètres!$A$1:$I$89,3,0)*0.475*44/12</f>
        <v>1.7484196534145418E-6</v>
      </c>
      <c r="CN76" s="24">
        <f t="shared" si="66"/>
        <v>2.2207456297500294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349.46033149388688</v>
      </c>
      <c r="T77" s="62">
        <f t="shared" si="88"/>
        <v>405.30585610371702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6.7112306725627616E-6</v>
      </c>
      <c r="AC77" s="24">
        <f t="shared" si="57"/>
        <v>6.7112306725627616E-6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306.79999999999984</v>
      </c>
      <c r="AJ77" s="14">
        <f>AI77*VLOOKUP('Données projet'!$B$10,Paramètres!$A$1:$I$89,3,0)*VLOOKUP('Données projet'!$B$10,Paramètres!$A$1:$I$89,5,0)</f>
        <v>143.58239999999992</v>
      </c>
      <c r="AK77" s="14">
        <f t="shared" si="89"/>
        <v>37.116472314400653</v>
      </c>
      <c r="AL77" s="22">
        <f t="shared" si="58"/>
        <v>314.71720261424764</v>
      </c>
      <c r="AM77" s="62">
        <f t="shared" si="59"/>
        <v>582.9432317171985</v>
      </c>
      <c r="AN77" s="62">
        <f ca="1">AVERAGE(OFFSET($AM$3,0,0,'Données projet'!$E$10+1,1))-AVERAGE(OFFSET($H$3,0,0,'Données projet'!$E$10+1,1))</f>
        <v>289.94963088302325</v>
      </c>
      <c r="AO77" s="62">
        <f t="shared" si="90"/>
        <v>242.84781402593839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268.22602910295285</v>
      </c>
      <c r="BI77" s="62">
        <f ca="1">AVERAGE(OFFSET($BH$3,0,0,'Données projet'!$E$11+1,1))-AVERAGE(OFFSET($H$3,0,0,'Données projet'!$E$11+1,1))</f>
        <v>189.09998601768521</v>
      </c>
      <c r="BJ77" s="62">
        <f t="shared" si="92"/>
        <v>458.38901659119472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>
        <f>BY77*VLOOKUP('Données projet'!$B$12,Paramètres!$A$1:$I$89,3,0)*VLOOKUP('Données projet'!$B$12,Paramètres!$A$1:$I$89,5,0)</f>
        <v>-5.1431925385259088E-14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376.68007030857598</v>
      </c>
      <c r="CE77" s="62">
        <f t="shared" si="94"/>
        <v>532.90758914457626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1.4006843718655024</v>
      </c>
      <c r="CL77" s="23">
        <f>EXP(-LN(2)/25)*CL76+(1-EXP(-LN(2)/25))/(LN(2)/25)*Calculateur!CG77*Calculateur!CI77*VLOOKUP('Données projet'!$B$12,Paramètres!$A$1:$I$89,3,0)*0.475*44/12</f>
        <v>0.77038509472492811</v>
      </c>
      <c r="CM77" s="23">
        <f>EXP(-LN(2)/2)*CM76+(1-EXP(-LN(2)/2))/(LN(2)/2)*CG77*CJ77*VLOOKUP('Données projet'!$B$12,Paramètres!$A$1:$I$89,3,0)*0.475*44/12</f>
        <v>1.2363193932892557E-6</v>
      </c>
      <c r="CN77" s="24">
        <f t="shared" si="66"/>
        <v>2.1710707029098235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349.46033149388688</v>
      </c>
      <c r="T78" s="62">
        <f t="shared" si="88"/>
        <v>405.30585610371702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4.7455567186762828E-6</v>
      </c>
      <c r="AC78" s="24">
        <f t="shared" si="57"/>
        <v>4.7455567186762828E-6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314.49999999999983</v>
      </c>
      <c r="AJ78" s="14">
        <f>AI78*VLOOKUP('Données projet'!$B$10,Paramètres!$A$1:$I$89,3,0)*VLOOKUP('Données projet'!$B$10,Paramètres!$A$1:$I$89,5,0)</f>
        <v>147.18599999999992</v>
      </c>
      <c r="AK78" s="14">
        <f t="shared" si="89"/>
        <v>37.938390882441325</v>
      </c>
      <c r="AL78" s="22">
        <f t="shared" si="58"/>
        <v>322.42498078691847</v>
      </c>
      <c r="AM78" s="62">
        <f t="shared" si="59"/>
        <v>591.08656548674321</v>
      </c>
      <c r="AN78" s="62">
        <f ca="1">AVERAGE(OFFSET($AM$3,0,0,'Données projet'!$E$10+1,1))-AVERAGE(OFFSET($H$3,0,0,'Données projet'!$E$10+1,1))</f>
        <v>289.94963088302325</v>
      </c>
      <c r="AO78" s="62">
        <f t="shared" si="90"/>
        <v>242.84781402593839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268.66158469982679</v>
      </c>
      <c r="BI78" s="62">
        <f ca="1">AVERAGE(OFFSET($BH$3,0,0,'Données projet'!$E$11+1,1))-AVERAGE(OFFSET($H$3,0,0,'Données projet'!$E$11+1,1))</f>
        <v>189.09998601768521</v>
      </c>
      <c r="BJ78" s="62">
        <f t="shared" si="92"/>
        <v>458.38901659119472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>
        <f>BY78*VLOOKUP('Données projet'!$B$12,Paramètres!$A$1:$I$89,3,0)*VLOOKUP('Données projet'!$B$12,Paramètres!$A$1:$I$89,5,0)</f>
        <v>-5.1431925385259088E-14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376.68007030857598</v>
      </c>
      <c r="CE78" s="62">
        <f t="shared" si="94"/>
        <v>532.90758914457626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1.3732178056663285</v>
      </c>
      <c r="CL78" s="23">
        <f>EXP(-LN(2)/25)*CL77+(1-EXP(-LN(2)/25))/(LN(2)/25)*Calculateur!CG78*Calculateur!CI78*VLOOKUP('Données projet'!$B$12,Paramètres!$A$1:$I$89,3,0)*0.475*44/12</f>
        <v>0.74931887379688356</v>
      </c>
      <c r="CM78" s="23">
        <f>EXP(-LN(2)/2)*CM77+(1-EXP(-LN(2)/2))/(LN(2)/2)*CG78*CJ78*VLOOKUP('Données projet'!$B$12,Paramètres!$A$1:$I$89,3,0)*0.475*44/12</f>
        <v>8.7420982670727092E-7</v>
      </c>
      <c r="CN78" s="24">
        <f t="shared" si="66"/>
        <v>2.1225375536730389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349.46033149388688</v>
      </c>
      <c r="T79" s="62">
        <f t="shared" si="88"/>
        <v>405.30585610371702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3.3556153362813808E-6</v>
      </c>
      <c r="AC79" s="24">
        <f t="shared" si="57"/>
        <v>3.3556153362813808E-6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322.19999999999982</v>
      </c>
      <c r="AJ79" s="14">
        <f>AI79*VLOOKUP('Données projet'!$B$10,Paramètres!$A$1:$I$89,3,0)*VLOOKUP('Données projet'!$B$10,Paramètres!$A$1:$I$89,5,0)</f>
        <v>150.78959999999992</v>
      </c>
      <c r="AK79" s="14">
        <f t="shared" si="89"/>
        <v>38.757970187689686</v>
      </c>
      <c r="AL79" s="22">
        <f t="shared" si="58"/>
        <v>330.1286847435594</v>
      </c>
      <c r="AM79" s="62">
        <f t="shared" si="59"/>
        <v>599.21826912440883</v>
      </c>
      <c r="AN79" s="62">
        <f ca="1">AVERAGE(OFFSET($AM$3,0,0,'Données projet'!$E$10+1,1))-AVERAGE(OFFSET($H$3,0,0,'Données projet'!$E$10+1,1))</f>
        <v>289.94963088302325</v>
      </c>
      <c r="AO79" s="62">
        <f t="shared" si="90"/>
        <v>242.84781402593839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269.08958438085142</v>
      </c>
      <c r="BI79" s="62">
        <f ca="1">AVERAGE(OFFSET($BH$3,0,0,'Données projet'!$E$11+1,1))-AVERAGE(OFFSET($H$3,0,0,'Données projet'!$E$11+1,1))</f>
        <v>189.09998601768521</v>
      </c>
      <c r="BJ79" s="62">
        <f t="shared" si="92"/>
        <v>458.38901659119472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>
        <f>BY79*VLOOKUP('Données projet'!$B$12,Paramètres!$A$1:$I$89,3,0)*VLOOKUP('Données projet'!$B$12,Paramètres!$A$1:$I$89,5,0)</f>
        <v>-5.1431925385259088E-14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376.68007030857598</v>
      </c>
      <c r="CE79" s="62">
        <f t="shared" si="94"/>
        <v>532.90758914457626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1.346289842077369</v>
      </c>
      <c r="CL79" s="23">
        <f>EXP(-LN(2)/25)*CL78+(1-EXP(-LN(2)/25))/(LN(2)/25)*Calculateur!CG79*Calculateur!CI79*VLOOKUP('Données projet'!$B$12,Paramètres!$A$1:$I$89,3,0)*0.475*44/12</f>
        <v>0.72882870978794079</v>
      </c>
      <c r="CM79" s="23">
        <f>EXP(-LN(2)/2)*CM78+(1-EXP(-LN(2)/2))/(LN(2)/2)*CG79*CJ79*VLOOKUP('Données projet'!$B$12,Paramètres!$A$1:$I$89,3,0)*0.475*44/12</f>
        <v>6.1815969664462784E-7</v>
      </c>
      <c r="CN79" s="24">
        <f t="shared" si="66"/>
        <v>2.0751191700250065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349.46033149388688</v>
      </c>
      <c r="T80" s="62">
        <f t="shared" si="88"/>
        <v>405.30585610371702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2.3727783593381414E-6</v>
      </c>
      <c r="AC80" s="24">
        <f t="shared" si="57"/>
        <v>2.3727783593381414E-6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329.89999999999981</v>
      </c>
      <c r="AJ80" s="14">
        <f>AI80*VLOOKUP('Données projet'!$B$10,Paramètres!$A$1:$I$89,3,0)*VLOOKUP('Données projet'!$B$10,Paramètres!$A$1:$I$89,5,0)</f>
        <v>154.39319999999989</v>
      </c>
      <c r="AK80" s="14">
        <f t="shared" si="89"/>
        <v>39.575272566832453</v>
      </c>
      <c r="AL80" s="22">
        <f t="shared" si="58"/>
        <v>337.82842305389971</v>
      </c>
      <c r="AM80" s="62">
        <f t="shared" si="59"/>
        <v>607.338582278172</v>
      </c>
      <c r="AN80" s="62">
        <f ca="1">AVERAGE(OFFSET($AM$3,0,0,'Données projet'!$E$10+1,1))-AVERAGE(OFFSET($H$3,0,0,'Données projet'!$E$10+1,1))</f>
        <v>289.94963088302325</v>
      </c>
      <c r="AO80" s="62">
        <f t="shared" si="90"/>
        <v>242.84781402593839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269.51015922427428</v>
      </c>
      <c r="BI80" s="62">
        <f ca="1">AVERAGE(OFFSET($BH$3,0,0,'Données projet'!$E$11+1,1))-AVERAGE(OFFSET($H$3,0,0,'Données projet'!$E$11+1,1))</f>
        <v>189.09998601768521</v>
      </c>
      <c r="BJ80" s="62">
        <f t="shared" si="92"/>
        <v>458.38901659119472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>
        <f>BY80*VLOOKUP('Données projet'!$B$12,Paramètres!$A$1:$I$89,3,0)*VLOOKUP('Données projet'!$B$12,Paramètres!$A$1:$I$89,5,0)</f>
        <v>-5.1431925385259088E-14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376.68007030857598</v>
      </c>
      <c r="CE80" s="62">
        <f t="shared" si="94"/>
        <v>532.90758914457626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1.3198899194299532</v>
      </c>
      <c r="CL80" s="23">
        <f>EXP(-LN(2)/25)*CL79+(1-EXP(-LN(2)/25))/(LN(2)/25)*Calculateur!CG80*Calculateur!CI80*VLOOKUP('Données projet'!$B$12,Paramètres!$A$1:$I$89,3,0)*0.475*44/12</f>
        <v>0.70889885039135347</v>
      </c>
      <c r="CM80" s="23">
        <f>EXP(-LN(2)/2)*CM79+(1-EXP(-LN(2)/2))/(LN(2)/2)*CG80*CJ80*VLOOKUP('Données projet'!$B$12,Paramètres!$A$1:$I$89,3,0)*0.475*44/12</f>
        <v>4.3710491335363546E-7</v>
      </c>
      <c r="CN80" s="24">
        <f t="shared" si="66"/>
        <v>2.0287892069262199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349.46033149388688</v>
      </c>
      <c r="T81" s="62">
        <f t="shared" si="88"/>
        <v>405.30585610371702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1.6778076681406904E-6</v>
      </c>
      <c r="AC81" s="24">
        <f t="shared" si="57"/>
        <v>1.6778076681406904E-6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337.5999999999998</v>
      </c>
      <c r="AJ81" s="14">
        <f>AI81*VLOOKUP('Données projet'!$B$10,Paramètres!$A$1:$I$89,3,0)*VLOOKUP('Données projet'!$B$10,Paramètres!$A$1:$I$89,5,0)</f>
        <v>157.99679999999989</v>
      </c>
      <c r="AK81" s="14">
        <f t="shared" si="89"/>
        <v>40.39035728060999</v>
      </c>
      <c r="AL81" s="22">
        <f t="shared" si="58"/>
        <v>345.52429893039556</v>
      </c>
      <c r="AM81" s="62">
        <f t="shared" si="59"/>
        <v>615.44773696482184</v>
      </c>
      <c r="AN81" s="62">
        <f ca="1">AVERAGE(OFFSET($AM$3,0,0,'Données projet'!$E$10+1,1))-AVERAGE(OFFSET($H$3,0,0,'Données projet'!$E$10+1,1))</f>
        <v>289.94963088302325</v>
      </c>
      <c r="AO81" s="62">
        <f t="shared" si="90"/>
        <v>242.84781402593839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269.92343803442822</v>
      </c>
      <c r="BI81" s="62">
        <f ca="1">AVERAGE(OFFSET($BH$3,0,0,'Données projet'!$E$11+1,1))-AVERAGE(OFFSET($H$3,0,0,'Données projet'!$E$11+1,1))</f>
        <v>189.09998601768521</v>
      </c>
      <c r="BJ81" s="62">
        <f t="shared" si="92"/>
        <v>458.38901659119472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>
        <f>BY81*VLOOKUP('Données projet'!$B$12,Paramètres!$A$1:$I$89,3,0)*VLOOKUP('Données projet'!$B$12,Paramètres!$A$1:$I$89,5,0)</f>
        <v>-5.1431925385259088E-14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376.68007030857598</v>
      </c>
      <c r="CE81" s="62">
        <f t="shared" si="94"/>
        <v>532.90758914457626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1.2940076831632903</v>
      </c>
      <c r="CL81" s="23">
        <f>EXP(-LN(2)/25)*CL80+(1-EXP(-LN(2)/25))/(LN(2)/25)*Calculateur!CG81*Calculateur!CI81*VLOOKUP('Données projet'!$B$12,Paramètres!$A$1:$I$89,3,0)*0.475*44/12</f>
        <v>0.68951397404803161</v>
      </c>
      <c r="CM81" s="23">
        <f>EXP(-LN(2)/2)*CM80+(1-EXP(-LN(2)/2))/(LN(2)/2)*CG81*CJ81*VLOOKUP('Données projet'!$B$12,Paramètres!$A$1:$I$89,3,0)*0.475*44/12</f>
        <v>3.0907984832231392E-7</v>
      </c>
      <c r="CN81" s="24">
        <f t="shared" si="66"/>
        <v>1.9835219662911703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349.46033149388688</v>
      </c>
      <c r="T82" s="62">
        <f t="shared" si="88"/>
        <v>405.30585610371702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1.1863891796690707E-6</v>
      </c>
      <c r="AC82" s="24">
        <f t="shared" si="57"/>
        <v>1.1863891796690707E-6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345.29999999999978</v>
      </c>
      <c r="AJ82" s="14">
        <f>AI82*VLOOKUP('Données projet'!$B$10,Paramètres!$A$1:$I$89,3,0)*VLOOKUP('Données projet'!$B$10,Paramètres!$A$1:$I$89,5,0)</f>
        <v>161.60039999999989</v>
      </c>
      <c r="AK82" s="14">
        <f t="shared" si="89"/>
        <v>41.203280732237786</v>
      </c>
      <c r="AL82" s="22">
        <f t="shared" si="58"/>
        <v>353.21641060864732</v>
      </c>
      <c r="AM82" s="62">
        <f t="shared" si="59"/>
        <v>623.54595798982427</v>
      </c>
      <c r="AN82" s="62">
        <f ca="1">AVERAGE(OFFSET($AM$3,0,0,'Données projet'!$E$10+1,1))-AVERAGE(OFFSET($H$3,0,0,'Données projet'!$E$10+1,1))</f>
        <v>289.94963088302325</v>
      </c>
      <c r="AO82" s="62">
        <f t="shared" si="90"/>
        <v>242.84781402593839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270.32954738117894</v>
      </c>
      <c r="BI82" s="62">
        <f ca="1">AVERAGE(OFFSET($BH$3,0,0,'Données projet'!$E$11+1,1))-AVERAGE(OFFSET($H$3,0,0,'Données projet'!$E$11+1,1))</f>
        <v>189.09998601768521</v>
      </c>
      <c r="BJ82" s="62">
        <f t="shared" si="92"/>
        <v>458.38901659119472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>
        <f>BY82*VLOOKUP('Données projet'!$B$12,Paramètres!$A$1:$I$89,3,0)*VLOOKUP('Données projet'!$B$12,Paramètres!$A$1:$I$89,5,0)</f>
        <v>-5.1431925385259088E-14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376.68007030857598</v>
      </c>
      <c r="CE82" s="62">
        <f t="shared" si="94"/>
        <v>532.90758914457626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1.2686329817632114</v>
      </c>
      <c r="CL82" s="23">
        <f>EXP(-LN(2)/25)*CL81+(1-EXP(-LN(2)/25))/(LN(2)/25)*Calculateur!CG82*Calculateur!CI82*VLOOKUP('Données projet'!$B$12,Paramètres!$A$1:$I$89,3,0)*0.475*44/12</f>
        <v>0.67065917816772425</v>
      </c>
      <c r="CM82" s="23">
        <f>EXP(-LN(2)/2)*CM81+(1-EXP(-LN(2)/2))/(LN(2)/2)*CG82*CJ82*VLOOKUP('Données projet'!$B$12,Paramètres!$A$1:$I$89,3,0)*0.475*44/12</f>
        <v>2.1855245667681773E-7</v>
      </c>
      <c r="CN82" s="24">
        <f t="shared" si="66"/>
        <v>1.9392923784833922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349.46033149388688</v>
      </c>
      <c r="T83" s="62">
        <f t="shared" si="88"/>
        <v>405.30585610371702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8.389038340703452E-7</v>
      </c>
      <c r="AC83" s="24">
        <f t="shared" si="57"/>
        <v>8.389038340703452E-7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352.99999999999977</v>
      </c>
      <c r="AJ83" s="14">
        <f>AI83*VLOOKUP('Données projet'!$B$10,Paramètres!$A$1:$I$89,3,0)*VLOOKUP('Données projet'!$B$10,Paramètres!$A$1:$I$89,5,0)</f>
        <v>165.20399999999989</v>
      </c>
      <c r="AK83" s="14">
        <f t="shared" si="89"/>
        <v>42.014096665795854</v>
      </c>
      <c r="AL83" s="22">
        <f t="shared" si="58"/>
        <v>360.90485169292759</v>
      </c>
      <c r="AM83" s="62">
        <f t="shared" si="59"/>
        <v>631.63346333161371</v>
      </c>
      <c r="AN83" s="62">
        <f ca="1">AVERAGE(OFFSET($AM$3,0,0,'Données projet'!$E$10+1,1))-AVERAGE(OFFSET($H$3,0,0,'Données projet'!$E$10+1,1))</f>
        <v>289.94963088302325</v>
      </c>
      <c r="AO83" s="62">
        <f t="shared" si="90"/>
        <v>242.84781402593839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270.72861163868811</v>
      </c>
      <c r="BI83" s="62">
        <f ca="1">AVERAGE(OFFSET($BH$3,0,0,'Données projet'!$E$11+1,1))-AVERAGE(OFFSET($H$3,0,0,'Données projet'!$E$11+1,1))</f>
        <v>189.09998601768521</v>
      </c>
      <c r="BJ83" s="62">
        <f t="shared" si="92"/>
        <v>458.38901659119472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>
        <f>BY83*VLOOKUP('Données projet'!$B$12,Paramètres!$A$1:$I$89,3,0)*VLOOKUP('Données projet'!$B$12,Paramètres!$A$1:$I$89,5,0)</f>
        <v>-5.1431925385259088E-14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376.68007030857598</v>
      </c>
      <c r="CE83" s="62">
        <f t="shared" si="94"/>
        <v>532.90758914457626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1.2437558627805483</v>
      </c>
      <c r="CL83" s="23">
        <f>EXP(-LN(2)/25)*CL82+(1-EXP(-LN(2)/25))/(LN(2)/25)*Calculateur!CG83*Calculateur!CI83*VLOOKUP('Données projet'!$B$12,Paramètres!$A$1:$I$89,3,0)*0.475*44/12</f>
        <v>0.6523199676722945</v>
      </c>
      <c r="CM83" s="23">
        <f>EXP(-LN(2)/2)*CM82+(1-EXP(-LN(2)/2))/(LN(2)/2)*CG83*CJ83*VLOOKUP('Données projet'!$B$12,Paramètres!$A$1:$I$89,3,0)*0.475*44/12</f>
        <v>1.5453992416115696E-7</v>
      </c>
      <c r="CN83" s="24">
        <f t="shared" si="66"/>
        <v>1.8960759849927669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349.46033149388688</v>
      </c>
      <c r="T84" s="62">
        <f t="shared" si="88"/>
        <v>405.30585610371702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5.9319458983453535E-7</v>
      </c>
      <c r="AC84" s="24">
        <f t="shared" si="57"/>
        <v>5.9319458983453535E-7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290.29999999999978</v>
      </c>
      <c r="AJ84" s="14">
        <f>AI84*VLOOKUP('Données projet'!$B$10,Paramètres!$A$1:$I$89,3,0)*VLOOKUP('Données projet'!$B$10,Paramètres!$A$1:$I$89,5,0)</f>
        <v>135.86039999999991</v>
      </c>
      <c r="AK84" s="14">
        <f t="shared" si="89"/>
        <v>35.347031059244721</v>
      </c>
      <c r="AL84" s="22">
        <f t="shared" si="58"/>
        <v>298.18627576151772</v>
      </c>
      <c r="AM84" s="62">
        <f t="shared" si="59"/>
        <v>569.30702878501916</v>
      </c>
      <c r="AN84" s="62">
        <f ca="1">AVERAGE(OFFSET($AM$3,0,0,'Données projet'!$E$10+1,1))-AVERAGE(OFFSET($H$3,0,0,'Données projet'!$E$10+1,1))</f>
        <v>289.94963088302325</v>
      </c>
      <c r="AO84" s="62">
        <f t="shared" si="90"/>
        <v>242.84781402593839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271.12075302350343</v>
      </c>
      <c r="BI84" s="62">
        <f ca="1">AVERAGE(OFFSET($BH$3,0,0,'Données projet'!$E$11+1,1))-AVERAGE(OFFSET($H$3,0,0,'Données projet'!$E$11+1,1))</f>
        <v>189.09998601768521</v>
      </c>
      <c r="BJ84" s="62">
        <f t="shared" si="92"/>
        <v>458.38901659119472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-5.1431925385259088E-14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376.68007030857598</v>
      </c>
      <c r="CE84" s="62">
        <f t="shared" si="94"/>
        <v>532.90758914457626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1.219366568927591</v>
      </c>
      <c r="CL84" s="23">
        <f>EXP(-LN(2)/25)*CL83+(1-EXP(-LN(2)/25))/(LN(2)/25)*Calculateur!CG84*Calculateur!CI84*VLOOKUP('Données projet'!$B$12,Paramètres!$A$1:$I$89,3,0)*0.475*44/12</f>
        <v>0.63448224385227936</v>
      </c>
      <c r="CM84" s="23">
        <f>EXP(-LN(2)/2)*CM83+(1-EXP(-LN(2)/2))/(LN(2)/2)*CG84*CJ84*VLOOKUP('Données projet'!$B$12,Paramètres!$A$1:$I$89,3,0)*0.475*44/12</f>
        <v>1.0927622833840886E-7</v>
      </c>
      <c r="CN84" s="24">
        <f t="shared" si="66"/>
        <v>1.8538489220560985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349.46033149388688</v>
      </c>
      <c r="T85" s="62">
        <f t="shared" si="88"/>
        <v>405.30585610371702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4.194519170351726E-7</v>
      </c>
      <c r="AC85" s="24">
        <f t="shared" si="57"/>
        <v>4.194519170351726E-7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298.5999999999998</v>
      </c>
      <c r="AJ85" s="14">
        <f>AI85*VLOOKUP('Données projet'!$B$10,Paramètres!$A$1:$I$89,3,0)*VLOOKUP('Données projet'!$B$10,Paramètres!$A$1:$I$89,5,0)</f>
        <v>139.74479999999991</v>
      </c>
      <c r="AK85" s="14">
        <f t="shared" si="89"/>
        <v>36.238536552104364</v>
      </c>
      <c r="AL85" s="22">
        <f t="shared" si="58"/>
        <v>306.5043111615816</v>
      </c>
      <c r="AM85" s="62">
        <f t="shared" si="59"/>
        <v>578.01040279356857</v>
      </c>
      <c r="AN85" s="62">
        <f ca="1">AVERAGE(OFFSET($AM$3,0,0,'Données projet'!$E$10+1,1))-AVERAGE(OFFSET($H$3,0,0,'Données projet'!$E$10+1,1))</f>
        <v>289.94963088302325</v>
      </c>
      <c r="AO85" s="62">
        <f t="shared" si="90"/>
        <v>242.84781402593839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271.50609163198902</v>
      </c>
      <c r="BI85" s="62">
        <f ca="1">AVERAGE(OFFSET($BH$3,0,0,'Données projet'!$E$11+1,1))-AVERAGE(OFFSET($H$3,0,0,'Données projet'!$E$11+1,1))</f>
        <v>189.09998601768521</v>
      </c>
      <c r="BJ85" s="62">
        <f t="shared" si="92"/>
        <v>458.38901659119472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-5.1431925385259088E-14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376.68007030857598</v>
      </c>
      <c r="CE85" s="62">
        <f t="shared" si="94"/>
        <v>532.90758914457626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1.1954555342510897</v>
      </c>
      <c r="CL85" s="23">
        <f>EXP(-LN(2)/25)*CL84+(1-EXP(-LN(2)/25))/(LN(2)/25)*Calculateur!CG85*Calculateur!CI85*VLOOKUP('Données projet'!$B$12,Paramètres!$A$1:$I$89,3,0)*0.475*44/12</f>
        <v>0.61713229352816767</v>
      </c>
      <c r="CM85" s="23">
        <f>EXP(-LN(2)/2)*CM84+(1-EXP(-LN(2)/2))/(LN(2)/2)*CG85*CJ85*VLOOKUP('Données projet'!$B$12,Paramètres!$A$1:$I$89,3,0)*0.475*44/12</f>
        <v>7.726996208057848E-8</v>
      </c>
      <c r="CN85" s="24">
        <f t="shared" si="66"/>
        <v>1.8125879050492193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349.46033149388688</v>
      </c>
      <c r="T86" s="62">
        <f t="shared" si="88"/>
        <v>405.30585610371702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2.9659729491726768E-7</v>
      </c>
      <c r="AC86" s="24">
        <f t="shared" si="57"/>
        <v>2.9659729491726768E-7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306.89999999999981</v>
      </c>
      <c r="AJ86" s="14">
        <f>AI86*VLOOKUP('Données projet'!$B$10,Paramètres!$A$1:$I$89,3,0)*VLOOKUP('Données projet'!$B$10,Paramètres!$A$1:$I$89,5,0)</f>
        <v>143.62919999999991</v>
      </c>
      <c r="AK86" s="14">
        <f t="shared" si="89"/>
        <v>37.127161849234348</v>
      </c>
      <c r="AL86" s="22">
        <f t="shared" si="58"/>
        <v>314.81733022074962</v>
      </c>
      <c r="AM86" s="62">
        <f t="shared" si="59"/>
        <v>586.70207569785316</v>
      </c>
      <c r="AN86" s="62">
        <f ca="1">AVERAGE(OFFSET($AM$3,0,0,'Données projet'!$E$10+1,1))-AVERAGE(OFFSET($H$3,0,0,'Données projet'!$E$10+1,1))</f>
        <v>289.94963088302325</v>
      </c>
      <c r="AO86" s="62">
        <f t="shared" si="90"/>
        <v>242.84781402593839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271.88474547710547</v>
      </c>
      <c r="BI86" s="62">
        <f ca="1">AVERAGE(OFFSET($BH$3,0,0,'Données projet'!$E$11+1,1))-AVERAGE(OFFSET($H$3,0,0,'Données projet'!$E$11+1,1))</f>
        <v>189.09998601768521</v>
      </c>
      <c r="BJ86" s="62">
        <f t="shared" si="92"/>
        <v>458.38901659119472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-5.1431925385259088E-14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376.68007030857598</v>
      </c>
      <c r="CE86" s="62">
        <f t="shared" si="94"/>
        <v>532.90758914457626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1.1720133803803037</v>
      </c>
      <c r="CL86" s="23">
        <f>EXP(-LN(2)/25)*CL85+(1-EXP(-LN(2)/25))/(LN(2)/25)*Calculateur!CG86*Calculateur!CI86*VLOOKUP('Données projet'!$B$12,Paramètres!$A$1:$I$89,3,0)*0.475*44/12</f>
        <v>0.60025677850806314</v>
      </c>
      <c r="CM86" s="23">
        <f>EXP(-LN(2)/2)*CM85+(1-EXP(-LN(2)/2))/(LN(2)/2)*CG86*CJ86*VLOOKUP('Données projet'!$B$12,Paramètres!$A$1:$I$89,3,0)*0.475*44/12</f>
        <v>5.4638114169204432E-8</v>
      </c>
      <c r="CN86" s="24">
        <f t="shared" si="66"/>
        <v>1.772270213526481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349.46033149388688</v>
      </c>
      <c r="T87" s="62">
        <f t="shared" si="88"/>
        <v>405.30585610371702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2.097259585175863E-7</v>
      </c>
      <c r="AC87" s="24">
        <f t="shared" si="57"/>
        <v>2.097259585175863E-7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315.19999999999982</v>
      </c>
      <c r="AJ87" s="14">
        <f>AI87*VLOOKUP('Données projet'!$B$10,Paramètres!$A$1:$I$89,3,0)*VLOOKUP('Données projet'!$B$10,Paramètres!$A$1:$I$89,5,0)</f>
        <v>147.51359999999991</v>
      </c>
      <c r="AK87" s="14">
        <f t="shared" si="89"/>
        <v>38.012993796041464</v>
      </c>
      <c r="AL87" s="22">
        <f t="shared" si="58"/>
        <v>323.12548419477201</v>
      </c>
      <c r="AM87" s="62">
        <f t="shared" si="59"/>
        <v>595.38231471932227</v>
      </c>
      <c r="AN87" s="62">
        <f ca="1">AVERAGE(OFFSET($AM$3,0,0,'Données projet'!$E$10+1,1))-AVERAGE(OFFSET($H$3,0,0,'Données projet'!$E$10+1,1))</f>
        <v>289.94963088302325</v>
      </c>
      <c r="AO87" s="62">
        <f t="shared" si="90"/>
        <v>242.84781402593839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272.2568305245523</v>
      </c>
      <c r="BI87" s="62">
        <f ca="1">AVERAGE(OFFSET($BH$3,0,0,'Données projet'!$E$11+1,1))-AVERAGE(OFFSET($H$3,0,0,'Données projet'!$E$11+1,1))</f>
        <v>189.09998601768521</v>
      </c>
      <c r="BJ87" s="62">
        <f t="shared" si="92"/>
        <v>458.38901659119472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-5.1431925385259088E-14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376.68007030857598</v>
      </c>
      <c r="CE87" s="62">
        <f t="shared" si="94"/>
        <v>532.90758914457626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1.1490309128486216</v>
      </c>
      <c r="CL87" s="23">
        <f>EXP(-LN(2)/25)*CL86+(1-EXP(-LN(2)/25))/(LN(2)/25)*Calculateur!CG87*Calculateur!CI87*VLOOKUP('Données projet'!$B$12,Paramètres!$A$1:$I$89,3,0)*0.475*44/12</f>
        <v>0.58384272533362802</v>
      </c>
      <c r="CM87" s="23">
        <f>EXP(-LN(2)/2)*CM86+(1-EXP(-LN(2)/2))/(LN(2)/2)*CG87*CJ87*VLOOKUP('Données projet'!$B$12,Paramètres!$A$1:$I$89,3,0)*0.475*44/12</f>
        <v>3.863498104028924E-8</v>
      </c>
      <c r="CN87" s="24">
        <f t="shared" si="66"/>
        <v>1.7328736768172306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349.46033149388688</v>
      </c>
      <c r="T88" s="62">
        <f t="shared" si="88"/>
        <v>405.30585610371702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1.4829864745863384E-7</v>
      </c>
      <c r="AC88" s="24">
        <f t="shared" si="57"/>
        <v>1.4829864745863384E-7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323.49999999999983</v>
      </c>
      <c r="AJ88" s="14">
        <f>AI88*VLOOKUP('Données projet'!$B$10,Paramètres!$A$1:$I$89,3,0)*VLOOKUP('Données projet'!$B$10,Paramètres!$A$1:$I$89,5,0)</f>
        <v>151.39799999999991</v>
      </c>
      <c r="AK88" s="14">
        <f t="shared" si="89"/>
        <v>38.896114403754673</v>
      </c>
      <c r="AL88" s="22">
        <f t="shared" si="58"/>
        <v>331.42891591987251</v>
      </c>
      <c r="AM88" s="62">
        <f t="shared" si="59"/>
        <v>604.05137664815402</v>
      </c>
      <c r="AN88" s="62">
        <f ca="1">AVERAGE(OFFSET($AM$3,0,0,'Données projet'!$E$10+1,1))-AVERAGE(OFFSET($H$3,0,0,'Données projet'!$E$10+1,1))</f>
        <v>289.94963088302325</v>
      </c>
      <c r="AO88" s="62">
        <f t="shared" si="90"/>
        <v>242.84781402593839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272.6224607282835</v>
      </c>
      <c r="BI88" s="62">
        <f ca="1">AVERAGE(OFFSET($BH$3,0,0,'Données projet'!$E$11+1,1))-AVERAGE(OFFSET($H$3,0,0,'Données projet'!$E$11+1,1))</f>
        <v>189.09998601768521</v>
      </c>
      <c r="BJ88" s="62">
        <f t="shared" si="92"/>
        <v>458.38901659119472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-5.1431925385259088E-14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376.68007030857598</v>
      </c>
      <c r="CE88" s="62">
        <f t="shared" si="94"/>
        <v>532.90758914457626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1.1264991174873147</v>
      </c>
      <c r="CL88" s="23">
        <f>EXP(-LN(2)/25)*CL87+(1-EXP(-LN(2)/25))/(LN(2)/25)*Calculateur!CG88*Calculateur!CI88*VLOOKUP('Données projet'!$B$12,Paramètres!$A$1:$I$89,3,0)*0.475*44/12</f>
        <v>0.56787751530642538</v>
      </c>
      <c r="CM88" s="23">
        <f>EXP(-LN(2)/2)*CM87+(1-EXP(-LN(2)/2))/(LN(2)/2)*CG88*CJ88*VLOOKUP('Données projet'!$B$12,Paramètres!$A$1:$I$89,3,0)*0.475*44/12</f>
        <v>2.7319057084602216E-8</v>
      </c>
      <c r="CN88" s="24">
        <f t="shared" si="66"/>
        <v>1.6943766601127972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349.46033149388688</v>
      </c>
      <c r="T89" s="62">
        <f t="shared" si="88"/>
        <v>405.30585610371702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1.0486297925879315E-7</v>
      </c>
      <c r="AC89" s="24">
        <f t="shared" si="57"/>
        <v>1.0486297925879315E-7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331.79999999999984</v>
      </c>
      <c r="AJ89" s="14">
        <f>AI89*VLOOKUP('Données projet'!$B$10,Paramètres!$A$1:$I$89,3,0)*VLOOKUP('Données projet'!$B$10,Paramètres!$A$1:$I$89,5,0)</f>
        <v>155.28239999999991</v>
      </c>
      <c r="AK89" s="14">
        <f t="shared" si="89"/>
        <v>39.776601235546373</v>
      </c>
      <c r="AL89" s="22">
        <f t="shared" si="58"/>
        <v>339.7277604852431</v>
      </c>
      <c r="AM89" s="62">
        <f t="shared" si="59"/>
        <v>612.7095085506478</v>
      </c>
      <c r="AN89" s="62">
        <f ca="1">AVERAGE(OFFSET($AM$3,0,0,'Données projet'!$E$10+1,1))-AVERAGE(OFFSET($H$3,0,0,'Données projet'!$E$10+1,1))</f>
        <v>289.94963088302325</v>
      </c>
      <c r="AO89" s="62">
        <f t="shared" si="90"/>
        <v>242.84781402593839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272.98174806540669</v>
      </c>
      <c r="BI89" s="62">
        <f ca="1">AVERAGE(OFFSET($BH$3,0,0,'Données projet'!$E$11+1,1))-AVERAGE(OFFSET($H$3,0,0,'Données projet'!$E$11+1,1))</f>
        <v>189.09998601768521</v>
      </c>
      <c r="BJ89" s="62">
        <f t="shared" si="92"/>
        <v>458.38901659119472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-5.1431925385259088E-14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376.68007030857598</v>
      </c>
      <c r="CE89" s="62">
        <f t="shared" si="94"/>
        <v>532.90758914457626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1.104409156890005</v>
      </c>
      <c r="CL89" s="23">
        <f>EXP(-LN(2)/25)*CL88+(1-EXP(-LN(2)/25))/(LN(2)/25)*Calculateur!CG89*Calculateur!CI89*VLOOKUP('Données projet'!$B$12,Paramètres!$A$1:$I$89,3,0)*0.475*44/12</f>
        <v>0.55234887478699057</v>
      </c>
      <c r="CM89" s="23">
        <f>EXP(-LN(2)/2)*CM88+(1-EXP(-LN(2)/2))/(LN(2)/2)*CG89*CJ89*VLOOKUP('Données projet'!$B$12,Paramètres!$A$1:$I$89,3,0)*0.475*44/12</f>
        <v>1.931749052014462E-8</v>
      </c>
      <c r="CN89" s="24">
        <f t="shared" si="66"/>
        <v>1.6567580509944861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349.46033149388688</v>
      </c>
      <c r="T90" s="62">
        <f t="shared" si="88"/>
        <v>405.30585610371702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7.4149323729316919E-8</v>
      </c>
      <c r="AC90" s="24">
        <f t="shared" si="57"/>
        <v>7.4149323729316919E-8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340.09999999999985</v>
      </c>
      <c r="AJ90" s="14">
        <f>AI90*VLOOKUP('Données projet'!$B$10,Paramètres!$A$1:$I$89,3,0)*VLOOKUP('Données projet'!$B$10,Paramètres!$A$1:$I$89,5,0)</f>
        <v>159.16679999999991</v>
      </c>
      <c r="AK90" s="14">
        <f t="shared" si="89"/>
        <v>40.654527752930711</v>
      </c>
      <c r="AL90" s="22">
        <f t="shared" si="58"/>
        <v>348.02214583635418</v>
      </c>
      <c r="AM90" s="62">
        <f t="shared" si="59"/>
        <v>621.35694840682902</v>
      </c>
      <c r="AN90" s="62">
        <f ca="1">AVERAGE(OFFSET($AM$3,0,0,'Données projet'!$E$10+1,1))-AVERAGE(OFFSET($H$3,0,0,'Données projet'!$E$10+1,1))</f>
        <v>289.94963088302325</v>
      </c>
      <c r="AO90" s="62">
        <f t="shared" si="90"/>
        <v>242.84781402593839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273.33480257047682</v>
      </c>
      <c r="BI90" s="62">
        <f ca="1">AVERAGE(OFFSET($BH$3,0,0,'Données projet'!$E$11+1,1))-AVERAGE(OFFSET($H$3,0,0,'Données projet'!$E$11+1,1))</f>
        <v>189.09998601768521</v>
      </c>
      <c r="BJ90" s="62">
        <f t="shared" si="92"/>
        <v>458.38901659119472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-5.1431925385259088E-14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376.68007030857598</v>
      </c>
      <c r="CE90" s="62">
        <f t="shared" si="94"/>
        <v>532.90758914457626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1.0827523669464629</v>
      </c>
      <c r="CL90" s="23">
        <f>EXP(-LN(2)/25)*CL89+(1-EXP(-LN(2)/25))/(LN(2)/25)*Calculateur!CG90*Calculateur!CI90*VLOOKUP('Données projet'!$B$12,Paramètres!$A$1:$I$89,3,0)*0.475*44/12</f>
        <v>0.53724486575917541</v>
      </c>
      <c r="CM90" s="23">
        <f>EXP(-LN(2)/2)*CM89+(1-EXP(-LN(2)/2))/(LN(2)/2)*CG90*CJ90*VLOOKUP('Données projet'!$B$12,Paramètres!$A$1:$I$89,3,0)*0.475*44/12</f>
        <v>1.3659528542301108E-8</v>
      </c>
      <c r="CN90" s="24">
        <f t="shared" si="66"/>
        <v>1.6199972463651671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349.46033149388688</v>
      </c>
      <c r="T91" s="62">
        <f t="shared" si="88"/>
        <v>405.30585610371702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5.2431489629396575E-8</v>
      </c>
      <c r="AC91" s="24">
        <f t="shared" si="57"/>
        <v>5.2431489629396575E-8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348.39999999999986</v>
      </c>
      <c r="AJ91" s="14">
        <f>AI91*VLOOKUP('Données projet'!$B$10,Paramètres!$A$1:$I$89,3,0)*VLOOKUP('Données projet'!$B$10,Paramètres!$A$1:$I$89,5,0)</f>
        <v>163.05119999999994</v>
      </c>
      <c r="AK91" s="14">
        <f t="shared" si="89"/>
        <v>41.529963627394977</v>
      </c>
      <c r="AL91" s="22">
        <f t="shared" si="58"/>
        <v>356.3121933177128</v>
      </c>
      <c r="AM91" s="62">
        <f t="shared" si="59"/>
        <v>629.99392568690655</v>
      </c>
      <c r="AN91" s="62">
        <f ca="1">AVERAGE(OFFSET($AM$3,0,0,'Données projet'!$E$10+1,1))-AVERAGE(OFFSET($H$3,0,0,'Données projet'!$E$10+1,1))</f>
        <v>289.94963088302325</v>
      </c>
      <c r="AO91" s="62">
        <f t="shared" si="90"/>
        <v>242.84781402593839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273.68173236919569</v>
      </c>
      <c r="BI91" s="62">
        <f ca="1">AVERAGE(OFFSET($BH$3,0,0,'Données projet'!$E$11+1,1))-AVERAGE(OFFSET($H$3,0,0,'Données projet'!$E$11+1,1))</f>
        <v>189.09998601768521</v>
      </c>
      <c r="BJ91" s="62">
        <f t="shared" si="92"/>
        <v>458.38901659119472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-5.1431925385259088E-14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376.68007030857598</v>
      </c>
      <c r="CE91" s="62">
        <f t="shared" si="94"/>
        <v>532.90758914457626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1.0615202534443762</v>
      </c>
      <c r="CL91" s="23">
        <f>EXP(-LN(2)/25)*CL90+(1-EXP(-LN(2)/25))/(LN(2)/25)*Calculateur!CG91*Calculateur!CI91*VLOOKUP('Données projet'!$B$12,Paramètres!$A$1:$I$89,3,0)*0.475*44/12</f>
        <v>0.52255387665251118</v>
      </c>
      <c r="CM91" s="23">
        <f>EXP(-LN(2)/2)*CM90+(1-EXP(-LN(2)/2))/(LN(2)/2)*CG91*CJ91*VLOOKUP('Données projet'!$B$12,Paramètres!$A$1:$I$89,3,0)*0.475*44/12</f>
        <v>9.65874526007231E-9</v>
      </c>
      <c r="CN91" s="24">
        <f t="shared" si="66"/>
        <v>1.5840741397556326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349.46033149388688</v>
      </c>
      <c r="T92" s="62">
        <f t="shared" si="88"/>
        <v>405.30585610371702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3.7074661864658459E-8</v>
      </c>
      <c r="AC92" s="24">
        <f t="shared" si="57"/>
        <v>3.7074661864658459E-8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356.69999999999987</v>
      </c>
      <c r="AJ92" s="14">
        <f>AI92*VLOOKUP('Données projet'!$B$10,Paramètres!$A$1:$I$89,3,0)*VLOOKUP('Données projet'!$B$10,Paramètres!$A$1:$I$89,5,0)</f>
        <v>166.93559999999994</v>
      </c>
      <c r="AK92" s="14">
        <f t="shared" si="89"/>
        <v>42.402975021498193</v>
      </c>
      <c r="AL92" s="22">
        <f t="shared" si="58"/>
        <v>364.59801816244254</v>
      </c>
      <c r="AM92" s="62">
        <f t="shared" si="59"/>
        <v>638.62066187396613</v>
      </c>
      <c r="AN92" s="62">
        <f ca="1">AVERAGE(OFFSET($AM$3,0,0,'Données projet'!$E$10+1,1))-AVERAGE(OFFSET($H$3,0,0,'Données projet'!$E$10+1,1))</f>
        <v>289.94963088302325</v>
      </c>
      <c r="AO92" s="62">
        <f t="shared" si="90"/>
        <v>242.84781402593839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274.02264371152557</v>
      </c>
      <c r="BI92" s="62">
        <f ca="1">AVERAGE(OFFSET($BH$3,0,0,'Données projet'!$E$11+1,1))-AVERAGE(OFFSET($H$3,0,0,'Données projet'!$E$11+1,1))</f>
        <v>189.09998601768521</v>
      </c>
      <c r="BJ92" s="62">
        <f t="shared" si="92"/>
        <v>458.38901659119472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-5.1431925385259088E-14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376.68007030857598</v>
      </c>
      <c r="CE92" s="62">
        <f t="shared" si="94"/>
        <v>532.90758914457626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1.0407044887377548</v>
      </c>
      <c r="CL92" s="23">
        <f>EXP(-LN(2)/25)*CL91+(1-EXP(-LN(2)/25))/(LN(2)/25)*Calculateur!CG92*Calculateur!CI92*VLOOKUP('Données projet'!$B$12,Paramètres!$A$1:$I$89,3,0)*0.475*44/12</f>
        <v>0.50826461341553419</v>
      </c>
      <c r="CM92" s="23">
        <f>EXP(-LN(2)/2)*CM91+(1-EXP(-LN(2)/2))/(LN(2)/2)*CG92*CJ92*VLOOKUP('Données projet'!$B$12,Paramètres!$A$1:$I$89,3,0)*0.475*44/12</f>
        <v>6.829764271150554E-9</v>
      </c>
      <c r="CN92" s="24">
        <f t="shared" si="66"/>
        <v>1.5489691089830533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349.46033149388688</v>
      </c>
      <c r="T93" s="62">
        <f t="shared" si="88"/>
        <v>405.30585610371702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2.6215744814698287E-8</v>
      </c>
      <c r="AC93" s="24">
        <f t="shared" si="57"/>
        <v>2.6215744814698287E-8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364.99999999999989</v>
      </c>
      <c r="AJ93" s="14">
        <f>AI93*VLOOKUP('Données projet'!$B$10,Paramètres!$A$1:$I$89,3,0)*VLOOKUP('Données projet'!$B$10,Paramètres!$A$1:$I$89,5,0)</f>
        <v>170.81999999999994</v>
      </c>
      <c r="AK93" s="14">
        <f t="shared" si="89"/>
        <v>43.27362484306942</v>
      </c>
      <c r="AL93" s="22">
        <f t="shared" si="58"/>
        <v>372.87972993501245</v>
      </c>
      <c r="AM93" s="62">
        <f t="shared" si="59"/>
        <v>647.23737093924012</v>
      </c>
      <c r="AN93" s="62">
        <f ca="1">AVERAGE(OFFSET($AM$3,0,0,'Données projet'!$E$10+1,1))-AVERAGE(OFFSET($H$3,0,0,'Données projet'!$E$10+1,1))</f>
        <v>289.94963088302325</v>
      </c>
      <c r="AO93" s="62">
        <f t="shared" si="90"/>
        <v>242.84781402593839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274.35764100422966</v>
      </c>
      <c r="BI93" s="62">
        <f ca="1">AVERAGE(OFFSET($BH$3,0,0,'Données projet'!$E$11+1,1))-AVERAGE(OFFSET($H$3,0,0,'Données projet'!$E$11+1,1))</f>
        <v>189.09998601768521</v>
      </c>
      <c r="BJ93" s="62">
        <f t="shared" si="92"/>
        <v>458.38901659119472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-5.1431925385259088E-14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376.68007030857598</v>
      </c>
      <c r="CE93" s="62">
        <f t="shared" si="94"/>
        <v>532.90758914457626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1.0202969084806675</v>
      </c>
      <c r="CL93" s="23">
        <f>EXP(-LN(2)/25)*CL92+(1-EXP(-LN(2)/25))/(LN(2)/25)*Calculateur!CG93*Calculateur!CI93*VLOOKUP('Données projet'!$B$12,Paramètres!$A$1:$I$89,3,0)*0.475*44/12</f>
        <v>0.49436609083321204</v>
      </c>
      <c r="CM93" s="23">
        <f>EXP(-LN(2)/2)*CM92+(1-EXP(-LN(2)/2))/(LN(2)/2)*CG93*CJ93*VLOOKUP('Données projet'!$B$12,Paramètres!$A$1:$I$89,3,0)*0.475*44/12</f>
        <v>4.829372630036155E-9</v>
      </c>
      <c r="CN93" s="24">
        <f t="shared" si="66"/>
        <v>1.5146630041432523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349.46033149388688</v>
      </c>
      <c r="T94" s="62">
        <f t="shared" si="88"/>
        <v>405.30585610371702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1.853733093232923E-8</v>
      </c>
      <c r="AC94" s="24">
        <f t="shared" si="57"/>
        <v>1.853733093232923E-8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300.2999999999999</v>
      </c>
      <c r="AJ94" s="14">
        <f>AI94*VLOOKUP('Données projet'!$B$10,Paramètres!$A$1:$I$89,3,0)*VLOOKUP('Données projet'!$B$10,Paramètres!$A$1:$I$89,5,0)</f>
        <v>140.54039999999995</v>
      </c>
      <c r="AK94" s="14">
        <f t="shared" si="89"/>
        <v>36.420775774849901</v>
      </c>
      <c r="AL94" s="22">
        <f t="shared" si="58"/>
        <v>308.20738114119678</v>
      </c>
      <c r="AM94" s="62">
        <f t="shared" si="59"/>
        <v>582.89420798404183</v>
      </c>
      <c r="AN94" s="62">
        <f ca="1">AVERAGE(OFFSET($AM$3,0,0,'Données projet'!$E$10+1,1))-AVERAGE(OFFSET($H$3,0,0,'Données projet'!$E$10+1,1))</f>
        <v>289.94963088302325</v>
      </c>
      <c r="AO94" s="62">
        <f t="shared" si="90"/>
        <v>242.84781402593839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274.68682684284704</v>
      </c>
      <c r="BI94" s="62">
        <f ca="1">AVERAGE(OFFSET($BH$3,0,0,'Données projet'!$E$11+1,1))-AVERAGE(OFFSET($H$3,0,0,'Données projet'!$E$11+1,1))</f>
        <v>189.09998601768521</v>
      </c>
      <c r="BJ94" s="62">
        <f t="shared" si="92"/>
        <v>458.38901659119472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-5.1431925385259088E-14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376.68007030857598</v>
      </c>
      <c r="CE94" s="62">
        <f t="shared" si="94"/>
        <v>532.90758914457626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1.0002895084250267</v>
      </c>
      <c r="CL94" s="23">
        <f>EXP(-LN(2)/25)*CL93+(1-EXP(-LN(2)/25))/(LN(2)/25)*Calculateur!CG94*Calculateur!CI94*VLOOKUP('Données projet'!$B$12,Paramètres!$A$1:$I$89,3,0)*0.475*44/12</f>
        <v>0.48084762408179504</v>
      </c>
      <c r="CM94" s="23">
        <f>EXP(-LN(2)/2)*CM93+(1-EXP(-LN(2)/2))/(LN(2)/2)*CG94*CJ94*VLOOKUP('Données projet'!$B$12,Paramètres!$A$1:$I$89,3,0)*0.475*44/12</f>
        <v>3.414882135575277E-9</v>
      </c>
      <c r="CN94" s="24">
        <f t="shared" si="66"/>
        <v>1.481137135921704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349.46033149388688</v>
      </c>
      <c r="T95" s="62">
        <f t="shared" si="88"/>
        <v>405.30585610371702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1.3107872407349144E-8</v>
      </c>
      <c r="AC95" s="24">
        <f t="shared" si="57"/>
        <v>1.3107872407349144E-8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308.59999999999991</v>
      </c>
      <c r="AJ95" s="14">
        <f>AI95*VLOOKUP('Données projet'!$B$10,Paramètres!$A$1:$I$89,3,0)*VLOOKUP('Données projet'!$B$10,Paramètres!$A$1:$I$89,5,0)</f>
        <v>144.42479999999995</v>
      </c>
      <c r="AK95" s="14">
        <f t="shared" si="89"/>
        <v>37.308822031923619</v>
      </c>
      <c r="AL95" s="22">
        <f t="shared" si="58"/>
        <v>316.51939170560019</v>
      </c>
      <c r="AM95" s="62">
        <f t="shared" si="59"/>
        <v>591.52969374871191</v>
      </c>
      <c r="AN95" s="62">
        <f ca="1">AVERAGE(OFFSET($AM$3,0,0,'Données projet'!$E$10+1,1))-AVERAGE(OFFSET($H$3,0,0,'Données projet'!$E$10+1,1))</f>
        <v>289.94963088302325</v>
      </c>
      <c r="AO95" s="62">
        <f t="shared" si="90"/>
        <v>242.84781402593839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275.01030204311371</v>
      </c>
      <c r="BI95" s="62">
        <f ca="1">AVERAGE(OFFSET($BH$3,0,0,'Données projet'!$E$11+1,1))-AVERAGE(OFFSET($H$3,0,0,'Données projet'!$E$11+1,1))</f>
        <v>189.09998601768521</v>
      </c>
      <c r="BJ95" s="62">
        <f t="shared" si="92"/>
        <v>458.38901659119472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-5.1431925385259088E-14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376.68007030857598</v>
      </c>
      <c r="CE95" s="62">
        <f t="shared" si="94"/>
        <v>532.90758914457626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0.9806744412811681</v>
      </c>
      <c r="CL95" s="23">
        <f>EXP(-LN(2)/25)*CL94+(1-EXP(-LN(2)/25))/(LN(2)/25)*Calculateur!CG95*Calculateur!CI95*VLOOKUP('Données projet'!$B$12,Paramètres!$A$1:$I$89,3,0)*0.475*44/12</f>
        <v>0.46769882051460082</v>
      </c>
      <c r="CM95" s="23">
        <f>EXP(-LN(2)/2)*CM94+(1-EXP(-LN(2)/2))/(LN(2)/2)*CG95*CJ95*VLOOKUP('Données projet'!$B$12,Paramètres!$A$1:$I$89,3,0)*0.475*44/12</f>
        <v>2.4146863150180775E-9</v>
      </c>
      <c r="CN95" s="24">
        <f t="shared" si="66"/>
        <v>1.4483732642104552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349.46033149388688</v>
      </c>
      <c r="T96" s="62">
        <f t="shared" si="88"/>
        <v>405.30585610371702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9.2686654661646148E-9</v>
      </c>
      <c r="AC96" s="24">
        <f t="shared" si="57"/>
        <v>9.2686654661646148E-9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316.89999999999992</v>
      </c>
      <c r="AJ96" s="14">
        <f>AI96*VLOOKUP('Données projet'!$B$10,Paramètres!$A$1:$I$89,3,0)*VLOOKUP('Données projet'!$B$10,Paramètres!$A$1:$I$89,5,0)</f>
        <v>148.30919999999995</v>
      </c>
      <c r="AK96" s="14">
        <f t="shared" si="89"/>
        <v>38.194092116566516</v>
      </c>
      <c r="AL96" s="22">
        <f t="shared" si="58"/>
        <v>324.8265671030199</v>
      </c>
      <c r="AM96" s="62">
        <f t="shared" si="59"/>
        <v>600.1547327748558</v>
      </c>
      <c r="AN96" s="62">
        <f ca="1">AVERAGE(OFFSET($AM$3,0,0,'Données projet'!$E$10+1,1))-AVERAGE(OFFSET($H$3,0,0,'Données projet'!$E$10+1,1))</f>
        <v>289.94963088302325</v>
      </c>
      <c r="AO96" s="62">
        <f t="shared" si="90"/>
        <v>242.84781402593839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275.32816567183795</v>
      </c>
      <c r="BI96" s="62">
        <f ca="1">AVERAGE(OFFSET($BH$3,0,0,'Données projet'!$E$11+1,1))-AVERAGE(OFFSET($H$3,0,0,'Données projet'!$E$11+1,1))</f>
        <v>189.09998601768521</v>
      </c>
      <c r="BJ96" s="62">
        <f t="shared" si="92"/>
        <v>458.38901659119472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-5.1431925385259088E-14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376.68007030857598</v>
      </c>
      <c r="CE96" s="62">
        <f t="shared" si="94"/>
        <v>532.90758914457626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0.96144401363999088</v>
      </c>
      <c r="CL96" s="23">
        <f>EXP(-LN(2)/25)*CL95+(1-EXP(-LN(2)/25))/(LN(2)/25)*Calculateur!CG96*Calculateur!CI96*VLOOKUP('Données projet'!$B$12,Paramètres!$A$1:$I$89,3,0)*0.475*44/12</f>
        <v>0.45490957167241702</v>
      </c>
      <c r="CM96" s="23">
        <f>EXP(-LN(2)/2)*CM95+(1-EXP(-LN(2)/2))/(LN(2)/2)*CG96*CJ96*VLOOKUP('Données projet'!$B$12,Paramètres!$A$1:$I$89,3,0)*0.475*44/12</f>
        <v>1.7074410677876385E-9</v>
      </c>
      <c r="CN96" s="24">
        <f t="shared" si="66"/>
        <v>1.4163535870198489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349.46033149388688</v>
      </c>
      <c r="T97" s="62">
        <f t="shared" si="88"/>
        <v>405.30585610371702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6.5539362036745719E-9</v>
      </c>
      <c r="AC97" s="24">
        <f t="shared" si="57"/>
        <v>6.5539362036745719E-9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325.19999999999993</v>
      </c>
      <c r="AJ97" s="14">
        <f>AI97*VLOOKUP('Données projet'!$B$10,Paramètres!$A$1:$I$89,3,0)*VLOOKUP('Données projet'!$B$10,Paramètres!$A$1:$I$89,5,0)</f>
        <v>152.19359999999998</v>
      </c>
      <c r="AK97" s="14">
        <f t="shared" si="89"/>
        <v>39.076667098894909</v>
      </c>
      <c r="AL97" s="22">
        <f t="shared" si="58"/>
        <v>333.12904853057529</v>
      </c>
      <c r="AM97" s="62">
        <f t="shared" si="59"/>
        <v>608.76956360781378</v>
      </c>
      <c r="AN97" s="62">
        <f ca="1">AVERAGE(OFFSET($AM$3,0,0,'Données projet'!$E$10+1,1))-AVERAGE(OFFSET($H$3,0,0,'Données projet'!$E$10+1,1))</f>
        <v>289.94963088302325</v>
      </c>
      <c r="AO97" s="62">
        <f t="shared" si="90"/>
        <v>242.84781402593839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275.64051507724048</v>
      </c>
      <c r="BI97" s="62">
        <f ca="1">AVERAGE(OFFSET($BH$3,0,0,'Données projet'!$E$11+1,1))-AVERAGE(OFFSET($H$3,0,0,'Données projet'!$E$11+1,1))</f>
        <v>189.09998601768521</v>
      </c>
      <c r="BJ97" s="62">
        <f t="shared" si="92"/>
        <v>458.38901659119472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-5.1431925385259088E-14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376.68007030857598</v>
      </c>
      <c r="CE97" s="62">
        <f t="shared" si="94"/>
        <v>532.90758914457626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0.94259068295545456</v>
      </c>
      <c r="CL97" s="23">
        <f>EXP(-LN(2)/25)*CL96+(1-EXP(-LN(2)/25))/(LN(2)/25)*Calculateur!CG97*Calculateur!CI97*VLOOKUP('Données projet'!$B$12,Paramètres!$A$1:$I$89,3,0)*0.475*44/12</f>
        <v>0.44247004551238012</v>
      </c>
      <c r="CM97" s="23">
        <f>EXP(-LN(2)/2)*CM96+(1-EXP(-LN(2)/2))/(LN(2)/2)*CG97*CJ97*VLOOKUP('Données projet'!$B$12,Paramètres!$A$1:$I$89,3,0)*0.475*44/12</f>
        <v>1.2073431575090388E-9</v>
      </c>
      <c r="CN97" s="24">
        <f t="shared" si="66"/>
        <v>1.3850607296751778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349.46033149388688</v>
      </c>
      <c r="T98" s="62">
        <f t="shared" si="88"/>
        <v>405.30585610371702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4.6343327330823074E-9</v>
      </c>
      <c r="AC98" s="24">
        <f t="shared" si="57"/>
        <v>4.6343327330823074E-9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333.49999999999994</v>
      </c>
      <c r="AJ98" s="14">
        <f>AI98*VLOOKUP('Données projet'!$B$10,Paramètres!$A$1:$I$89,3,0)*VLOOKUP('Données projet'!$B$10,Paramètres!$A$1:$I$89,5,0)</f>
        <v>156.07799999999997</v>
      </c>
      <c r="AK98" s="14">
        <f t="shared" si="89"/>
        <v>39.956623674978466</v>
      </c>
      <c r="AL98" s="22">
        <f t="shared" si="58"/>
        <v>341.42696956725405</v>
      </c>
      <c r="AM98" s="62">
        <f t="shared" si="59"/>
        <v>617.37441548601998</v>
      </c>
      <c r="AN98" s="62">
        <f ca="1">AVERAGE(OFFSET($AM$3,0,0,'Données projet'!$E$10+1,1))-AVERAGE(OFFSET($H$3,0,0,'Données projet'!$E$10+1,1))</f>
        <v>289.94963088302325</v>
      </c>
      <c r="AO98" s="62">
        <f t="shared" si="90"/>
        <v>242.84781402593839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275.94744591876793</v>
      </c>
      <c r="BI98" s="62">
        <f ca="1">AVERAGE(OFFSET($BH$3,0,0,'Données projet'!$E$11+1,1))-AVERAGE(OFFSET($H$3,0,0,'Données projet'!$E$11+1,1))</f>
        <v>189.09998601768521</v>
      </c>
      <c r="BJ98" s="62">
        <f t="shared" si="92"/>
        <v>458.38901659119472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-5.1431925385259088E-14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376.68007030857598</v>
      </c>
      <c r="CE98" s="62">
        <f t="shared" si="94"/>
        <v>532.90758914457626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0.92410705458624576</v>
      </c>
      <c r="CL98" s="23">
        <f>EXP(-LN(2)/25)*CL97+(1-EXP(-LN(2)/25))/(LN(2)/25)*Calculateur!CG98*Calculateur!CI98*VLOOKUP('Données projet'!$B$12,Paramètres!$A$1:$I$89,3,0)*0.475*44/12</f>
        <v>0.43037067884935565</v>
      </c>
      <c r="CM98" s="23">
        <f>EXP(-LN(2)/2)*CM97+(1-EXP(-LN(2)/2))/(LN(2)/2)*CG98*CJ98*VLOOKUP('Données projet'!$B$12,Paramètres!$A$1:$I$89,3,0)*0.475*44/12</f>
        <v>8.5372053389381926E-10</v>
      </c>
      <c r="CN98" s="24">
        <f t="shared" si="66"/>
        <v>1.3544777342893217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349.46033149388688</v>
      </c>
      <c r="T99" s="62">
        <f t="shared" si="88"/>
        <v>405.30585610371702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3.2769681018372859E-9</v>
      </c>
      <c r="AC99" s="24">
        <f t="shared" si="57"/>
        <v>3.2769681018372859E-9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341.79999999999995</v>
      </c>
      <c r="AJ99" s="14">
        <f>AI99*VLOOKUP('Données projet'!$B$10,Paramètres!$A$1:$I$89,3,0)*VLOOKUP('Données projet'!$B$10,Paramètres!$A$1:$I$89,5,0)</f>
        <v>159.96239999999997</v>
      </c>
      <c r="AK99" s="14">
        <f t="shared" si="89"/>
        <v>40.834034505739851</v>
      </c>
      <c r="AL99" s="22">
        <f t="shared" si="58"/>
        <v>349.72045676416354</v>
      </c>
      <c r="AM99" s="62">
        <f t="shared" si="59"/>
        <v>625.96950896055091</v>
      </c>
      <c r="AN99" s="62">
        <f ca="1">AVERAGE(OFFSET($AM$3,0,0,'Données projet'!$E$10+1,1))-AVERAGE(OFFSET($H$3,0,0,'Données projet'!$E$10+1,1))</f>
        <v>289.94963088302325</v>
      </c>
      <c r="AO99" s="62">
        <f t="shared" si="90"/>
        <v>242.84781402593839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276.24905219638941</v>
      </c>
      <c r="BI99" s="62">
        <f ca="1">AVERAGE(OFFSET($BH$3,0,0,'Données projet'!$E$11+1,1))-AVERAGE(OFFSET($H$3,0,0,'Données projet'!$E$11+1,1))</f>
        <v>189.09998601768521</v>
      </c>
      <c r="BJ99" s="62">
        <f t="shared" si="92"/>
        <v>458.38901659119472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-5.1431925385259088E-14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376.68007030857598</v>
      </c>
      <c r="CE99" s="62">
        <f t="shared" si="94"/>
        <v>532.90758914457626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0.90598587889545701</v>
      </c>
      <c r="CL99" s="23">
        <f>EXP(-LN(2)/25)*CL98+(1-EXP(-LN(2)/25))/(LN(2)/25)*Calculateur!CG99*Calculateur!CI99*VLOOKUP('Données projet'!$B$12,Paramètres!$A$1:$I$89,3,0)*0.475*44/12</f>
        <v>0.41860217000400962</v>
      </c>
      <c r="CM99" s="23">
        <f>EXP(-LN(2)/2)*CM98+(1-EXP(-LN(2)/2))/(LN(2)/2)*CG99*CJ99*VLOOKUP('Données projet'!$B$12,Paramètres!$A$1:$I$89,3,0)*0.475*44/12</f>
        <v>6.0367157875451938E-10</v>
      </c>
      <c r="CN99" s="24">
        <f t="shared" si="66"/>
        <v>1.3245880495031381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349.46033149388688</v>
      </c>
      <c r="T100" s="62">
        <f t="shared" si="88"/>
        <v>405.30585610371702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2.3171663665411537E-9</v>
      </c>
      <c r="AC100" s="24">
        <f t="shared" si="57"/>
        <v>2.3171663665411537E-9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350.09999999999997</v>
      </c>
      <c r="AJ100" s="14">
        <f>AI100*VLOOKUP('Données projet'!$B$10,Paramètres!$A$1:$I$89,3,0)*VLOOKUP('Données projet'!$B$10,Paramètres!$A$1:$I$89,5,0)</f>
        <v>163.8468</v>
      </c>
      <c r="AK100" s="14">
        <f t="shared" si="89"/>
        <v>41.708968522008689</v>
      </c>
      <c r="AL100" s="22">
        <f t="shared" si="58"/>
        <v>358.00963017583177</v>
      </c>
      <c r="AM100" s="62">
        <f t="shared" si="59"/>
        <v>634.55505645521453</v>
      </c>
      <c r="AN100" s="62">
        <f ca="1">AVERAGE(OFFSET($AM$3,0,0,'Données projet'!$E$10+1,1))-AVERAGE(OFFSET($H$3,0,0,'Données projet'!$E$10+1,1))</f>
        <v>289.94963088302325</v>
      </c>
      <c r="AO100" s="62">
        <f t="shared" si="90"/>
        <v>242.84781402593839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276.5454262793848</v>
      </c>
      <c r="BI100" s="62">
        <f ca="1">AVERAGE(OFFSET($BH$3,0,0,'Données projet'!$E$11+1,1))-AVERAGE(OFFSET($H$3,0,0,'Données projet'!$E$11+1,1))</f>
        <v>189.09998601768521</v>
      </c>
      <c r="BJ100" s="62">
        <f t="shared" si="92"/>
        <v>458.38901659119472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-5.1431925385259088E-14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376.68007030857598</v>
      </c>
      <c r="CE100" s="62">
        <f t="shared" si="94"/>
        <v>532.90758914457626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0.88822004840713886</v>
      </c>
      <c r="CL100" s="23">
        <f>EXP(-LN(2)/25)*CL99+(1-EXP(-LN(2)/25))/(LN(2)/25)*Calculateur!CG100*Calculateur!CI100*VLOOKUP('Données projet'!$B$12,Paramètres!$A$1:$I$89,3,0)*0.475*44/12</f>
        <v>0.40715547165191857</v>
      </c>
      <c r="CM100" s="23">
        <f>EXP(-LN(2)/2)*CM99+(1-EXP(-LN(2)/2))/(LN(2)/2)*CG100*CJ100*VLOOKUP('Données projet'!$B$12,Paramètres!$A$1:$I$89,3,0)*0.475*44/12</f>
        <v>4.2686026694690963E-10</v>
      </c>
      <c r="CN100" s="24">
        <f t="shared" si="66"/>
        <v>1.2953755204859179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349.46033149388688</v>
      </c>
      <c r="T101" s="62">
        <f t="shared" si="88"/>
        <v>405.30585610371702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1.638484050918643E-9</v>
      </c>
      <c r="AC101" s="24">
        <f t="shared" si="57"/>
        <v>1.638484050918643E-9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</v>
      </c>
      <c r="AJ101" s="14">
        <f>AI101*VLOOKUP('Données projet'!$B$10,Paramètres!$A$1:$I$89,3,0)*VLOOKUP('Données projet'!$B$10,Paramètres!$A$1:$I$89,5,0)</f>
        <v>167.7312</v>
      </c>
      <c r="AK101" s="14">
        <f t="shared" si="89"/>
        <v>42.581491199832655</v>
      </c>
      <c r="AL101" s="22">
        <f t="shared" si="58"/>
        <v>366.29460383970854</v>
      </c>
      <c r="AM101" s="62">
        <f t="shared" si="59"/>
        <v>643.13126277433992</v>
      </c>
      <c r="AN101" s="62">
        <f ca="1">AVERAGE(OFFSET($AM$3,0,0,'Données projet'!$E$10+1,1))-AVERAGE(OFFSET($H$3,0,0,'Données projet'!$E$10+1,1))</f>
        <v>289.94963088302325</v>
      </c>
      <c r="AO101" s="62">
        <f t="shared" si="90"/>
        <v>242.84781402593839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276.83665893463336</v>
      </c>
      <c r="BI101" s="62">
        <f ca="1">AVERAGE(OFFSET($BH$3,0,0,'Données projet'!$E$11+1,1))-AVERAGE(OFFSET($H$3,0,0,'Données projet'!$E$11+1,1))</f>
        <v>189.09998601768521</v>
      </c>
      <c r="BJ101" s="62">
        <f t="shared" si="92"/>
        <v>458.38901659119472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-5.1431925385259088E-14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376.68007030857598</v>
      </c>
      <c r="CE101" s="62">
        <f t="shared" si="94"/>
        <v>532.90758914457626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0.87080259501861002</v>
      </c>
      <c r="CL101" s="23">
        <f>EXP(-LN(2)/25)*CL100+(1-EXP(-LN(2)/25))/(LN(2)/25)*Calculateur!CG101*Calculateur!CI101*VLOOKUP('Données projet'!$B$12,Paramètres!$A$1:$I$89,3,0)*0.475*44/12</f>
        <v>0.39602178386822118</v>
      </c>
      <c r="CM101" s="23">
        <f>EXP(-LN(2)/2)*CM100+(1-EXP(-LN(2)/2))/(LN(2)/2)*CG101*CJ101*VLOOKUP('Données projet'!$B$12,Paramètres!$A$1:$I$89,3,0)*0.475*44/12</f>
        <v>3.0183578937725969E-10</v>
      </c>
      <c r="CN101" s="24">
        <f t="shared" si="66"/>
        <v>1.2668243791886671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349.46033149388688</v>
      </c>
      <c r="T102" s="62">
        <f t="shared" si="88"/>
        <v>405.30585610371702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1.1585831832705769E-9</v>
      </c>
      <c r="AC102" s="24">
        <f t="shared" si="57"/>
        <v>1.1585831832705769E-9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</v>
      </c>
      <c r="AJ102" s="14">
        <f>AI102*VLOOKUP('Données projet'!$B$10,Paramètres!$A$1:$I$89,3,0)*VLOOKUP('Données projet'!$B$10,Paramètres!$A$1:$I$89,5,0)</f>
        <v>171.6156</v>
      </c>
      <c r="AK102" s="14">
        <f t="shared" si="89"/>
        <v>43.45166480956653</v>
      </c>
      <c r="AL102" s="22">
        <f t="shared" si="58"/>
        <v>374.57548620999501</v>
      </c>
      <c r="AM102" s="62">
        <f t="shared" si="59"/>
        <v>651.6983255644052</v>
      </c>
      <c r="AN102" s="62">
        <f ca="1">AVERAGE(OFFSET($AM$3,0,0,'Données projet'!$E$10+1,1))-AVERAGE(OFFSET($H$3,0,0,'Données projet'!$E$10+1,1))</f>
        <v>289.94963088302325</v>
      </c>
      <c r="AO102" s="62">
        <f t="shared" si="90"/>
        <v>242.84781402593839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277.12283935441212</v>
      </c>
      <c r="BI102" s="62">
        <f ca="1">AVERAGE(OFFSET($BH$3,0,0,'Données projet'!$E$11+1,1))-AVERAGE(OFFSET($H$3,0,0,'Données projet'!$E$11+1,1))</f>
        <v>189.09998601768521</v>
      </c>
      <c r="BJ102" s="62">
        <f t="shared" si="92"/>
        <v>458.38901659119472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-5.1431925385259088E-14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376.68007030857598</v>
      </c>
      <c r="CE102" s="62">
        <f t="shared" si="94"/>
        <v>532.90758914457626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0.85372668726743262</v>
      </c>
      <c r="CL102" s="23">
        <f>EXP(-LN(2)/25)*CL101+(1-EXP(-LN(2)/25))/(LN(2)/25)*Calculateur!CG102*Calculateur!CI102*VLOOKUP('Données projet'!$B$12,Paramètres!$A$1:$I$89,3,0)*0.475*44/12</f>
        <v>0.38519254736246417</v>
      </c>
      <c r="CM102" s="23">
        <f>EXP(-LN(2)/2)*CM101+(1-EXP(-LN(2)/2))/(LN(2)/2)*CG102*CJ102*VLOOKUP('Données projet'!$B$12,Paramètres!$A$1:$I$89,3,0)*0.475*44/12</f>
        <v>2.1343013347345481E-10</v>
      </c>
      <c r="CN102" s="24">
        <f t="shared" si="66"/>
        <v>1.2389192348433269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349.46033149388688</v>
      </c>
      <c r="T103" s="62">
        <f t="shared" si="88"/>
        <v>405.30585610371702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8.1924202545932148E-10</v>
      </c>
      <c r="AC103" s="24">
        <f t="shared" si="57"/>
        <v>8.1924202545932148E-10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</v>
      </c>
      <c r="AJ103" s="14">
        <f>AI103*VLOOKUP('Données projet'!$B$10,Paramètres!$A$1:$I$89,3,0)*VLOOKUP('Données projet'!$B$10,Paramètres!$A$1:$I$89,5,0)</f>
        <v>175.5</v>
      </c>
      <c r="AK103" s="14">
        <f t="shared" si="89"/>
        <v>44.319548641773906</v>
      </c>
      <c r="AL103" s="22">
        <f t="shared" si="58"/>
        <v>382.85238055108954</v>
      </c>
      <c r="AM103" s="62">
        <f t="shared" si="59"/>
        <v>660.25643573479874</v>
      </c>
      <c r="AN103" s="62">
        <f ca="1">AVERAGE(OFFSET($AM$3,0,0,'Données projet'!$E$10+1,1))-AVERAGE(OFFSET($H$3,0,0,'Données projet'!$E$10+1,1))</f>
        <v>289.94963088302325</v>
      </c>
      <c r="AO103" s="62">
        <f t="shared" si="90"/>
        <v>242.84781402593839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277.40405518371119</v>
      </c>
      <c r="BI103" s="62">
        <f ca="1">AVERAGE(OFFSET($BH$3,0,0,'Données projet'!$E$11+1,1))-AVERAGE(OFFSET($H$3,0,0,'Données projet'!$E$11+1,1))</f>
        <v>189.09998601768521</v>
      </c>
      <c r="BJ103" s="62">
        <f t="shared" si="92"/>
        <v>458.38901659119472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-5.1431925385259088E-14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376.68007030857598</v>
      </c>
      <c r="CE103" s="62">
        <f t="shared" si="94"/>
        <v>532.90758914457626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0.83698562765198048</v>
      </c>
      <c r="CL103" s="23">
        <f>EXP(-LN(2)/25)*CL102+(1-EXP(-LN(2)/25))/(LN(2)/25)*Calculateur!CG103*Calculateur!CI103*VLOOKUP('Données projet'!$B$12,Paramètres!$A$1:$I$89,3,0)*0.475*44/12</f>
        <v>0.37465943689844189</v>
      </c>
      <c r="CM103" s="23">
        <f>EXP(-LN(2)/2)*CM102+(1-EXP(-LN(2)/2))/(LN(2)/2)*CG103*CJ103*VLOOKUP('Données projet'!$B$12,Paramètres!$A$1:$I$89,3,0)*0.475*44/12</f>
        <v>1.5091789468862984E-10</v>
      </c>
      <c r="CN103" s="24">
        <f t="shared" si="66"/>
        <v>1.2116450647013404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349.46033149388688</v>
      </c>
      <c r="T104" s="62">
        <f t="shared" si="88"/>
        <v>405.30585610371702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5.7929159163528843E-10</v>
      </c>
      <c r="AC104" s="24">
        <f t="shared" si="57"/>
        <v>5.7929159163528843E-10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289.94963088302325</v>
      </c>
      <c r="AO104" s="62">
        <f t="shared" si="90"/>
        <v>242.84781402593839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277.68039254707639</v>
      </c>
      <c r="BI104" s="62">
        <f ca="1">AVERAGE(OFFSET($BH$3,0,0,'Données projet'!$E$11+1,1))-AVERAGE(OFFSET($H$3,0,0,'Données projet'!$E$11+1,1))</f>
        <v>189.09998601768521</v>
      </c>
      <c r="BJ104" s="62">
        <f t="shared" si="92"/>
        <v>458.38901659119472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-5.1431925385259088E-14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376.68007030857598</v>
      </c>
      <c r="CE104" s="62">
        <f t="shared" si="94"/>
        <v>532.90758914457626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0.82057285000454927</v>
      </c>
      <c r="CL104" s="23">
        <f>EXP(-LN(2)/25)*CL103+(1-EXP(-LN(2)/25))/(LN(2)/25)*Calculateur!CG104*Calculateur!CI104*VLOOKUP('Données projet'!$B$12,Paramètres!$A$1:$I$89,3,0)*0.475*44/12</f>
        <v>0.3644143548939705</v>
      </c>
      <c r="CM104" s="23">
        <f>EXP(-LN(2)/2)*CM103+(1-EXP(-LN(2)/2))/(LN(2)/2)*CG104*CJ104*VLOOKUP('Données projet'!$B$12,Paramètres!$A$1:$I$89,3,0)*0.475*44/12</f>
        <v>1.0671506673672741E-10</v>
      </c>
      <c r="CN104" s="24">
        <f t="shared" si="66"/>
        <v>1.1849872050052348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349.46033149388688</v>
      </c>
      <c r="T105" s="62">
        <f t="shared" si="88"/>
        <v>405.30585610371702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4.0962101272966074E-10</v>
      </c>
      <c r="AC105" s="24">
        <f t="shared" si="57"/>
        <v>4.0962101272966074E-10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289.94963088302325</v>
      </c>
      <c r="AO105" s="62">
        <f t="shared" si="90"/>
        <v>242.84781402593839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277.95193607498493</v>
      </c>
      <c r="BI105" s="62">
        <f ca="1">AVERAGE(OFFSET($BH$3,0,0,'Données projet'!$E$11+1,1))-AVERAGE(OFFSET($H$3,0,0,'Données projet'!$E$11+1,1))</f>
        <v>189.09998601768521</v>
      </c>
      <c r="BJ105" s="62">
        <f t="shared" si="92"/>
        <v>458.38901659119472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-5.1431925385259088E-14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376.68007030857598</v>
      </c>
      <c r="CE105" s="62">
        <f t="shared" si="94"/>
        <v>532.90758914457626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0.80448191691597826</v>
      </c>
      <c r="CL105" s="23">
        <f>EXP(-LN(2)/25)*CL104+(1-EXP(-LN(2)/25))/(LN(2)/25)*Calculateur!CG105*Calculateur!CI105*VLOOKUP('Données projet'!$B$12,Paramètres!$A$1:$I$89,3,0)*0.475*44/12</f>
        <v>0.35444942519567685</v>
      </c>
      <c r="CM105" s="23">
        <f>EXP(-LN(2)/2)*CM104+(1-EXP(-LN(2)/2))/(LN(2)/2)*CG105*CJ105*VLOOKUP('Données projet'!$B$12,Paramètres!$A$1:$I$89,3,0)*0.475*44/12</f>
        <v>7.5458947344314922E-11</v>
      </c>
      <c r="CN105" s="24">
        <f t="shared" si="66"/>
        <v>1.1589313421871141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349.46033149388688</v>
      </c>
      <c r="T106" s="62">
        <f t="shared" si="88"/>
        <v>405.30585610371702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2.8964579581764421E-10</v>
      </c>
      <c r="AC106" s="24">
        <f t="shared" si="57"/>
        <v>2.8964579581764421E-10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289.94963088302325</v>
      </c>
      <c r="AO106" s="62">
        <f t="shared" si="90"/>
        <v>242.84781402593839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278.21876892976468</v>
      </c>
      <c r="BI106" s="62">
        <f ca="1">AVERAGE(OFFSET($BH$3,0,0,'Données projet'!$E$11+1,1))-AVERAGE(OFFSET($H$3,0,0,'Données projet'!$E$11+1,1))</f>
        <v>189.09998601768521</v>
      </c>
      <c r="BJ106" s="62">
        <f t="shared" si="92"/>
        <v>458.38901659119472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-5.1431925385259088E-14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376.68007030857598</v>
      </c>
      <c r="CE106" s="62">
        <f t="shared" si="94"/>
        <v>532.90758914457626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0.78870651721077412</v>
      </c>
      <c r="CL106" s="23">
        <f>EXP(-LN(2)/25)*CL105+(1-EXP(-LN(2)/25))/(LN(2)/25)*Calculateur!CG106*Calculateur!CI106*VLOOKUP('Données projet'!$B$12,Paramètres!$A$1:$I$89,3,0)*0.475*44/12</f>
        <v>0.34475698702401592</v>
      </c>
      <c r="CM106" s="23">
        <f>EXP(-LN(2)/2)*CM105+(1-EXP(-LN(2)/2))/(LN(2)/2)*CG106*CJ106*VLOOKUP('Données projet'!$B$12,Paramètres!$A$1:$I$89,3,0)*0.475*44/12</f>
        <v>5.3357533368363703E-11</v>
      </c>
      <c r="CN106" s="24">
        <f t="shared" si="66"/>
        <v>1.1334635042881476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349.46033149388688</v>
      </c>
      <c r="T107" s="62">
        <f t="shared" si="88"/>
        <v>405.30585610371702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2.0481050636483037E-10</v>
      </c>
      <c r="AC107" s="24">
        <f t="shared" si="57"/>
        <v>2.0481050636483037E-10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289.94963088302325</v>
      </c>
      <c r="AO107" s="62">
        <f t="shared" si="90"/>
        <v>242.84781402593839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278.4809728310629</v>
      </c>
      <c r="BI107" s="62">
        <f ca="1">AVERAGE(OFFSET($BH$3,0,0,'Données projet'!$E$11+1,1))-AVERAGE(OFFSET($H$3,0,0,'Données projet'!$E$11+1,1))</f>
        <v>189.09998601768521</v>
      </c>
      <c r="BJ107" s="62">
        <f t="shared" si="92"/>
        <v>458.38901659119472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-5.1431925385259088E-14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376.68007030857598</v>
      </c>
      <c r="CE107" s="62">
        <f t="shared" si="94"/>
        <v>532.90758914457626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0.77324046347174524</v>
      </c>
      <c r="CL107" s="23">
        <f>EXP(-LN(2)/25)*CL106+(1-EXP(-LN(2)/25))/(LN(2)/25)*Calculateur!CG107*Calculateur!CI107*VLOOKUP('Données projet'!$B$12,Paramètres!$A$1:$I$89,3,0)*0.475*44/12</f>
        <v>0.33532958908386218</v>
      </c>
      <c r="CM107" s="23">
        <f>EXP(-LN(2)/2)*CM106+(1-EXP(-LN(2)/2))/(LN(2)/2)*CG107*CJ107*VLOOKUP('Données projet'!$B$12,Paramètres!$A$1:$I$89,3,0)*0.475*44/12</f>
        <v>3.7729473672157461E-11</v>
      </c>
      <c r="CN107" s="24">
        <f t="shared" si="66"/>
        <v>1.1085700525933369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349.46033149388688</v>
      </c>
      <c r="T108" s="62">
        <f t="shared" si="88"/>
        <v>405.30585610371702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1.4482289790882211E-10</v>
      </c>
      <c r="AC108" s="24">
        <f t="shared" si="57"/>
        <v>1.4482289790882211E-10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289.94963088302325</v>
      </c>
      <c r="AO108" s="62">
        <f t="shared" si="90"/>
        <v>242.84781402593839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278.73862808087375</v>
      </c>
      <c r="BI108" s="62">
        <f ca="1">AVERAGE(OFFSET($BH$3,0,0,'Données projet'!$E$11+1,1))-AVERAGE(OFFSET($H$3,0,0,'Données projet'!$E$11+1,1))</f>
        <v>189.09998601768521</v>
      </c>
      <c r="BJ108" s="62">
        <f t="shared" si="92"/>
        <v>458.38901659119472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-5.1431925385259088E-14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376.68007030857598</v>
      </c>
      <c r="CE108" s="62">
        <f t="shared" si="94"/>
        <v>532.90758914457626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0.75807768961317745</v>
      </c>
      <c r="CL108" s="23">
        <f>EXP(-LN(2)/25)*CL107+(1-EXP(-LN(2)/25))/(LN(2)/25)*Calculateur!CG108*Calculateur!CI108*VLOOKUP('Données projet'!$B$12,Paramètres!$A$1:$I$89,3,0)*0.475*44/12</f>
        <v>0.3261599838361473</v>
      </c>
      <c r="CM108" s="23">
        <f>EXP(-LN(2)/2)*CM107+(1-EXP(-LN(2)/2))/(LN(2)/2)*CG108*CJ108*VLOOKUP('Données projet'!$B$12,Paramètres!$A$1:$I$89,3,0)*0.475*44/12</f>
        <v>2.6678766684181852E-11</v>
      </c>
      <c r="CN108" s="24">
        <f t="shared" si="66"/>
        <v>1.0842376734760033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349.46033149388688</v>
      </c>
      <c r="T109" s="62">
        <f t="shared" si="88"/>
        <v>405.30585610371702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1.0240525318241519E-10</v>
      </c>
      <c r="AC109" s="24">
        <f t="shared" si="57"/>
        <v>1.0240525318241519E-10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289.94963088302325</v>
      </c>
      <c r="AO109" s="62">
        <f t="shared" si="90"/>
        <v>242.84781402593839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278.99181358813109</v>
      </c>
      <c r="BI109" s="62">
        <f ca="1">AVERAGE(OFFSET($BH$3,0,0,'Données projet'!$E$11+1,1))-AVERAGE(OFFSET($H$3,0,0,'Données projet'!$E$11+1,1))</f>
        <v>189.09998601768521</v>
      </c>
      <c r="BJ109" s="62">
        <f t="shared" si="92"/>
        <v>458.38901659119472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-5.1431925385259088E-14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376.68007030857598</v>
      </c>
      <c r="CE109" s="62">
        <f t="shared" si="94"/>
        <v>532.90758914457626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0.74321224850159728</v>
      </c>
      <c r="CL109" s="23">
        <f>EXP(-LN(2)/25)*CL108+(1-EXP(-LN(2)/25))/(LN(2)/25)*Calculateur!CG109*Calculateur!CI109*VLOOKUP('Données projet'!$B$12,Paramètres!$A$1:$I$89,3,0)*0.475*44/12</f>
        <v>0.31724112192613974</v>
      </c>
      <c r="CM109" s="23">
        <f>EXP(-LN(2)/2)*CM108+(1-EXP(-LN(2)/2))/(LN(2)/2)*CG109*CJ109*VLOOKUP('Données projet'!$B$12,Paramètres!$A$1:$I$89,3,0)*0.475*44/12</f>
        <v>1.886473683607873E-11</v>
      </c>
      <c r="CN109" s="24">
        <f t="shared" si="66"/>
        <v>1.0604533704466017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349.46033149388688</v>
      </c>
      <c r="T110" s="62">
        <f t="shared" si="88"/>
        <v>405.30585610371702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7.2411448954411053E-11</v>
      </c>
      <c r="AC110" s="24">
        <f t="shared" si="57"/>
        <v>7.2411448954411053E-11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289.94963088302325</v>
      </c>
      <c r="AO110" s="62">
        <f t="shared" si="90"/>
        <v>242.84781402593839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279.24060689287563</v>
      </c>
      <c r="BI110" s="62">
        <f ca="1">AVERAGE(OFFSET($BH$3,0,0,'Données projet'!$E$11+1,1))-AVERAGE(OFFSET($H$3,0,0,'Données projet'!$E$11+1,1))</f>
        <v>189.09998601768521</v>
      </c>
      <c r="BJ110" s="62">
        <f t="shared" si="92"/>
        <v>458.38901659119472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-5.1431925385259088E-14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376.68007030857598</v>
      </c>
      <c r="CE110" s="62">
        <f t="shared" si="94"/>
        <v>532.90758914457626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0.72863830962319143</v>
      </c>
      <c r="CL110" s="23">
        <f>EXP(-LN(2)/25)*CL109+(1-EXP(-LN(2)/25))/(LN(2)/25)*Calculateur!CG110*Calculateur!CI110*VLOOKUP('Données projet'!$B$12,Paramètres!$A$1:$I$89,3,0)*0.475*44/12</f>
        <v>0.30856614676408389</v>
      </c>
      <c r="CM110" s="23">
        <f>EXP(-LN(2)/2)*CM109+(1-EXP(-LN(2)/2))/(LN(2)/2)*CG110*CJ110*VLOOKUP('Données projet'!$B$12,Paramètres!$A$1:$I$89,3,0)*0.475*44/12</f>
        <v>1.3339383342090926E-11</v>
      </c>
      <c r="CN110" s="24">
        <f t="shared" si="66"/>
        <v>1.0372044564006146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349.46033149388688</v>
      </c>
      <c r="T111" s="62">
        <f t="shared" si="88"/>
        <v>405.30585610371702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5.1202626591207593E-11</v>
      </c>
      <c r="AC111" s="24">
        <f t="shared" si="57"/>
        <v>5.1202626591207593E-11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289.94963088302325</v>
      </c>
      <c r="AO111" s="62">
        <f t="shared" si="90"/>
        <v>242.84781402593839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279.48508419000132</v>
      </c>
      <c r="BI111" s="62">
        <f ca="1">AVERAGE(OFFSET($BH$3,0,0,'Données projet'!$E$11+1,1))-AVERAGE(OFFSET($H$3,0,0,'Données projet'!$E$11+1,1))</f>
        <v>189.09998601768521</v>
      </c>
      <c r="BJ111" s="62">
        <f t="shared" si="92"/>
        <v>458.38901659119472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-5.1431925385259088E-14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376.68007030857598</v>
      </c>
      <c r="CE111" s="62">
        <f t="shared" si="94"/>
        <v>532.90758914457626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0.71435015679696612</v>
      </c>
      <c r="CL111" s="23">
        <f>EXP(-LN(2)/25)*CL110+(1-EXP(-LN(2)/25))/(LN(2)/25)*Calculateur!CG111*Calculateur!CI111*VLOOKUP('Données projet'!$B$12,Paramètres!$A$1:$I$89,3,0)*0.475*44/12</f>
        <v>0.30012838925403162</v>
      </c>
      <c r="CM111" s="23">
        <f>EXP(-LN(2)/2)*CM110+(1-EXP(-LN(2)/2))/(LN(2)/2)*CG111*CJ111*VLOOKUP('Données projet'!$B$12,Paramètres!$A$1:$I$89,3,0)*0.475*44/12</f>
        <v>9.4323684180393652E-12</v>
      </c>
      <c r="CN111" s="24">
        <f t="shared" si="66"/>
        <v>1.0144785460604302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349.46033149388688</v>
      </c>
      <c r="T112" s="62">
        <f t="shared" si="88"/>
        <v>405.30585610371702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3.6205724477205527E-11</v>
      </c>
      <c r="AC112" s="24">
        <f t="shared" si="57"/>
        <v>3.6205724477205527E-11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289.94963088302325</v>
      </c>
      <c r="AO112" s="62">
        <f t="shared" si="90"/>
        <v>242.84781402593839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279.72532035259127</v>
      </c>
      <c r="BI112" s="62">
        <f ca="1">AVERAGE(OFFSET($BH$3,0,0,'Données projet'!$E$11+1,1))-AVERAGE(OFFSET($H$3,0,0,'Données projet'!$E$11+1,1))</f>
        <v>189.09998601768521</v>
      </c>
      <c r="BJ112" s="62">
        <f t="shared" si="92"/>
        <v>458.38901659119472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-5.1431925385259088E-14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376.68007030857598</v>
      </c>
      <c r="CE112" s="62">
        <f t="shared" si="94"/>
        <v>532.90758914457626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0.70034218593275044</v>
      </c>
      <c r="CL112" s="23">
        <f>EXP(-LN(2)/25)*CL111+(1-EXP(-LN(2)/25))/(LN(2)/25)*Calculateur!CG112*Calculateur!CI112*VLOOKUP('Données projet'!$B$12,Paramètres!$A$1:$I$89,3,0)*0.475*44/12</f>
        <v>0.29192136266681407</v>
      </c>
      <c r="CM112" s="23">
        <f>EXP(-LN(2)/2)*CM111+(1-EXP(-LN(2)/2))/(LN(2)/2)*CG112*CJ112*VLOOKUP('Données projet'!$B$12,Paramètres!$A$1:$I$89,3,0)*0.475*44/12</f>
        <v>6.6696916710454629E-12</v>
      </c>
      <c r="CN112" s="24">
        <f t="shared" si="66"/>
        <v>0.99226354860623422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349.46033149388688</v>
      </c>
      <c r="T113" s="62">
        <f t="shared" si="88"/>
        <v>405.30585610371702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2.5601313295603796E-11</v>
      </c>
      <c r="AC113" s="24">
        <f t="shared" si="57"/>
        <v>2.5601313295603796E-11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289.94963088302325</v>
      </c>
      <c r="AO113" s="62">
        <f t="shared" si="90"/>
        <v>242.84781402593839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279.96138895484785</v>
      </c>
      <c r="BI113" s="62">
        <f ca="1">AVERAGE(OFFSET($BH$3,0,0,'Données projet'!$E$11+1,1))-AVERAGE(OFFSET($H$3,0,0,'Données projet'!$E$11+1,1))</f>
        <v>189.09998601768521</v>
      </c>
      <c r="BJ113" s="62">
        <f t="shared" si="92"/>
        <v>458.38901659119472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-5.1431925385259088E-14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376.68007030857598</v>
      </c>
      <c r="CE113" s="62">
        <f t="shared" si="94"/>
        <v>532.90758914457626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0.68660890283316345</v>
      </c>
      <c r="CL113" s="23">
        <f>EXP(-LN(2)/25)*CL112+(1-EXP(-LN(2)/25))/(LN(2)/25)*Calculateur!CG113*Calculateur!CI113*VLOOKUP('Données projet'!$B$12,Paramètres!$A$1:$I$89,3,0)*0.475*44/12</f>
        <v>0.28393875765321275</v>
      </c>
      <c r="CM113" s="23">
        <f>EXP(-LN(2)/2)*CM112+(1-EXP(-LN(2)/2))/(LN(2)/2)*CG113*CJ113*VLOOKUP('Données projet'!$B$12,Paramètres!$A$1:$I$89,3,0)*0.475*44/12</f>
        <v>4.7161842090196826E-12</v>
      </c>
      <c r="CN113" s="24">
        <f t="shared" si="66"/>
        <v>0.97054766049109242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349.46033149388688</v>
      </c>
      <c r="T114" s="62">
        <f t="shared" si="88"/>
        <v>405.30585610371702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1.8102862238602763E-11</v>
      </c>
      <c r="AC114" s="24">
        <f t="shared" si="57"/>
        <v>1.8102862238602763E-11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289.94963088302325</v>
      </c>
      <c r="AO114" s="62">
        <f t="shared" si="90"/>
        <v>242.84781402593839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280.19336229462556</v>
      </c>
      <c r="BI114" s="62">
        <f ca="1">AVERAGE(OFFSET($BH$3,0,0,'Données projet'!$E$11+1,1))-AVERAGE(OFFSET($H$3,0,0,'Données projet'!$E$11+1,1))</f>
        <v>189.09998601768521</v>
      </c>
      <c r="BJ114" s="62">
        <f t="shared" si="92"/>
        <v>458.38901659119472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-5.1431925385259088E-14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376.68007030857598</v>
      </c>
      <c r="CE114" s="62">
        <f t="shared" si="94"/>
        <v>532.90758914457626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0.67314492103868373</v>
      </c>
      <c r="CL114" s="23">
        <f>EXP(-LN(2)/25)*CL113+(1-EXP(-LN(2)/25))/(LN(2)/25)*Calculateur!CG114*Calculateur!CI114*VLOOKUP('Données projet'!$B$12,Paramètres!$A$1:$I$89,3,0)*0.475*44/12</f>
        <v>0.27617443739349534</v>
      </c>
      <c r="CM114" s="23">
        <f>EXP(-LN(2)/2)*CM113+(1-EXP(-LN(2)/2))/(LN(2)/2)*CG114*CJ114*VLOOKUP('Données projet'!$B$12,Paramètres!$A$1:$I$89,3,0)*0.475*44/12</f>
        <v>3.3348458355227315E-12</v>
      </c>
      <c r="CN114" s="24">
        <f t="shared" si="66"/>
        <v>0.94931935843551396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349.46033149388688</v>
      </c>
      <c r="T115" s="62">
        <f t="shared" si="88"/>
        <v>405.30585610371702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1.2800656647801898E-11</v>
      </c>
      <c r="AC115" s="24">
        <f t="shared" si="57"/>
        <v>1.2800656647801898E-11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289.94963088302325</v>
      </c>
      <c r="AO115" s="62">
        <f t="shared" si="90"/>
        <v>242.84781402593839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280.42131141557286</v>
      </c>
      <c r="BI115" s="62">
        <f ca="1">AVERAGE(OFFSET($BH$3,0,0,'Données projet'!$E$11+1,1))-AVERAGE(OFFSET($H$3,0,0,'Données projet'!$E$11+1,1))</f>
        <v>189.09998601768521</v>
      </c>
      <c r="BJ115" s="62">
        <f t="shared" si="92"/>
        <v>458.38901659119472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-5.1431925385259088E-14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376.68007030857598</v>
      </c>
      <c r="CE115" s="62">
        <f t="shared" si="94"/>
        <v>532.90758914457626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0.6599449597149758</v>
      </c>
      <c r="CL115" s="23">
        <f>EXP(-LN(2)/25)*CL114+(1-EXP(-LN(2)/25))/(LN(2)/25)*Calculateur!CG115*Calculateur!CI115*VLOOKUP('Données projet'!$B$12,Paramètres!$A$1:$I$89,3,0)*0.475*44/12</f>
        <v>0.26862243287958776</v>
      </c>
      <c r="CM115" s="23">
        <f>EXP(-LN(2)/2)*CM114+(1-EXP(-LN(2)/2))/(LN(2)/2)*CG115*CJ115*VLOOKUP('Données projet'!$B$12,Paramètres!$A$1:$I$89,3,0)*0.475*44/12</f>
        <v>2.3580921045098413E-12</v>
      </c>
      <c r="CN115" s="24">
        <f t="shared" si="66"/>
        <v>0.92856739259692167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349.46033149388688</v>
      </c>
      <c r="T116" s="62">
        <f t="shared" si="88"/>
        <v>405.30585610371702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9.0514311193013817E-12</v>
      </c>
      <c r="AC116" s="24">
        <f t="shared" si="57"/>
        <v>9.0514311193013817E-12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289.94963088302325</v>
      </c>
      <c r="AO116" s="62">
        <f t="shared" si="90"/>
        <v>242.84781402593839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280.64530612888962</v>
      </c>
      <c r="BI116" s="62">
        <f ca="1">AVERAGE(OFFSET($BH$3,0,0,'Données projet'!$E$11+1,1))-AVERAGE(OFFSET($H$3,0,0,'Données projet'!$E$11+1,1))</f>
        <v>189.09998601768521</v>
      </c>
      <c r="BJ116" s="62">
        <f t="shared" si="92"/>
        <v>458.38901659119472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-5.1431925385259088E-14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376.68007030857598</v>
      </c>
      <c r="CE116" s="62">
        <f t="shared" si="94"/>
        <v>532.90758914457626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0.64700384158164437</v>
      </c>
      <c r="CL116" s="23">
        <f>EXP(-LN(2)/25)*CL115+(1-EXP(-LN(2)/25))/(LN(2)/25)*Calculateur!CG116*Calculateur!CI116*VLOOKUP('Données projet'!$B$12,Paramètres!$A$1:$I$89,3,0)*0.475*44/12</f>
        <v>0.26127693832625565</v>
      </c>
      <c r="CM116" s="23">
        <f>EXP(-LN(2)/2)*CM115+(1-EXP(-LN(2)/2))/(LN(2)/2)*CG116*CJ116*VLOOKUP('Données projet'!$B$12,Paramètres!$A$1:$I$89,3,0)*0.475*44/12</f>
        <v>1.6674229177613657E-12</v>
      </c>
      <c r="CN116" s="24">
        <f t="shared" si="66"/>
        <v>0.90828077990956746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349.46033149388688</v>
      </c>
      <c r="T117" s="62">
        <f t="shared" si="88"/>
        <v>405.30585610371702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6.4003283239009491E-12</v>
      </c>
      <c r="AC117" s="24">
        <f t="shared" si="57"/>
        <v>6.4003283239009491E-12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289.94963088302325</v>
      </c>
      <c r="AO117" s="62">
        <f t="shared" si="90"/>
        <v>242.84781402593839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280.86541503470744</v>
      </c>
      <c r="BI117" s="62">
        <f ca="1">AVERAGE(OFFSET($BH$3,0,0,'Données projet'!$E$11+1,1))-AVERAGE(OFFSET($H$3,0,0,'Données projet'!$E$11+1,1))</f>
        <v>189.09998601768521</v>
      </c>
      <c r="BJ117" s="62">
        <f t="shared" si="92"/>
        <v>458.38901659119472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-5.1431925385259088E-14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376.68007030857598</v>
      </c>
      <c r="CE117" s="62">
        <f t="shared" si="94"/>
        <v>532.90758914457626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0.63431649088160491</v>
      </c>
      <c r="CL117" s="23">
        <f>EXP(-LN(2)/25)*CL116+(1-EXP(-LN(2)/25))/(LN(2)/25)*Calculateur!CG117*Calculateur!CI117*VLOOKUP('Données projet'!$B$12,Paramètres!$A$1:$I$89,3,0)*0.475*44/12</f>
        <v>0.25413230670776715</v>
      </c>
      <c r="CM117" s="23">
        <f>EXP(-LN(2)/2)*CM116+(1-EXP(-LN(2)/2))/(LN(2)/2)*CG117*CJ117*VLOOKUP('Données projet'!$B$12,Paramètres!$A$1:$I$89,3,0)*0.475*44/12</f>
        <v>1.1790460522549207E-12</v>
      </c>
      <c r="CN117" s="24">
        <f t="shared" si="66"/>
        <v>0.88844879759055106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349.46033149388688</v>
      </c>
      <c r="T118" s="62">
        <f t="shared" si="88"/>
        <v>405.30585610371702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4.5257155596506908E-12</v>
      </c>
      <c r="AC118" s="24">
        <f t="shared" si="57"/>
        <v>4.5257155596506908E-12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289.94963088302325</v>
      </c>
      <c r="AO118" s="62">
        <f t="shared" si="90"/>
        <v>242.84781402593839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281.08170554309925</v>
      </c>
      <c r="BI118" s="62">
        <f ca="1">AVERAGE(OFFSET($BH$3,0,0,'Données projet'!$E$11+1,1))-AVERAGE(OFFSET($H$3,0,0,'Données projet'!$E$11+1,1))</f>
        <v>189.09998601768521</v>
      </c>
      <c r="BJ118" s="62">
        <f t="shared" si="92"/>
        <v>458.38901659119472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-5.1431925385259088E-14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376.68007030857598</v>
      </c>
      <c r="CE118" s="62">
        <f t="shared" si="94"/>
        <v>532.90758914457626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0.62187793139027336</v>
      </c>
      <c r="CL118" s="23">
        <f>EXP(-LN(2)/25)*CL117+(1-EXP(-LN(2)/25))/(LN(2)/25)*Calculateur!CG118*Calculateur!CI118*VLOOKUP('Données projet'!$B$12,Paramètres!$A$1:$I$89,3,0)*0.475*44/12</f>
        <v>0.24718304541660607</v>
      </c>
      <c r="CM118" s="23">
        <f>EXP(-LN(2)/2)*CM117+(1-EXP(-LN(2)/2))/(LN(2)/2)*CG118*CJ118*VLOOKUP('Données projet'!$B$12,Paramètres!$A$1:$I$89,3,0)*0.475*44/12</f>
        <v>8.3371145888068287E-13</v>
      </c>
      <c r="CN118" s="24">
        <f t="shared" si="66"/>
        <v>0.8690609768077131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349.46033149388688</v>
      </c>
      <c r="T119" s="62">
        <f t="shared" si="88"/>
        <v>405.30585610371702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3.2001641619504745E-12</v>
      </c>
      <c r="AC119" s="24">
        <f t="shared" si="57"/>
        <v>3.2001641619504745E-12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289.94963088302325</v>
      </c>
      <c r="AO119" s="62">
        <f t="shared" si="90"/>
        <v>242.84781402593839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281.29424389472348</v>
      </c>
      <c r="BI119" s="62">
        <f ca="1">AVERAGE(OFFSET($BH$3,0,0,'Données projet'!$E$11+1,1))-AVERAGE(OFFSET($H$3,0,0,'Données projet'!$E$11+1,1))</f>
        <v>189.09998601768521</v>
      </c>
      <c r="BJ119" s="62">
        <f t="shared" si="92"/>
        <v>458.38901659119472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-5.1431925385259088E-14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376.68007030857598</v>
      </c>
      <c r="CE119" s="62">
        <f t="shared" si="94"/>
        <v>532.90758914457626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0.60968328446379472</v>
      </c>
      <c r="CL119" s="23">
        <f>EXP(-LN(2)/25)*CL118+(1-EXP(-LN(2)/25))/(LN(2)/25)*Calculateur!CG119*Calculateur!CI119*VLOOKUP('Données projet'!$B$12,Paramètres!$A$1:$I$89,3,0)*0.475*44/12</f>
        <v>0.24042381204089758</v>
      </c>
      <c r="CM119" s="23">
        <f>EXP(-LN(2)/2)*CM118+(1-EXP(-LN(2)/2))/(LN(2)/2)*CG119*CJ119*VLOOKUP('Données projet'!$B$12,Paramètres!$A$1:$I$89,3,0)*0.475*44/12</f>
        <v>5.8952302612746033E-13</v>
      </c>
      <c r="CN119" s="24">
        <f t="shared" si="66"/>
        <v>0.85010709650528182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349.46033149388688</v>
      </c>
      <c r="T120" s="62">
        <f t="shared" si="88"/>
        <v>405.30585610371702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2.2628577798253454E-12</v>
      </c>
      <c r="AC120" s="24">
        <f t="shared" si="57"/>
        <v>2.2628577798253454E-12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289.94963088302325</v>
      </c>
      <c r="AO120" s="62">
        <f t="shared" si="90"/>
        <v>242.84781402593839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281.50309518111163</v>
      </c>
      <c r="BI120" s="62">
        <f ca="1">AVERAGE(OFFSET($BH$3,0,0,'Données projet'!$E$11+1,1))-AVERAGE(OFFSET($H$3,0,0,'Données projet'!$E$11+1,1))</f>
        <v>189.09998601768521</v>
      </c>
      <c r="BJ120" s="62">
        <f t="shared" si="92"/>
        <v>458.38901659119472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-5.1431925385259088E-14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376.68007030857598</v>
      </c>
      <c r="CE120" s="62">
        <f t="shared" si="94"/>
        <v>532.90758914457626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0.5977277671255441</v>
      </c>
      <c r="CL120" s="23">
        <f>EXP(-LN(2)/25)*CL119+(1-EXP(-LN(2)/25))/(LN(2)/25)*Calculateur!CG120*Calculateur!CI120*VLOOKUP('Données projet'!$B$12,Paramètres!$A$1:$I$89,3,0)*0.475*44/12</f>
        <v>0.23384941025730047</v>
      </c>
      <c r="CM120" s="23">
        <f>EXP(-LN(2)/2)*CM119+(1-EXP(-LN(2)/2))/(LN(2)/2)*CG120*CJ120*VLOOKUP('Données projet'!$B$12,Paramètres!$A$1:$I$89,3,0)*0.475*44/12</f>
        <v>4.1685572944034143E-13</v>
      </c>
      <c r="CN120" s="24">
        <f t="shared" si="66"/>
        <v>0.83157717738326142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349.46033149388688</v>
      </c>
      <c r="T121" s="62">
        <f t="shared" si="88"/>
        <v>405.30585610371702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1.6000820809752373E-12</v>
      </c>
      <c r="AC121" s="24">
        <f t="shared" si="57"/>
        <v>1.6000820809752373E-12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289.94963088302325</v>
      </c>
      <c r="AO121" s="62">
        <f t="shared" si="90"/>
        <v>242.84781402593839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281.70832336460239</v>
      </c>
      <c r="BI121" s="62">
        <f ca="1">AVERAGE(OFFSET($BH$3,0,0,'Données projet'!$E$11+1,1))-AVERAGE(OFFSET($H$3,0,0,'Données projet'!$E$11+1,1))</f>
        <v>189.09998601768521</v>
      </c>
      <c r="BJ121" s="62">
        <f t="shared" si="92"/>
        <v>458.38901659119472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-5.1431925385259088E-14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376.68007030857598</v>
      </c>
      <c r="CE121" s="62">
        <f t="shared" si="94"/>
        <v>532.90758914457626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0.58600669019015106</v>
      </c>
      <c r="CL121" s="23">
        <f>EXP(-LN(2)/25)*CL120+(1-EXP(-LN(2)/25))/(LN(2)/25)*Calculateur!CG121*Calculateur!CI121*VLOOKUP('Données projet'!$B$12,Paramètres!$A$1:$I$89,3,0)*0.475*44/12</f>
        <v>0.22745478583620857</v>
      </c>
      <c r="CM121" s="23">
        <f>EXP(-LN(2)/2)*CM120+(1-EXP(-LN(2)/2))/(LN(2)/2)*CG121*CJ121*VLOOKUP('Données projet'!$B$12,Paramètres!$A$1:$I$89,3,0)*0.475*44/12</f>
        <v>2.9476151306373016E-13</v>
      </c>
      <c r="CN121" s="24">
        <f t="shared" si="66"/>
        <v>0.81346147602665442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349.46033149388688</v>
      </c>
      <c r="T122" s="62">
        <f t="shared" si="88"/>
        <v>405.30585610371702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1.1314288899126727E-12</v>
      </c>
      <c r="AC122" s="24">
        <f t="shared" si="57"/>
        <v>1.1314288899126727E-12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289.94963088302325</v>
      </c>
      <c r="AO122" s="62">
        <f t="shared" si="90"/>
        <v>242.84781402593839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281.90999129793113</v>
      </c>
      <c r="BI122" s="62">
        <f ca="1">AVERAGE(OFFSET($BH$3,0,0,'Données projet'!$E$11+1,1))-AVERAGE(OFFSET($H$3,0,0,'Données projet'!$E$11+1,1))</f>
        <v>189.09998601768521</v>
      </c>
      <c r="BJ122" s="62">
        <f t="shared" si="92"/>
        <v>458.38901659119472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-5.1431925385259088E-14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376.68007030857598</v>
      </c>
      <c r="CE122" s="62">
        <f t="shared" si="94"/>
        <v>532.90758914457626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0.57451545642431001</v>
      </c>
      <c r="CL122" s="23">
        <f>EXP(-LN(2)/25)*CL121+(1-EXP(-LN(2)/25))/(LN(2)/25)*Calculateur!CG122*Calculateur!CI122*VLOOKUP('Données projet'!$B$12,Paramètres!$A$1:$I$89,3,0)*0.475*44/12</f>
        <v>0.22123502275619011</v>
      </c>
      <c r="CM122" s="23">
        <f>EXP(-LN(2)/2)*CM121+(1-EXP(-LN(2)/2))/(LN(2)/2)*CG122*CJ122*VLOOKUP('Données projet'!$B$12,Paramètres!$A$1:$I$89,3,0)*0.475*44/12</f>
        <v>2.0842786472017072E-13</v>
      </c>
      <c r="CN122" s="24">
        <f t="shared" si="66"/>
        <v>0.79575047918070851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349.46033149388688</v>
      </c>
      <c r="T123" s="62">
        <f t="shared" si="88"/>
        <v>405.30585610371702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8.0004104048761864E-13</v>
      </c>
      <c r="AC123" s="24">
        <f t="shared" si="57"/>
        <v>8.0004104048761864E-13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289.94963088302325</v>
      </c>
      <c r="AO123" s="62">
        <f t="shared" si="90"/>
        <v>242.84781402593839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282.10816074347861</v>
      </c>
      <c r="BI123" s="62">
        <f ca="1">AVERAGE(OFFSET($BH$3,0,0,'Données projet'!$E$11+1,1))-AVERAGE(OFFSET($H$3,0,0,'Données projet'!$E$11+1,1))</f>
        <v>189.09998601768521</v>
      </c>
      <c r="BJ123" s="62">
        <f t="shared" si="92"/>
        <v>458.38901659119472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-5.1431925385259088E-14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376.68007030857598</v>
      </c>
      <c r="CE123" s="62">
        <f t="shared" si="94"/>
        <v>532.90758914457626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0.56324955874365668</v>
      </c>
      <c r="CL123" s="23">
        <f>EXP(-LN(2)/25)*CL122+(1-EXP(-LN(2)/25))/(LN(2)/25)*Calculateur!CG123*Calculateur!CI123*VLOOKUP('Données projet'!$B$12,Paramètres!$A$1:$I$89,3,0)*0.475*44/12</f>
        <v>0.21518533942467788</v>
      </c>
      <c r="CM123" s="23">
        <f>EXP(-LN(2)/2)*CM122+(1-EXP(-LN(2)/2))/(LN(2)/2)*CG123*CJ123*VLOOKUP('Données projet'!$B$12,Paramètres!$A$1:$I$89,3,0)*0.475*44/12</f>
        <v>1.4738075653186508E-13</v>
      </c>
      <c r="CN123" s="24">
        <f t="shared" si="66"/>
        <v>0.77843489816848188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349.46033149388688</v>
      </c>
      <c r="T124" s="62">
        <f t="shared" si="88"/>
        <v>405.30585610371702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5.6571444495633636E-13</v>
      </c>
      <c r="AC124" s="24">
        <f t="shared" si="57"/>
        <v>5.6571444495633636E-13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289.94963088302325</v>
      </c>
      <c r="AO124" s="62">
        <f t="shared" si="90"/>
        <v>242.84781402593839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282.30289239218638</v>
      </c>
      <c r="BI124" s="62">
        <f ca="1">AVERAGE(OFFSET($BH$3,0,0,'Données projet'!$E$11+1,1))-AVERAGE(OFFSET($H$3,0,0,'Données projet'!$E$11+1,1))</f>
        <v>189.09998601768521</v>
      </c>
      <c r="BJ124" s="62">
        <f t="shared" si="92"/>
        <v>458.38901659119472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-5.1431925385259088E-14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376.68007030857598</v>
      </c>
      <c r="CE124" s="62">
        <f t="shared" si="94"/>
        <v>532.90758914457626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0.55220457844500181</v>
      </c>
      <c r="CL124" s="23">
        <f>EXP(-LN(2)/25)*CL123+(1-EXP(-LN(2)/25))/(LN(2)/25)*Calculateur!CG124*Calculateur!CI124*VLOOKUP('Données projet'!$B$12,Paramètres!$A$1:$I$89,3,0)*0.475*44/12</f>
        <v>0.20930108500200487</v>
      </c>
      <c r="CM124" s="23">
        <f>EXP(-LN(2)/2)*CM123+(1-EXP(-LN(2)/2))/(LN(2)/2)*CG124*CJ124*VLOOKUP('Données projet'!$B$12,Paramètres!$A$1:$I$89,3,0)*0.475*44/12</f>
        <v>1.0421393236008536E-13</v>
      </c>
      <c r="CN124" s="24">
        <f t="shared" si="66"/>
        <v>0.7615056634471109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349.46033149388688</v>
      </c>
      <c r="T125" s="62">
        <f t="shared" si="88"/>
        <v>405.30585610371702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4.0002052024380932E-13</v>
      </c>
      <c r="AC125" s="24">
        <f t="shared" si="57"/>
        <v>4.0002052024380932E-13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289.94963088302325</v>
      </c>
      <c r="AO125" s="62">
        <f t="shared" si="90"/>
        <v>242.84781402593839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282.49424588214379</v>
      </c>
      <c r="BI125" s="62">
        <f ca="1">AVERAGE(OFFSET($BH$3,0,0,'Données projet'!$E$11+1,1))-AVERAGE(OFFSET($H$3,0,0,'Données projet'!$E$11+1,1))</f>
        <v>189.09998601768521</v>
      </c>
      <c r="BJ125" s="62">
        <f t="shared" si="92"/>
        <v>458.38901659119472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-5.1431925385259088E-14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376.68007030857598</v>
      </c>
      <c r="CE125" s="62">
        <f t="shared" si="94"/>
        <v>532.90758914457626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0.5413761834732308</v>
      </c>
      <c r="CL125" s="23">
        <f>EXP(-LN(2)/25)*CL124+(1-EXP(-LN(2)/25))/(LN(2)/25)*Calculateur!CG125*Calculateur!CI125*VLOOKUP('Données projet'!$B$12,Paramètres!$A$1:$I$89,3,0)*0.475*44/12</f>
        <v>0.20357773582595934</v>
      </c>
      <c r="CM125" s="23">
        <f>EXP(-LN(2)/2)*CM124+(1-EXP(-LN(2)/2))/(LN(2)/2)*CG125*CJ125*VLOOKUP('Données projet'!$B$12,Paramètres!$A$1:$I$89,3,0)*0.475*44/12</f>
        <v>7.3690378265932541E-14</v>
      </c>
      <c r="CN125" s="24">
        <f t="shared" si="66"/>
        <v>0.7449539192992638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349.46033149388688</v>
      </c>
      <c r="T126" s="62">
        <f t="shared" si="88"/>
        <v>405.30585610371702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2.8285722247816818E-13</v>
      </c>
      <c r="AC126" s="24">
        <f t="shared" si="57"/>
        <v>2.8285722247816818E-13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289.94963088302325</v>
      </c>
      <c r="AO126" s="62">
        <f t="shared" si="90"/>
        <v>242.84781402593839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282.68227981685266</v>
      </c>
      <c r="BI126" s="62">
        <f ca="1">AVERAGE(OFFSET($BH$3,0,0,'Données projet'!$E$11+1,1))-AVERAGE(OFFSET($H$3,0,0,'Données projet'!$E$11+1,1))</f>
        <v>189.09998601768521</v>
      </c>
      <c r="BJ126" s="62">
        <f t="shared" si="92"/>
        <v>458.38901659119472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-5.1431925385259088E-14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376.68007030857598</v>
      </c>
      <c r="CE126" s="62">
        <f t="shared" si="94"/>
        <v>532.90758914457626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0.53076012672218742</v>
      </c>
      <c r="CL126" s="23">
        <f>EXP(-LN(2)/25)*CL125+(1-EXP(-LN(2)/25))/(LN(2)/25)*Calculateur!CG126*Calculateur!CI126*VLOOKUP('Données projet'!$B$12,Paramètres!$A$1:$I$89,3,0)*0.475*44/12</f>
        <v>0.19801089193411064</v>
      </c>
      <c r="CM126" s="23">
        <f>EXP(-LN(2)/2)*CM125+(1-EXP(-LN(2)/2))/(LN(2)/2)*CG126*CJ126*VLOOKUP('Données projet'!$B$12,Paramètres!$A$1:$I$89,3,0)*0.475*44/12</f>
        <v>5.2106966180042679E-14</v>
      </c>
      <c r="CN126" s="24">
        <f t="shared" si="66"/>
        <v>0.72877101865635019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349.46033149388688</v>
      </c>
      <c r="T127" s="62">
        <f t="shared" si="88"/>
        <v>405.30585610371702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2.0001026012190466E-13</v>
      </c>
      <c r="AC127" s="24">
        <f t="shared" si="57"/>
        <v>2.0001026012190466E-13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289.94963088302325</v>
      </c>
      <c r="AO127" s="62">
        <f t="shared" si="90"/>
        <v>242.84781402593839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282.86705178317533</v>
      </c>
      <c r="BI127" s="62">
        <f ca="1">AVERAGE(OFFSET($BH$3,0,0,'Données projet'!$E$11+1,1))-AVERAGE(OFFSET($H$3,0,0,'Données projet'!$E$11+1,1))</f>
        <v>189.09998601768521</v>
      </c>
      <c r="BJ127" s="62">
        <f t="shared" si="92"/>
        <v>458.38901659119472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-5.1431925385259088E-14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376.68007030857598</v>
      </c>
      <c r="CE127" s="62">
        <f t="shared" si="94"/>
        <v>532.90758914457626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0.52035224436887673</v>
      </c>
      <c r="CL127" s="23">
        <f>EXP(-LN(2)/25)*CL126+(1-EXP(-LN(2)/25))/(LN(2)/25)*Calculateur!CG127*Calculateur!CI127*VLOOKUP('Données projet'!$B$12,Paramètres!$A$1:$I$89,3,0)*0.475*44/12</f>
        <v>0.19259627368123214</v>
      </c>
      <c r="CM127" s="23">
        <f>EXP(-LN(2)/2)*CM126+(1-EXP(-LN(2)/2))/(LN(2)/2)*CG127*CJ127*VLOOKUP('Données projet'!$B$12,Paramètres!$A$1:$I$89,3,0)*0.475*44/12</f>
        <v>3.684518913296627E-14</v>
      </c>
      <c r="CN127" s="24">
        <f t="shared" si="66"/>
        <v>0.7129485180501457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349.46033149388688</v>
      </c>
      <c r="T128" s="62">
        <f t="shared" si="88"/>
        <v>405.30585610371702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1.4142861123908409E-13</v>
      </c>
      <c r="AC128" s="24">
        <f t="shared" si="57"/>
        <v>1.4142861123908409E-13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289.94963088302325</v>
      </c>
      <c r="AO128" s="62">
        <f t="shared" si="90"/>
        <v>242.84781402593839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283.04861836897049</v>
      </c>
      <c r="BI128" s="62">
        <f ca="1">AVERAGE(OFFSET($BH$3,0,0,'Données projet'!$E$11+1,1))-AVERAGE(OFFSET($H$3,0,0,'Données projet'!$E$11+1,1))</f>
        <v>189.09998601768521</v>
      </c>
      <c r="BJ128" s="62">
        <f t="shared" si="92"/>
        <v>458.38901659119472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-5.1431925385259088E-14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376.68007030857598</v>
      </c>
      <c r="CE128" s="62">
        <f t="shared" si="94"/>
        <v>532.90758914457626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0.51014845424033306</v>
      </c>
      <c r="CL128" s="23">
        <f>EXP(-LN(2)/25)*CL127+(1-EXP(-LN(2)/25))/(LN(2)/25)*Calculateur!CG128*Calculateur!CI128*VLOOKUP('Données projet'!$B$12,Paramètres!$A$1:$I$89,3,0)*0.475*44/12</f>
        <v>0.187329718449221</v>
      </c>
      <c r="CM128" s="23">
        <f>EXP(-LN(2)/2)*CM127+(1-EXP(-LN(2)/2))/(LN(2)/2)*CG128*CJ128*VLOOKUP('Données projet'!$B$12,Paramètres!$A$1:$I$89,3,0)*0.475*44/12</f>
        <v>2.605348309002134E-14</v>
      </c>
      <c r="CN128" s="24">
        <f t="shared" si="66"/>
        <v>0.69747817268958012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349.46033149388688</v>
      </c>
      <c r="T129" s="62">
        <f t="shared" si="88"/>
        <v>405.30585610371702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1.0000513006095233E-13</v>
      </c>
      <c r="AC129" s="24">
        <f t="shared" si="57"/>
        <v>1.0000513006095233E-13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289.94963088302325</v>
      </c>
      <c r="AO129" s="62">
        <f t="shared" si="90"/>
        <v>242.84781402593839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283.2270351804242</v>
      </c>
      <c r="BI129" s="62">
        <f ca="1">AVERAGE(OFFSET($BH$3,0,0,'Données projet'!$E$11+1,1))-AVERAGE(OFFSET($H$3,0,0,'Données projet'!$E$11+1,1))</f>
        <v>189.09998601768521</v>
      </c>
      <c r="BJ129" s="62">
        <f t="shared" si="92"/>
        <v>458.38901659119472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-5.1431925385259088E-14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376.68007030857598</v>
      </c>
      <c r="CE129" s="62">
        <f t="shared" si="94"/>
        <v>532.90758914457626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0.5001447542125127</v>
      </c>
      <c r="CL129" s="23">
        <f>EXP(-LN(2)/25)*CL128+(1-EXP(-LN(2)/25))/(LN(2)/25)*Calculateur!CG129*Calculateur!CI129*VLOOKUP('Données projet'!$B$12,Paramètres!$A$1:$I$89,3,0)*0.475*44/12</f>
        <v>0.18220717744698531</v>
      </c>
      <c r="CM129" s="23">
        <f>EXP(-LN(2)/2)*CM128+(1-EXP(-LN(2)/2))/(LN(2)/2)*CG129*CJ129*VLOOKUP('Données projet'!$B$12,Paramètres!$A$1:$I$89,3,0)*0.475*44/12</f>
        <v>1.8422594566483135E-14</v>
      </c>
      <c r="CN129" s="24">
        <f t="shared" si="66"/>
        <v>0.68235193165951646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349.46033149388688</v>
      </c>
      <c r="T130" s="62">
        <f t="shared" si="88"/>
        <v>405.30585610371702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7.0714305619542044E-14</v>
      </c>
      <c r="AC130" s="24">
        <f t="shared" si="57"/>
        <v>7.0714305619542044E-14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289.94963088302325</v>
      </c>
      <c r="AO130" s="62">
        <f t="shared" si="90"/>
        <v>242.84781402593839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283.40235685907942</v>
      </c>
      <c r="BI130" s="62">
        <f ca="1">AVERAGE(OFFSET($BH$3,0,0,'Données projet'!$E$11+1,1))-AVERAGE(OFFSET($H$3,0,0,'Données projet'!$E$11+1,1))</f>
        <v>189.09998601768521</v>
      </c>
      <c r="BJ130" s="62">
        <f t="shared" si="92"/>
        <v>458.38901659119472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-5.1431925385259088E-14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376.68007030857598</v>
      </c>
      <c r="CE130" s="62">
        <f t="shared" si="94"/>
        <v>532.90758914457626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0.49033722064058338</v>
      </c>
      <c r="CL130" s="23">
        <f>EXP(-LN(2)/25)*CL129+(1-EXP(-LN(2)/25))/(LN(2)/25)*Calculateur!CG130*Calculateur!CI130*VLOOKUP('Données projet'!$B$12,Paramètres!$A$1:$I$89,3,0)*0.475*44/12</f>
        <v>0.17722471259783848</v>
      </c>
      <c r="CM130" s="23">
        <f>EXP(-LN(2)/2)*CM129+(1-EXP(-LN(2)/2))/(LN(2)/2)*CG130*CJ130*VLOOKUP('Données projet'!$B$12,Paramètres!$A$1:$I$89,3,0)*0.475*44/12</f>
        <v>1.302674154501067E-14</v>
      </c>
      <c r="CN130" s="24">
        <f t="shared" si="66"/>
        <v>0.66756193323843482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349.46033149388688</v>
      </c>
      <c r="T131" s="62">
        <f t="shared" si="88"/>
        <v>405.30585610371702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5.0002565030476165E-14</v>
      </c>
      <c r="AC131" s="24">
        <f t="shared" si="57"/>
        <v>5.0002565030476165E-14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289.94963088302325</v>
      </c>
      <c r="AO131" s="62">
        <f t="shared" si="90"/>
        <v>242.84781402593839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283.57463709857052</v>
      </c>
      <c r="BI131" s="62">
        <f ca="1">AVERAGE(OFFSET($BH$3,0,0,'Données projet'!$E$11+1,1))-AVERAGE(OFFSET($H$3,0,0,'Données projet'!$E$11+1,1))</f>
        <v>189.09998601768521</v>
      </c>
      <c r="BJ131" s="62">
        <f t="shared" si="92"/>
        <v>458.38901659119472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-5.1431925385259088E-14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376.68007030857598</v>
      </c>
      <c r="CE131" s="62">
        <f t="shared" si="94"/>
        <v>532.90758914457626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0.48072200681999483</v>
      </c>
      <c r="CL131" s="23">
        <f>EXP(-LN(2)/25)*CL130+(1-EXP(-LN(2)/25))/(LN(2)/25)*Calculateur!CG131*Calculateur!CI131*VLOOKUP('Données projet'!$B$12,Paramètres!$A$1:$I$89,3,0)*0.475*44/12</f>
        <v>0.17237849351200801</v>
      </c>
      <c r="CM131" s="23">
        <f>EXP(-LN(2)/2)*CM130+(1-EXP(-LN(2)/2))/(LN(2)/2)*CG131*CJ131*VLOOKUP('Données projet'!$B$12,Paramètres!$A$1:$I$89,3,0)*0.475*44/12</f>
        <v>9.2112972832415676E-15</v>
      </c>
      <c r="CN131" s="24">
        <f t="shared" si="66"/>
        <v>0.65310050033201206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349.46033149388688</v>
      </c>
      <c r="T132" s="62">
        <f t="shared" si="88"/>
        <v>405.30585610371702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3.5357152809771022E-14</v>
      </c>
      <c r="AC132" s="24">
        <f t="shared" ref="AC132:AC153" si="111">SUM(Z132:AB132)</f>
        <v>3.5357152809771022E-14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289.94963088302325</v>
      </c>
      <c r="AO132" s="62">
        <f t="shared" si="90"/>
        <v>242.84781402593839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283.74392866106734</v>
      </c>
      <c r="BI132" s="62">
        <f ca="1">AVERAGE(OFFSET($BH$3,0,0,'Données projet'!$E$11+1,1))-AVERAGE(OFFSET($H$3,0,0,'Données projet'!$E$11+1,1))</f>
        <v>189.09998601768521</v>
      </c>
      <c r="BJ132" s="62">
        <f t="shared" si="92"/>
        <v>458.38901659119472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-5.1431925385259088E-14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376.68007030857598</v>
      </c>
      <c r="CE132" s="62">
        <f t="shared" si="94"/>
        <v>532.90758914457626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0.47129534147772667</v>
      </c>
      <c r="CL132" s="23">
        <f>EXP(-LN(2)/25)*CL131+(1-EXP(-LN(2)/25))/(LN(2)/25)*Calculateur!CG132*Calculateur!CI132*VLOOKUP('Données projet'!$B$12,Paramètres!$A$1:$I$89,3,0)*0.475*44/12</f>
        <v>0.16766479454193114</v>
      </c>
      <c r="CM132" s="23">
        <f>EXP(-LN(2)/2)*CM131+(1-EXP(-LN(2)/2))/(LN(2)/2)*CG132*CJ132*VLOOKUP('Données projet'!$B$12,Paramètres!$A$1:$I$89,3,0)*0.475*44/12</f>
        <v>6.5133707725053349E-15</v>
      </c>
      <c r="CN132" s="24">
        <f t="shared" ref="CN132:CN153" si="120">SUM(CK132:CM132)</f>
        <v>0.63896013601966439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349.46033149388688</v>
      </c>
      <c r="T133" s="62">
        <f t="shared" ref="T133:T196" si="142">$T$3</f>
        <v>405.30585610371702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2.5001282515238082E-14</v>
      </c>
      <c r="AC133" s="24">
        <f t="shared" si="111"/>
        <v>2.5001282515238082E-14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289.94963088302325</v>
      </c>
      <c r="AO133" s="62">
        <f t="shared" ref="AO133:AO196" si="144">$AO$3</f>
        <v>242.84781402593839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283.9102833934341</v>
      </c>
      <c r="BI133" s="62">
        <f ca="1">AVERAGE(OFFSET($BH$3,0,0,'Données projet'!$E$11+1,1))-AVERAGE(OFFSET($H$3,0,0,'Données projet'!$E$11+1,1))</f>
        <v>189.09998601768521</v>
      </c>
      <c r="BJ133" s="62">
        <f t="shared" ref="BJ133:BJ196" si="146">$BJ$3</f>
        <v>458.38901659119472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-5.1431925385259088E-14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376.68007030857598</v>
      </c>
      <c r="CE133" s="62">
        <f t="shared" ref="CE133:CE196" si="148">$CE$3</f>
        <v>532.90758914457626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0.46205352729312227</v>
      </c>
      <c r="CL133" s="23">
        <f>EXP(-LN(2)/25)*CL132+(1-EXP(-LN(2)/25))/(LN(2)/25)*Calculateur!CG133*Calculateur!CI133*VLOOKUP('Données projet'!$B$12,Paramètres!$A$1:$I$89,3,0)*0.475*44/12</f>
        <v>0.16307999191807371</v>
      </c>
      <c r="CM133" s="23">
        <f>EXP(-LN(2)/2)*CM132+(1-EXP(-LN(2)/2))/(LN(2)/2)*CG133*CJ133*VLOOKUP('Données projet'!$B$12,Paramètres!$A$1:$I$89,3,0)*0.475*44/12</f>
        <v>4.6056486416207838E-15</v>
      </c>
      <c r="CN133" s="24">
        <f t="shared" si="120"/>
        <v>0.62513351921120053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349.46033149388688</v>
      </c>
      <c r="T134" s="62">
        <f t="shared" si="142"/>
        <v>405.30585610371702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1.7678576404885511E-14</v>
      </c>
      <c r="AC134" s="24">
        <f t="shared" si="111"/>
        <v>1.7678576404885511E-14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289.94963088302325</v>
      </c>
      <c r="AO134" s="62">
        <f t="shared" si="144"/>
        <v>242.84781402593839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284.07375224310772</v>
      </c>
      <c r="BI134" s="62">
        <f ca="1">AVERAGE(OFFSET($BH$3,0,0,'Données projet'!$E$11+1,1))-AVERAGE(OFFSET($H$3,0,0,'Données projet'!$E$11+1,1))</f>
        <v>189.09998601768521</v>
      </c>
      <c r="BJ134" s="62">
        <f t="shared" si="146"/>
        <v>458.38901659119472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-5.1431925385259088E-14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376.68007030857598</v>
      </c>
      <c r="CE134" s="62">
        <f t="shared" si="148"/>
        <v>532.90758914457626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0.45299293944772789</v>
      </c>
      <c r="CL134" s="23">
        <f>EXP(-LN(2)/25)*CL133+(1-EXP(-LN(2)/25))/(LN(2)/25)*Calculateur!CG134*Calculateur!CI134*VLOOKUP('Données projet'!$B$12,Paramètres!$A$1:$I$89,3,0)*0.475*44/12</f>
        <v>0.15862056096306992</v>
      </c>
      <c r="CM134" s="23">
        <f>EXP(-LN(2)/2)*CM133+(1-EXP(-LN(2)/2))/(LN(2)/2)*CG134*CJ134*VLOOKUP('Données projet'!$B$12,Paramètres!$A$1:$I$89,3,0)*0.475*44/12</f>
        <v>3.2566853862526674E-15</v>
      </c>
      <c r="CN134" s="24">
        <f t="shared" si="120"/>
        <v>0.61161350041080109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349.46033149388688</v>
      </c>
      <c r="T135" s="62">
        <f t="shared" si="142"/>
        <v>405.30585610371702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1.2500641257619041E-14</v>
      </c>
      <c r="AC135" s="24">
        <f t="shared" si="111"/>
        <v>1.2500641257619041E-14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289.94963088302325</v>
      </c>
      <c r="AO135" s="62">
        <f t="shared" si="144"/>
        <v>242.84781402593839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284.23438527370115</v>
      </c>
      <c r="BI135" s="62">
        <f ca="1">AVERAGE(OFFSET($BH$3,0,0,'Données projet'!$E$11+1,1))-AVERAGE(OFFSET($H$3,0,0,'Données projet'!$E$11+1,1))</f>
        <v>189.09998601768521</v>
      </c>
      <c r="BJ135" s="62">
        <f t="shared" si="146"/>
        <v>458.38901659119472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-5.1431925385259088E-14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376.68007030857598</v>
      </c>
      <c r="CE135" s="62">
        <f t="shared" si="148"/>
        <v>532.90758914457626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0.44411002420356882</v>
      </c>
      <c r="CL135" s="23">
        <f>EXP(-LN(2)/25)*CL134+(1-EXP(-LN(2)/25))/(LN(2)/25)*Calculateur!CG135*Calculateur!CI135*VLOOKUP('Données projet'!$B$12,Paramètres!$A$1:$I$89,3,0)*0.475*44/12</f>
        <v>0.154283073382042</v>
      </c>
      <c r="CM135" s="23">
        <f>EXP(-LN(2)/2)*CM134+(1-EXP(-LN(2)/2))/(LN(2)/2)*CG135*CJ135*VLOOKUP('Données projet'!$B$12,Paramètres!$A$1:$I$89,3,0)*0.475*44/12</f>
        <v>2.3028243208103919E-15</v>
      </c>
      <c r="CN135" s="24">
        <f t="shared" si="120"/>
        <v>0.59839309758561321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349.46033149388688</v>
      </c>
      <c r="T136" s="62">
        <f t="shared" si="142"/>
        <v>405.30585610371702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8.8392882024427556E-15</v>
      </c>
      <c r="AC136" s="24">
        <f t="shared" si="111"/>
        <v>8.8392882024427556E-15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289.94963088302325</v>
      </c>
      <c r="AO136" s="62">
        <f t="shared" si="144"/>
        <v>242.84781402593839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284.39223168033539</v>
      </c>
      <c r="BI136" s="62">
        <f ca="1">AVERAGE(OFFSET($BH$3,0,0,'Données projet'!$E$11+1,1))-AVERAGE(OFFSET($H$3,0,0,'Données projet'!$E$11+1,1))</f>
        <v>189.09998601768521</v>
      </c>
      <c r="BJ136" s="62">
        <f t="shared" si="146"/>
        <v>458.38901659119472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-5.1431925385259088E-14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376.68007030857598</v>
      </c>
      <c r="CE136" s="62">
        <f t="shared" si="148"/>
        <v>532.90758914457626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0.4354012975093044</v>
      </c>
      <c r="CL136" s="23">
        <f>EXP(-LN(2)/25)*CL135+(1-EXP(-LN(2)/25))/(LN(2)/25)*Calculateur!CG136*Calculateur!CI136*VLOOKUP('Données projet'!$B$12,Paramètres!$A$1:$I$89,3,0)*0.475*44/12</f>
        <v>0.15006419462701584</v>
      </c>
      <c r="CM136" s="23">
        <f>EXP(-LN(2)/2)*CM135+(1-EXP(-LN(2)/2))/(LN(2)/2)*CG136*CJ136*VLOOKUP('Données projet'!$B$12,Paramètres!$A$1:$I$89,3,0)*0.475*44/12</f>
        <v>1.6283426931263337E-15</v>
      </c>
      <c r="CN136" s="24">
        <f t="shared" si="120"/>
        <v>0.58546549213632193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349.46033149388688</v>
      </c>
      <c r="T137" s="62">
        <f t="shared" si="142"/>
        <v>405.30585610371702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6.2503206288095206E-15</v>
      </c>
      <c r="AC137" s="24">
        <f t="shared" si="111"/>
        <v>6.2503206288095206E-15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289.94963088302325</v>
      </c>
      <c r="AO137" s="62">
        <f t="shared" si="144"/>
        <v>242.84781402593839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284.54733980470627</v>
      </c>
      <c r="BI137" s="62">
        <f ca="1">AVERAGE(OFFSET($BH$3,0,0,'Données projet'!$E$11+1,1))-AVERAGE(OFFSET($H$3,0,0,'Données projet'!$E$11+1,1))</f>
        <v>189.09998601768521</v>
      </c>
      <c r="BJ137" s="62">
        <f t="shared" si="146"/>
        <v>458.38901659119472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-5.1431925385259088E-14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376.68007030857598</v>
      </c>
      <c r="CE137" s="62">
        <f t="shared" si="148"/>
        <v>532.90758914457626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0.4268633436337157</v>
      </c>
      <c r="CL137" s="23">
        <f>EXP(-LN(2)/25)*CL136+(1-EXP(-LN(2)/25))/(LN(2)/25)*Calculateur!CG137*Calculateur!CI137*VLOOKUP('Données projet'!$B$12,Paramètres!$A$1:$I$89,3,0)*0.475*44/12</f>
        <v>0.14596068133340706</v>
      </c>
      <c r="CM137" s="23">
        <f>EXP(-LN(2)/2)*CM136+(1-EXP(-LN(2)/2))/(LN(2)/2)*CG137*CJ137*VLOOKUP('Données projet'!$B$12,Paramètres!$A$1:$I$89,3,0)*0.475*44/12</f>
        <v>1.151412160405196E-15</v>
      </c>
      <c r="CN137" s="24">
        <f t="shared" si="120"/>
        <v>0.57282402496712392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349.46033149388688</v>
      </c>
      <c r="T138" s="62">
        <f t="shared" si="142"/>
        <v>405.30585610371702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4.4196441012213778E-15</v>
      </c>
      <c r="AC138" s="24">
        <f t="shared" si="111"/>
        <v>4.4196441012213778E-15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289.94963088302325</v>
      </c>
      <c r="AO138" s="62">
        <f t="shared" si="144"/>
        <v>242.84781402593839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284.69975714988914</v>
      </c>
      <c r="BI138" s="62">
        <f ca="1">AVERAGE(OFFSET($BH$3,0,0,'Données projet'!$E$11+1,1))-AVERAGE(OFFSET($H$3,0,0,'Données projet'!$E$11+1,1))</f>
        <v>189.09998601768521</v>
      </c>
      <c r="BJ138" s="62">
        <f t="shared" si="146"/>
        <v>458.38901659119472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-5.1431925385259088E-14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376.68007030857598</v>
      </c>
      <c r="CE138" s="62">
        <f t="shared" si="148"/>
        <v>532.90758914457626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0.41849281382598963</v>
      </c>
      <c r="CL138" s="23">
        <f>EXP(-LN(2)/25)*CL137+(1-EXP(-LN(2)/25))/(LN(2)/25)*Calculateur!CG138*Calculateur!CI138*VLOOKUP('Données projet'!$B$12,Paramètres!$A$1:$I$89,3,0)*0.475*44/12</f>
        <v>0.1419693788266064</v>
      </c>
      <c r="CM138" s="23">
        <f>EXP(-LN(2)/2)*CM137+(1-EXP(-LN(2)/2))/(LN(2)/2)*CG138*CJ138*VLOOKUP('Données projet'!$B$12,Paramètres!$A$1:$I$89,3,0)*0.475*44/12</f>
        <v>8.1417134656316686E-16</v>
      </c>
      <c r="CN138" s="24">
        <f t="shared" si="120"/>
        <v>0.56046219265259678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349.46033149388688</v>
      </c>
      <c r="T139" s="62">
        <f t="shared" si="142"/>
        <v>405.30585610371702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3.1251603144047603E-15</v>
      </c>
      <c r="AC139" s="24">
        <f t="shared" si="111"/>
        <v>3.1251603144047603E-15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289.94963088302325</v>
      </c>
      <c r="AO139" s="62">
        <f t="shared" si="144"/>
        <v>242.84781402593839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284.84953039488721</v>
      </c>
      <c r="BI139" s="62">
        <f ca="1">AVERAGE(OFFSET($BH$3,0,0,'Données projet'!$E$11+1,1))-AVERAGE(OFFSET($H$3,0,0,'Données projet'!$E$11+1,1))</f>
        <v>189.09998601768521</v>
      </c>
      <c r="BJ139" s="62">
        <f t="shared" si="146"/>
        <v>458.38901659119472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-5.1431925385259088E-14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376.68007030857598</v>
      </c>
      <c r="CE139" s="62">
        <f t="shared" si="148"/>
        <v>532.90758914457626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0.41028642500227402</v>
      </c>
      <c r="CL139" s="23">
        <f>EXP(-LN(2)/25)*CL138+(1-EXP(-LN(2)/25))/(LN(2)/25)*Calculateur!CG139*Calculateur!CI139*VLOOKUP('Données projet'!$B$12,Paramètres!$A$1:$I$89,3,0)*0.475*44/12</f>
        <v>0.1380872186967477</v>
      </c>
      <c r="CM139" s="23">
        <f>EXP(-LN(2)/2)*CM138+(1-EXP(-LN(2)/2))/(LN(2)/2)*CG139*CJ139*VLOOKUP('Données projet'!$B$12,Paramètres!$A$1:$I$89,3,0)*0.475*44/12</f>
        <v>5.7570608020259798E-16</v>
      </c>
      <c r="CN139" s="24">
        <f t="shared" si="120"/>
        <v>0.54837364369902231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349.46033149388688</v>
      </c>
      <c r="T140" s="62">
        <f t="shared" si="142"/>
        <v>405.30585610371702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2.2098220506106889E-15</v>
      </c>
      <c r="AC140" s="24">
        <f t="shared" si="111"/>
        <v>2.2098220506106889E-15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289.94963088302325</v>
      </c>
      <c r="AO140" s="62">
        <f t="shared" si="144"/>
        <v>242.84781402593839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284.99670540892737</v>
      </c>
      <c r="BI140" s="62">
        <f ca="1">AVERAGE(OFFSET($BH$3,0,0,'Données projet'!$E$11+1,1))-AVERAGE(OFFSET($H$3,0,0,'Données projet'!$E$11+1,1))</f>
        <v>189.09998601768521</v>
      </c>
      <c r="BJ140" s="62">
        <f t="shared" si="146"/>
        <v>458.38901659119472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-5.1431925385259088E-14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376.68007030857598</v>
      </c>
      <c r="CE140" s="62">
        <f t="shared" si="148"/>
        <v>532.90758914457626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0.40224095845798857</v>
      </c>
      <c r="CL140" s="23">
        <f>EXP(-LN(2)/25)*CL139+(1-EXP(-LN(2)/25))/(LN(2)/25)*Calculateur!CG140*Calculateur!CI140*VLOOKUP('Données projet'!$B$12,Paramètres!$A$1:$I$89,3,0)*0.475*44/12</f>
        <v>0.13431121643979391</v>
      </c>
      <c r="CM140" s="23">
        <f>EXP(-LN(2)/2)*CM139+(1-EXP(-LN(2)/2))/(LN(2)/2)*CG140*CJ140*VLOOKUP('Données projet'!$B$12,Paramètres!$A$1:$I$89,3,0)*0.475*44/12</f>
        <v>4.0708567328158343E-16</v>
      </c>
      <c r="CN140" s="24">
        <f t="shared" si="120"/>
        <v>0.53655217489778295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349.46033149388688</v>
      </c>
      <c r="T141" s="62">
        <f t="shared" si="142"/>
        <v>405.30585610371702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1.5625801572023801E-15</v>
      </c>
      <c r="AC141" s="24">
        <f t="shared" si="111"/>
        <v>1.5625801572023801E-15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289.94963088302325</v>
      </c>
      <c r="AO141" s="62">
        <f t="shared" si="144"/>
        <v>242.84781402593839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285.14132726550793</v>
      </c>
      <c r="BI141" s="62">
        <f ca="1">AVERAGE(OFFSET($BH$3,0,0,'Données projet'!$E$11+1,1))-AVERAGE(OFFSET($H$3,0,0,'Données projet'!$E$11+1,1))</f>
        <v>189.09998601768521</v>
      </c>
      <c r="BJ141" s="62">
        <f t="shared" si="146"/>
        <v>458.38901659119472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-5.1431925385259088E-14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376.68007030857598</v>
      </c>
      <c r="CE141" s="62">
        <f t="shared" si="148"/>
        <v>532.90758914457626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0.3943532586053865</v>
      </c>
      <c r="CL141" s="23">
        <f>EXP(-LN(2)/25)*CL140+(1-EXP(-LN(2)/25))/(LN(2)/25)*Calculateur!CG141*Calculateur!CI141*VLOOKUP('Données projet'!$B$12,Paramètres!$A$1:$I$89,3,0)*0.475*44/12</f>
        <v>0.13063846916312785</v>
      </c>
      <c r="CM141" s="23">
        <f>EXP(-LN(2)/2)*CM140+(1-EXP(-LN(2)/2))/(LN(2)/2)*CG141*CJ141*VLOOKUP('Données projet'!$B$12,Paramètres!$A$1:$I$89,3,0)*0.475*44/12</f>
        <v>2.8785304010129899E-16</v>
      </c>
      <c r="CN141" s="24">
        <f t="shared" si="120"/>
        <v>0.52499172776851466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349.46033149388688</v>
      </c>
      <c r="T142" s="62">
        <f t="shared" si="142"/>
        <v>405.30585610371702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1.1049110253053444E-15</v>
      </c>
      <c r="AC142" s="24">
        <f t="shared" si="111"/>
        <v>1.1049110253053444E-15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289.94963088302325</v>
      </c>
      <c r="AO142" s="62">
        <f t="shared" si="144"/>
        <v>242.84781402593839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285.28344025620288</v>
      </c>
      <c r="BI142" s="62">
        <f ca="1">AVERAGE(OFFSET($BH$3,0,0,'Données projet'!$E$11+1,1))-AVERAGE(OFFSET($H$3,0,0,'Données projet'!$E$11+1,1))</f>
        <v>189.09998601768521</v>
      </c>
      <c r="BJ142" s="62">
        <f t="shared" si="146"/>
        <v>458.38901659119472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-5.1431925385259088E-14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376.68007030857598</v>
      </c>
      <c r="CE142" s="62">
        <f t="shared" si="148"/>
        <v>532.90758914457626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0.38662023173587207</v>
      </c>
      <c r="CL142" s="23">
        <f>EXP(-LN(2)/25)*CL141+(1-EXP(-LN(2)/25))/(LN(2)/25)*Calculateur!CG142*Calculateur!CI142*VLOOKUP('Données projet'!$B$12,Paramètres!$A$1:$I$89,3,0)*0.475*44/12</f>
        <v>0.1270661533538836</v>
      </c>
      <c r="CM142" s="23">
        <f>EXP(-LN(2)/2)*CM141+(1-EXP(-LN(2)/2))/(LN(2)/2)*CG142*CJ142*VLOOKUP('Données projet'!$B$12,Paramètres!$A$1:$I$89,3,0)*0.475*44/12</f>
        <v>2.0354283664079172E-16</v>
      </c>
      <c r="CN142" s="24">
        <f t="shared" si="120"/>
        <v>0.51368638508975595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349.46033149388688</v>
      </c>
      <c r="T143" s="62">
        <f t="shared" si="142"/>
        <v>405.30585610371702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7.8129007860119007E-16</v>
      </c>
      <c r="AC143" s="24">
        <f t="shared" si="111"/>
        <v>7.8129007860119007E-16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289.94963088302325</v>
      </c>
      <c r="AO143" s="62">
        <f t="shared" si="144"/>
        <v>242.84781402593839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285.42308790422635</v>
      </c>
      <c r="BI143" s="62">
        <f ca="1">AVERAGE(OFFSET($BH$3,0,0,'Données projet'!$E$11+1,1))-AVERAGE(OFFSET($H$3,0,0,'Données projet'!$E$11+1,1))</f>
        <v>189.09998601768521</v>
      </c>
      <c r="BJ143" s="62">
        <f t="shared" si="146"/>
        <v>458.38901659119472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-5.1431925385259088E-14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376.68007030857598</v>
      </c>
      <c r="CE143" s="62">
        <f t="shared" si="148"/>
        <v>532.90758914457626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0.37903884480658817</v>
      </c>
      <c r="CL143" s="23">
        <f>EXP(-LN(2)/25)*CL142+(1-EXP(-LN(2)/25))/(LN(2)/25)*Calculateur!CG143*Calculateur!CI143*VLOOKUP('Données projet'!$B$12,Paramètres!$A$1:$I$89,3,0)*0.475*44/12</f>
        <v>0.12359152270830306</v>
      </c>
      <c r="CM143" s="23">
        <f>EXP(-LN(2)/2)*CM142+(1-EXP(-LN(2)/2))/(LN(2)/2)*CG143*CJ143*VLOOKUP('Données projet'!$B$12,Paramètres!$A$1:$I$89,3,0)*0.475*44/12</f>
        <v>1.4392652005064949E-16</v>
      </c>
      <c r="CN143" s="24">
        <f t="shared" si="120"/>
        <v>0.50263036751489132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349.46033149388688</v>
      </c>
      <c r="T144" s="62">
        <f t="shared" si="142"/>
        <v>405.30585610371702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5.5245551265267222E-16</v>
      </c>
      <c r="AC144" s="24">
        <f t="shared" si="111"/>
        <v>5.5245551265267222E-16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289.94963088302325</v>
      </c>
      <c r="AO144" s="62">
        <f t="shared" si="144"/>
        <v>242.84781402593839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285.56031297776201</v>
      </c>
      <c r="BI144" s="62">
        <f ca="1">AVERAGE(OFFSET($BH$3,0,0,'Données projet'!$E$11+1,1))-AVERAGE(OFFSET($H$3,0,0,'Données projet'!$E$11+1,1))</f>
        <v>189.09998601768521</v>
      </c>
      <c r="BJ144" s="62">
        <f t="shared" si="146"/>
        <v>458.38901659119472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-5.1431925385259088E-14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376.68007030857598</v>
      </c>
      <c r="CE144" s="62">
        <f t="shared" si="148"/>
        <v>532.90758914457626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0.37160612425079809</v>
      </c>
      <c r="CL144" s="23">
        <f>EXP(-LN(2)/25)*CL143+(1-EXP(-LN(2)/25))/(LN(2)/25)*Calculateur!CG144*Calculateur!CI144*VLOOKUP('Données projet'!$B$12,Paramètres!$A$1:$I$89,3,0)*0.475*44/12</f>
        <v>0.12021190602044882</v>
      </c>
      <c r="CM144" s="23">
        <f>EXP(-LN(2)/2)*CM143+(1-EXP(-LN(2)/2))/(LN(2)/2)*CG144*CJ144*VLOOKUP('Données projet'!$B$12,Paramètres!$A$1:$I$89,3,0)*0.475*44/12</f>
        <v>1.0177141832039586E-16</v>
      </c>
      <c r="CN144" s="24">
        <f t="shared" si="120"/>
        <v>0.49181803027124704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349.46033149388688</v>
      </c>
      <c r="T145" s="62">
        <f t="shared" si="142"/>
        <v>405.30585610371702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3.9064503930059504E-16</v>
      </c>
      <c r="AC145" s="24">
        <f t="shared" si="111"/>
        <v>3.9064503930059504E-16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289.94963088302325</v>
      </c>
      <c r="AO145" s="62">
        <f t="shared" si="144"/>
        <v>242.84781402593839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285.69515750306107</v>
      </c>
      <c r="BI145" s="62">
        <f ca="1">AVERAGE(OFFSET($BH$3,0,0,'Données projet'!$E$11+1,1))-AVERAGE(OFFSET($H$3,0,0,'Données projet'!$E$11+1,1))</f>
        <v>189.09998601768521</v>
      </c>
      <c r="BJ145" s="62">
        <f t="shared" si="146"/>
        <v>458.38901659119472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-5.1431925385259088E-14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376.68007030857598</v>
      </c>
      <c r="CE145" s="62">
        <f t="shared" si="148"/>
        <v>532.90758914457626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0.36431915481159516</v>
      </c>
      <c r="CL145" s="23">
        <f>EXP(-LN(2)/25)*CL144+(1-EXP(-LN(2)/25))/(LN(2)/25)*Calculateur!CG145*Calculateur!CI145*VLOOKUP('Données projet'!$B$12,Paramètres!$A$1:$I$89,3,0)*0.475*44/12</f>
        <v>0.11692470512865026</v>
      </c>
      <c r="CM145" s="23">
        <f>EXP(-LN(2)/2)*CM144+(1-EXP(-LN(2)/2))/(LN(2)/2)*CG145*CJ145*VLOOKUP('Données projet'!$B$12,Paramètres!$A$1:$I$89,3,0)*0.475*44/12</f>
        <v>7.1963260025324747E-17</v>
      </c>
      <c r="CN145" s="24">
        <f t="shared" si="120"/>
        <v>0.48124385994024549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349.46033149388688</v>
      </c>
      <c r="T146" s="62">
        <f t="shared" si="142"/>
        <v>405.30585610371702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2.7622775632633611E-16</v>
      </c>
      <c r="AC146" s="24">
        <f t="shared" si="111"/>
        <v>2.7622775632633611E-16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289.94963088302325</v>
      </c>
      <c r="AO146" s="62">
        <f t="shared" si="144"/>
        <v>242.84781402593839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285.82766277731344</v>
      </c>
      <c r="BI146" s="62">
        <f ca="1">AVERAGE(OFFSET($BH$3,0,0,'Données projet'!$E$11+1,1))-AVERAGE(OFFSET($H$3,0,0,'Données projet'!$E$11+1,1))</f>
        <v>189.09998601768521</v>
      </c>
      <c r="BJ146" s="62">
        <f t="shared" si="146"/>
        <v>458.38901659119472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-5.1431925385259088E-14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376.68007030857598</v>
      </c>
      <c r="CE146" s="62">
        <f t="shared" si="148"/>
        <v>532.90758914457626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0.3571750783984825</v>
      </c>
      <c r="CL146" s="23">
        <f>EXP(-LN(2)/25)*CL145+(1-EXP(-LN(2)/25))/(LN(2)/25)*Calculateur!CG146*Calculateur!CI146*VLOOKUP('Données projet'!$B$12,Paramètres!$A$1:$I$89,3,0)*0.475*44/12</f>
        <v>0.11372739291810431</v>
      </c>
      <c r="CM146" s="23">
        <f>EXP(-LN(2)/2)*CM145+(1-EXP(-LN(2)/2))/(LN(2)/2)*CG146*CJ146*VLOOKUP('Données projet'!$B$12,Paramètres!$A$1:$I$89,3,0)*0.475*44/12</f>
        <v>5.0885709160197929E-17</v>
      </c>
      <c r="CN146" s="24">
        <f t="shared" si="120"/>
        <v>0.47090247131658686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349.46033149388688</v>
      </c>
      <c r="T147" s="62">
        <f t="shared" si="142"/>
        <v>405.30585610371702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1.9532251965029752E-16</v>
      </c>
      <c r="AC147" s="24">
        <f t="shared" si="111"/>
        <v>1.9532251965029752E-16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289.94963088302325</v>
      </c>
      <c r="AO147" s="62">
        <f t="shared" si="144"/>
        <v>242.84781402593839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285.95786938129487</v>
      </c>
      <c r="BI147" s="62">
        <f ca="1">AVERAGE(OFFSET($BH$3,0,0,'Données projet'!$E$11+1,1))-AVERAGE(OFFSET($H$3,0,0,'Données projet'!$E$11+1,1))</f>
        <v>189.09998601768521</v>
      </c>
      <c r="BJ147" s="62">
        <f t="shared" si="146"/>
        <v>458.38901659119472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-5.1431925385259088E-14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376.68007030857598</v>
      </c>
      <c r="CE147" s="62">
        <f t="shared" si="148"/>
        <v>532.90758914457626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0.35017109296637466</v>
      </c>
      <c r="CL147" s="23">
        <f>EXP(-LN(2)/25)*CL146+(1-EXP(-LN(2)/25))/(LN(2)/25)*Calculateur!CG147*Calculateur!CI147*VLOOKUP('Données projet'!$B$12,Paramètres!$A$1:$I$89,3,0)*0.475*44/12</f>
        <v>0.11061751137809508</v>
      </c>
      <c r="CM147" s="23">
        <f>EXP(-LN(2)/2)*CM146+(1-EXP(-LN(2)/2))/(LN(2)/2)*CG147*CJ147*VLOOKUP('Données projet'!$B$12,Paramètres!$A$1:$I$89,3,0)*0.475*44/12</f>
        <v>3.5981630012662374E-17</v>
      </c>
      <c r="CN147" s="24">
        <f t="shared" si="120"/>
        <v>0.46078860434446983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349.46033149388688</v>
      </c>
      <c r="T148" s="62">
        <f t="shared" si="142"/>
        <v>405.30585610371702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1.3811387816316806E-16</v>
      </c>
      <c r="AC148" s="24">
        <f t="shared" si="111"/>
        <v>1.3811387816316806E-16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289.94963088302325</v>
      </c>
      <c r="AO148" s="62">
        <f t="shared" si="144"/>
        <v>242.84781402593839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286.08581719179557</v>
      </c>
      <c r="BI148" s="62">
        <f ca="1">AVERAGE(OFFSET($BH$3,0,0,'Données projet'!$E$11+1,1))-AVERAGE(OFFSET($H$3,0,0,'Données projet'!$E$11+1,1))</f>
        <v>189.09998601768521</v>
      </c>
      <c r="BJ148" s="62">
        <f t="shared" si="146"/>
        <v>458.38901659119472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-5.1431925385259088E-14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376.68007030857598</v>
      </c>
      <c r="CE148" s="62">
        <f t="shared" si="148"/>
        <v>532.90758914457626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0.34330445141658117</v>
      </c>
      <c r="CL148" s="23">
        <f>EXP(-LN(2)/25)*CL147+(1-EXP(-LN(2)/25))/(LN(2)/25)*Calculateur!CG148*Calculateur!CI148*VLOOKUP('Données projet'!$B$12,Paramètres!$A$1:$I$89,3,0)*0.475*44/12</f>
        <v>0.10759266971233897</v>
      </c>
      <c r="CM148" s="23">
        <f>EXP(-LN(2)/2)*CM147+(1-EXP(-LN(2)/2))/(LN(2)/2)*CG148*CJ148*VLOOKUP('Données projet'!$B$12,Paramètres!$A$1:$I$89,3,0)*0.475*44/12</f>
        <v>2.5442854580098964E-17</v>
      </c>
      <c r="CN148" s="24">
        <f t="shared" si="120"/>
        <v>0.45089712112892011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349.46033149388688</v>
      </c>
      <c r="T149" s="62">
        <f t="shared" si="142"/>
        <v>405.30585610371702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9.7661259825148759E-17</v>
      </c>
      <c r="AC149" s="24">
        <f t="shared" si="111"/>
        <v>9.7661259825148759E-17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289.94963088302325</v>
      </c>
      <c r="AO149" s="62">
        <f t="shared" si="144"/>
        <v>242.84781402593839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286.21154539383264</v>
      </c>
      <c r="BI149" s="62">
        <f ca="1">AVERAGE(OFFSET($BH$3,0,0,'Données projet'!$E$11+1,1))-AVERAGE(OFFSET($H$3,0,0,'Données projet'!$E$11+1,1))</f>
        <v>189.09998601768521</v>
      </c>
      <c r="BJ149" s="62">
        <f t="shared" si="146"/>
        <v>458.38901659119472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-5.1431925385259088E-14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376.68007030857598</v>
      </c>
      <c r="CE149" s="62">
        <f t="shared" si="148"/>
        <v>532.90758914457626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0.33657246051934131</v>
      </c>
      <c r="CL149" s="23">
        <f>EXP(-LN(2)/25)*CL148+(1-EXP(-LN(2)/25))/(LN(2)/25)*Calculateur!CG149*Calculateur!CI149*VLOOKUP('Données projet'!$B$12,Paramètres!$A$1:$I$89,3,0)*0.475*44/12</f>
        <v>0.10465054250100246</v>
      </c>
      <c r="CM149" s="23">
        <f>EXP(-LN(2)/2)*CM148+(1-EXP(-LN(2)/2))/(LN(2)/2)*CG149*CJ149*VLOOKUP('Données projet'!$B$12,Paramètres!$A$1:$I$89,3,0)*0.475*44/12</f>
        <v>1.7990815006331187E-17</v>
      </c>
      <c r="CN149" s="24">
        <f t="shared" si="120"/>
        <v>0.44122300302034378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349.46033149388688</v>
      </c>
      <c r="T150" s="62">
        <f t="shared" si="142"/>
        <v>405.30585610371702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6.9056939081584028E-17</v>
      </c>
      <c r="AC150" s="24">
        <f t="shared" si="111"/>
        <v>6.9056939081584028E-17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289.94963088302325</v>
      </c>
      <c r="AO150" s="62">
        <f t="shared" si="144"/>
        <v>242.84781402593839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286.3350924926504</v>
      </c>
      <c r="BI150" s="62">
        <f ca="1">AVERAGE(OFFSET($BH$3,0,0,'Données projet'!$E$11+1,1))-AVERAGE(OFFSET($H$3,0,0,'Données projet'!$E$11+1,1))</f>
        <v>189.09998601768521</v>
      </c>
      <c r="BJ150" s="62">
        <f t="shared" si="146"/>
        <v>458.38901659119472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-5.1431925385259088E-14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376.68007030857598</v>
      </c>
      <c r="CE150" s="62">
        <f t="shared" si="148"/>
        <v>532.90758914457626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0.32997247985748734</v>
      </c>
      <c r="CL150" s="23">
        <f>EXP(-LN(2)/25)*CL149+(1-EXP(-LN(2)/25))/(LN(2)/25)*Calculateur!CG150*Calculateur!CI150*VLOOKUP('Données projet'!$B$12,Paramètres!$A$1:$I$89,3,0)*0.475*44/12</f>
        <v>0.1017888679129797</v>
      </c>
      <c r="CM150" s="23">
        <f>EXP(-LN(2)/2)*CM149+(1-EXP(-LN(2)/2))/(LN(2)/2)*CG150*CJ150*VLOOKUP('Données projet'!$B$12,Paramètres!$A$1:$I$89,3,0)*0.475*44/12</f>
        <v>1.2721427290049482E-17</v>
      </c>
      <c r="CN150" s="24">
        <f t="shared" si="120"/>
        <v>0.43176134777046704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349.46033149388688</v>
      </c>
      <c r="T151" s="62">
        <f t="shared" si="142"/>
        <v>405.30585610371702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4.883062991257438E-17</v>
      </c>
      <c r="AC151" s="24">
        <f t="shared" si="111"/>
        <v>4.883062991257438E-17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289.94963088302325</v>
      </c>
      <c r="AO151" s="62">
        <f t="shared" si="144"/>
        <v>242.84781402593839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286.45649632551368</v>
      </c>
      <c r="BI151" s="62">
        <f ca="1">AVERAGE(OFFSET($BH$3,0,0,'Données projet'!$E$11+1,1))-AVERAGE(OFFSET($H$3,0,0,'Données projet'!$E$11+1,1))</f>
        <v>189.09998601768521</v>
      </c>
      <c r="BJ151" s="62">
        <f t="shared" si="146"/>
        <v>458.38901659119472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-5.1431925385259088E-14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376.68007030857598</v>
      </c>
      <c r="CE151" s="62">
        <f t="shared" si="148"/>
        <v>532.90758914457626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0.32350192079082163</v>
      </c>
      <c r="CL151" s="23">
        <f>EXP(-LN(2)/25)*CL150+(1-EXP(-LN(2)/25))/(LN(2)/25)*Calculateur!CG151*Calculateur!CI151*VLOOKUP('Données projet'!$B$12,Paramètres!$A$1:$I$89,3,0)*0.475*44/12</f>
        <v>9.900544596705535E-2</v>
      </c>
      <c r="CM151" s="23">
        <f>EXP(-LN(2)/2)*CM150+(1-EXP(-LN(2)/2))/(LN(2)/2)*CG151*CJ151*VLOOKUP('Données projet'!$B$12,Paramètres!$A$1:$I$89,3,0)*0.475*44/12</f>
        <v>8.9954075031655934E-18</v>
      </c>
      <c r="CN151" s="24">
        <f t="shared" si="120"/>
        <v>0.42250736675787698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349.46033149388688</v>
      </c>
      <c r="T152" s="62">
        <f t="shared" si="142"/>
        <v>405.30585610371702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3.4528469540792014E-17</v>
      </c>
      <c r="AC152" s="24">
        <f t="shared" si="111"/>
        <v>3.4528469540792014E-17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289.94963088302325</v>
      </c>
      <c r="AO152" s="62">
        <f t="shared" si="144"/>
        <v>242.84781402593839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286.57579407329507</v>
      </c>
      <c r="BI152" s="62">
        <f ca="1">AVERAGE(OFFSET($BH$3,0,0,'Données projet'!$E$11+1,1))-AVERAGE(OFFSET($H$3,0,0,'Données projet'!$E$11+1,1))</f>
        <v>189.09998601768521</v>
      </c>
      <c r="BJ152" s="62">
        <f t="shared" si="146"/>
        <v>458.38901659119472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-5.1431925385259088E-14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376.68007030857598</v>
      </c>
      <c r="CE152" s="62">
        <f t="shared" si="148"/>
        <v>532.90758914457626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0.3171582454408019</v>
      </c>
      <c r="CL152" s="23">
        <f>EXP(-LN(2)/25)*CL151+(1-EXP(-LN(2)/25))/(LN(2)/25)*Calculateur!CG152*Calculateur!CI152*VLOOKUP('Données projet'!$B$12,Paramètres!$A$1:$I$89,3,0)*0.475*44/12</f>
        <v>9.6298136840616097E-2</v>
      </c>
      <c r="CM152" s="23">
        <f>EXP(-LN(2)/2)*CM151+(1-EXP(-LN(2)/2))/(LN(2)/2)*CG152*CJ152*VLOOKUP('Données projet'!$B$12,Paramètres!$A$1:$I$89,3,0)*0.475*44/12</f>
        <v>6.3607136450247411E-18</v>
      </c>
      <c r="CN152" s="24">
        <f t="shared" si="120"/>
        <v>0.41345638228141801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349.46033149388688</v>
      </c>
      <c r="T153" s="62">
        <f t="shared" si="142"/>
        <v>405.30585610371702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2.441531495628719E-17</v>
      </c>
      <c r="AC153" s="24">
        <f t="shared" si="111"/>
        <v>2.441531495628719E-17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289.94963088302325</v>
      </c>
      <c r="AO153" s="62">
        <f t="shared" si="144"/>
        <v>242.84781402593839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286.69302227186233</v>
      </c>
      <c r="BI153" s="62">
        <f ca="1">AVERAGE(OFFSET($BH$3,0,0,'Données projet'!$E$11+1,1))-AVERAGE(OFFSET($H$3,0,0,'Données projet'!$E$11+1,1))</f>
        <v>189.09998601768521</v>
      </c>
      <c r="BJ153" s="62">
        <f t="shared" si="146"/>
        <v>458.38901659119472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-5.1431925385259088E-14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376.68007030857598</v>
      </c>
      <c r="CE153" s="62">
        <f t="shared" si="148"/>
        <v>532.90758914457626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0.31093896569513613</v>
      </c>
      <c r="CL153" s="23">
        <f>EXP(-LN(2)/25)*CL152+(1-EXP(-LN(2)/25))/(LN(2)/25)*Calculateur!CG153*Calculateur!CI153*VLOOKUP('Données projet'!$B$12,Paramètres!$A$1:$I$89,3,0)*0.475*44/12</f>
        <v>9.3664859224610528E-2</v>
      </c>
      <c r="CM153" s="23">
        <f>EXP(-LN(2)/2)*CM152+(1-EXP(-LN(2)/2))/(LN(2)/2)*CG153*CJ153*VLOOKUP('Données projet'!$B$12,Paramètres!$A$1:$I$89,3,0)*0.475*44/12</f>
        <v>4.4977037515827967E-18</v>
      </c>
      <c r="CN153" s="24">
        <f t="shared" si="120"/>
        <v>0.40460382491974667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349.46033149388688</v>
      </c>
      <c r="T154" s="62">
        <f t="shared" si="142"/>
        <v>405.30585610371702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1.7264234770396007E-17</v>
      </c>
      <c r="AC154" s="24">
        <f t="shared" ref="AC154:AC203" si="163">SUM(Z154:AB154)</f>
        <v>1.7264234770396007E-17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289.94963088302325</v>
      </c>
      <c r="AO154" s="62">
        <f t="shared" si="144"/>
        <v>242.84781402593839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286.80821682326734</v>
      </c>
      <c r="BI154" s="62">
        <f ca="1">AVERAGE(OFFSET($BH$3,0,0,'Données projet'!$E$11+1,1))-AVERAGE(OFFSET($H$3,0,0,'Données projet'!$E$11+1,1))</f>
        <v>189.09998601768521</v>
      </c>
      <c r="BJ154" s="62">
        <f t="shared" si="146"/>
        <v>458.38901659119472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-5.1431925385259088E-14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376.68007030857598</v>
      </c>
      <c r="CE154" s="62">
        <f t="shared" si="148"/>
        <v>532.90758914457626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0.3048416422318968</v>
      </c>
      <c r="CL154" s="23">
        <f>EXP(-LN(2)/25)*CL153+(1-EXP(-LN(2)/25))/(LN(2)/25)*Calculateur!CG154*Calculateur!CI154*VLOOKUP('Données projet'!$B$12,Paramètres!$A$1:$I$89,3,0)*0.475*44/12</f>
        <v>9.1103588723492682E-2</v>
      </c>
      <c r="CM154" s="23">
        <f>EXP(-LN(2)/2)*CM153+(1-EXP(-LN(2)/2))/(LN(2)/2)*CG154*CJ154*VLOOKUP('Données projet'!$B$12,Paramètres!$A$1:$I$89,3,0)*0.475*44/12</f>
        <v>3.1803568225123706E-18</v>
      </c>
      <c r="CN154" s="24">
        <f t="shared" ref="CN154:CN203" si="172">SUM(CK154:CM154)</f>
        <v>0.39594523095538947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349.46033149388688</v>
      </c>
      <c r="T155" s="62">
        <f t="shared" si="142"/>
        <v>405.30585610371702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1.2207657478143595E-17</v>
      </c>
      <c r="AC155" s="24">
        <f t="shared" si="163"/>
        <v>1.2207657478143595E-17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289.94963088302325</v>
      </c>
      <c r="AO155" s="62">
        <f t="shared" si="144"/>
        <v>242.84781402593839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286.92141300674189</v>
      </c>
      <c r="BI155" s="62">
        <f ca="1">AVERAGE(OFFSET($BH$3,0,0,'Données projet'!$E$11+1,1))-AVERAGE(OFFSET($H$3,0,0,'Données projet'!$E$11+1,1))</f>
        <v>189.09998601768521</v>
      </c>
      <c r="BJ155" s="62">
        <f t="shared" si="146"/>
        <v>458.38901659119472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-5.1431925385259088E-14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376.68007030857598</v>
      </c>
      <c r="CE155" s="62">
        <f t="shared" si="148"/>
        <v>532.90758914457626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0.29886388356277149</v>
      </c>
      <c r="CL155" s="23">
        <f>EXP(-LN(2)/25)*CL154+(1-EXP(-LN(2)/25))/(LN(2)/25)*Calculateur!CG155*Calculateur!CI155*VLOOKUP('Données projet'!$B$12,Paramètres!$A$1:$I$89,3,0)*0.475*44/12</f>
        <v>8.8612356298919268E-2</v>
      </c>
      <c r="CM155" s="23">
        <f>EXP(-LN(2)/2)*CM154+(1-EXP(-LN(2)/2))/(LN(2)/2)*CG155*CJ155*VLOOKUP('Données projet'!$B$12,Paramètres!$A$1:$I$89,3,0)*0.475*44/12</f>
        <v>2.2488518757913983E-18</v>
      </c>
      <c r="CN155" s="24">
        <f t="shared" si="172"/>
        <v>0.38747623986169077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349.46033149388688</v>
      </c>
      <c r="T156" s="62">
        <f t="shared" si="142"/>
        <v>405.30585610371702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8.6321173851980035E-18</v>
      </c>
      <c r="AC156" s="24">
        <f t="shared" si="163"/>
        <v>8.6321173851980035E-18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289.94963088302325</v>
      </c>
      <c r="AO156" s="62">
        <f t="shared" si="144"/>
        <v>242.84781402593839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287.03264548950199</v>
      </c>
      <c r="BI156" s="62">
        <f ca="1">AVERAGE(OFFSET($BH$3,0,0,'Données projet'!$E$11+1,1))-AVERAGE(OFFSET($H$3,0,0,'Données projet'!$E$11+1,1))</f>
        <v>189.09998601768521</v>
      </c>
      <c r="BJ156" s="62">
        <f t="shared" si="146"/>
        <v>458.38901659119472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-5.1431925385259088E-14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376.68007030857598</v>
      </c>
      <c r="CE156" s="62">
        <f t="shared" si="148"/>
        <v>532.90758914457626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0.29300334509507497</v>
      </c>
      <c r="CL156" s="23">
        <f>EXP(-LN(2)/25)*CL155+(1-EXP(-LN(2)/25))/(LN(2)/25)*Calculateur!CG156*Calculateur!CI156*VLOOKUP('Données projet'!$B$12,Paramètres!$A$1:$I$89,3,0)*0.475*44/12</f>
        <v>8.6189246756004034E-2</v>
      </c>
      <c r="CM156" s="23">
        <f>EXP(-LN(2)/2)*CM155+(1-EXP(-LN(2)/2))/(LN(2)/2)*CG156*CJ156*VLOOKUP('Données projet'!$B$12,Paramètres!$A$1:$I$89,3,0)*0.475*44/12</f>
        <v>1.5901784112561853E-18</v>
      </c>
      <c r="CN156" s="24">
        <f t="shared" si="172"/>
        <v>0.37919259185107901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349.46033149388688</v>
      </c>
      <c r="T157" s="62">
        <f t="shared" si="142"/>
        <v>405.30585610371702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6.1038287390717975E-18</v>
      </c>
      <c r="AC157" s="24">
        <f t="shared" si="163"/>
        <v>6.1038287390717975E-18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289.94963088302325</v>
      </c>
      <c r="AO157" s="62">
        <f t="shared" si="144"/>
        <v>242.84781402593839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287.14194833736474</v>
      </c>
      <c r="BI157" s="62">
        <f ca="1">AVERAGE(OFFSET($BH$3,0,0,'Données projet'!$E$11+1,1))-AVERAGE(OFFSET($H$3,0,0,'Données projet'!$E$11+1,1))</f>
        <v>189.09998601768521</v>
      </c>
      <c r="BJ157" s="62">
        <f t="shared" si="146"/>
        <v>458.38901659119472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-5.1431925385259088E-14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376.68007030857598</v>
      </c>
      <c r="CE157" s="62">
        <f t="shared" si="148"/>
        <v>532.90758914457626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0.28725772821215451</v>
      </c>
      <c r="CL157" s="23">
        <f>EXP(-LN(2)/25)*CL156+(1-EXP(-LN(2)/25))/(LN(2)/25)*Calculateur!CG157*Calculateur!CI157*VLOOKUP('Données projet'!$B$12,Paramètres!$A$1:$I$89,3,0)*0.475*44/12</f>
        <v>8.38323972709656E-2</v>
      </c>
      <c r="CM157" s="23">
        <f>EXP(-LN(2)/2)*CM156+(1-EXP(-LN(2)/2))/(LN(2)/2)*CG157*CJ157*VLOOKUP('Données projet'!$B$12,Paramètres!$A$1:$I$89,3,0)*0.475*44/12</f>
        <v>1.1244259378956992E-18</v>
      </c>
      <c r="CN157" s="24">
        <f t="shared" si="172"/>
        <v>0.37109012548312009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349.46033149388688</v>
      </c>
      <c r="T158" s="62">
        <f t="shared" si="142"/>
        <v>405.30585610371702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4.3160586925990017E-18</v>
      </c>
      <c r="AC158" s="24">
        <f t="shared" si="163"/>
        <v>4.3160586925990017E-18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289.94963088302325</v>
      </c>
      <c r="AO158" s="62">
        <f t="shared" si="144"/>
        <v>242.84781402593839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287.24935502518167</v>
      </c>
      <c r="BI158" s="62">
        <f ca="1">AVERAGE(OFFSET($BH$3,0,0,'Données projet'!$E$11+1,1))-AVERAGE(OFFSET($H$3,0,0,'Données projet'!$E$11+1,1))</f>
        <v>189.09998601768521</v>
      </c>
      <c r="BJ158" s="62">
        <f t="shared" si="146"/>
        <v>458.38901659119472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-5.1431925385259088E-14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376.68007030857598</v>
      </c>
      <c r="CE158" s="62">
        <f t="shared" si="148"/>
        <v>532.90758914457626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0.28162477937182784</v>
      </c>
      <c r="CL158" s="23">
        <f>EXP(-LN(2)/25)*CL157+(1-EXP(-LN(2)/25))/(LN(2)/25)*Calculateur!CG158*Calculateur!CI158*VLOOKUP('Données projet'!$B$12,Paramètres!$A$1:$I$89,3,0)*0.475*44/12</f>
        <v>8.1539995959036882E-2</v>
      </c>
      <c r="CM158" s="23">
        <f>EXP(-LN(2)/2)*CM157+(1-EXP(-LN(2)/2))/(LN(2)/2)*CG158*CJ158*VLOOKUP('Données projet'!$B$12,Paramètres!$A$1:$I$89,3,0)*0.475*44/12</f>
        <v>7.9508920562809264E-19</v>
      </c>
      <c r="CN158" s="24">
        <f t="shared" si="172"/>
        <v>0.36316477533086472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349.46033149388688</v>
      </c>
      <c r="T159" s="62">
        <f t="shared" si="142"/>
        <v>405.30585610371702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3.0519143695358987E-18</v>
      </c>
      <c r="AC159" s="24">
        <f t="shared" si="163"/>
        <v>3.0519143695358987E-18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289.94963088302325</v>
      </c>
      <c r="AO159" s="62">
        <f t="shared" si="144"/>
        <v>242.84781402593839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287.35489844709031</v>
      </c>
      <c r="BI159" s="62">
        <f ca="1">AVERAGE(OFFSET($BH$3,0,0,'Données projet'!$E$11+1,1))-AVERAGE(OFFSET($H$3,0,0,'Données projet'!$E$11+1,1))</f>
        <v>189.09998601768521</v>
      </c>
      <c r="BJ159" s="62">
        <f t="shared" si="146"/>
        <v>458.38901659119472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-5.1431925385259088E-14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376.68007030857598</v>
      </c>
      <c r="CE159" s="62">
        <f t="shared" si="148"/>
        <v>532.90758914457626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0.27610228922250041</v>
      </c>
      <c r="CL159" s="23">
        <f>EXP(-LN(2)/25)*CL158+(1-EXP(-LN(2)/25))/(LN(2)/25)*Calculateur!CG159*Calculateur!CI159*VLOOKUP('Données projet'!$B$12,Paramètres!$A$1:$I$89,3,0)*0.475*44/12</f>
        <v>7.9310280481534989E-2</v>
      </c>
      <c r="CM159" s="23">
        <f>EXP(-LN(2)/2)*CM158+(1-EXP(-LN(2)/2))/(LN(2)/2)*CG159*CJ159*VLOOKUP('Données projet'!$B$12,Paramètres!$A$1:$I$89,3,0)*0.475*44/12</f>
        <v>5.6221296894784959E-19</v>
      </c>
      <c r="CN159" s="24">
        <f t="shared" si="172"/>
        <v>0.3554125697040354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349.46033149388688</v>
      </c>
      <c r="T160" s="62">
        <f t="shared" si="142"/>
        <v>405.30585610371702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2.1580293462995009E-18</v>
      </c>
      <c r="AC160" s="24">
        <f t="shared" si="163"/>
        <v>2.1580293462995009E-18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289.94963088302325</v>
      </c>
      <c r="AO160" s="62">
        <f t="shared" si="144"/>
        <v>242.84781402593839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287.45861092658856</v>
      </c>
      <c r="BI160" s="62">
        <f ca="1">AVERAGE(OFFSET($BH$3,0,0,'Données projet'!$E$11+1,1))-AVERAGE(OFFSET($H$3,0,0,'Données projet'!$E$11+1,1))</f>
        <v>189.09998601768521</v>
      </c>
      <c r="BJ160" s="62">
        <f t="shared" si="146"/>
        <v>458.38901659119472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-5.1431925385259088E-14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376.68007030857598</v>
      </c>
      <c r="CE160" s="62">
        <f t="shared" si="148"/>
        <v>532.90758914457626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0.2706880917366149</v>
      </c>
      <c r="CL160" s="23">
        <f>EXP(-LN(2)/25)*CL159+(1-EXP(-LN(2)/25))/(LN(2)/25)*Calculateur!CG160*Calculateur!CI160*VLOOKUP('Données projet'!$B$12,Paramètres!$A$1:$I$89,3,0)*0.475*44/12</f>
        <v>7.7141536691021029E-2</v>
      </c>
      <c r="CM160" s="23">
        <f>EXP(-LN(2)/2)*CM159+(1-EXP(-LN(2)/2))/(LN(2)/2)*CG160*CJ160*VLOOKUP('Données projet'!$B$12,Paramètres!$A$1:$I$89,3,0)*0.475*44/12</f>
        <v>3.9754460281404632E-19</v>
      </c>
      <c r="CN160" s="24">
        <f t="shared" si="172"/>
        <v>0.34782962842763593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349.46033149388688</v>
      </c>
      <c r="T161" s="62">
        <f t="shared" si="142"/>
        <v>405.30585610371702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1.5259571847679494E-18</v>
      </c>
      <c r="AC161" s="24">
        <f t="shared" si="163"/>
        <v>1.5259571847679494E-18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289.94963088302325</v>
      </c>
      <c r="AO161" s="62">
        <f t="shared" si="144"/>
        <v>242.84781402593839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287.56052422643398</v>
      </c>
      <c r="BI161" s="62">
        <f ca="1">AVERAGE(OFFSET($BH$3,0,0,'Données projet'!$E$11+1,1))-AVERAGE(OFFSET($H$3,0,0,'Données projet'!$E$11+1,1))</f>
        <v>189.09998601768521</v>
      </c>
      <c r="BJ161" s="62">
        <f t="shared" si="146"/>
        <v>458.38901659119472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-5.1431925385259088E-14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376.68007030857598</v>
      </c>
      <c r="CE161" s="62">
        <f t="shared" si="148"/>
        <v>532.90758914457626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0.26538006336109321</v>
      </c>
      <c r="CL161" s="23">
        <f>EXP(-LN(2)/25)*CL160+(1-EXP(-LN(2)/25))/(LN(2)/25)*Calculateur!CG161*Calculateur!CI161*VLOOKUP('Données projet'!$B$12,Paramètres!$A$1:$I$89,3,0)*0.475*44/12</f>
        <v>7.5032097313507948E-2</v>
      </c>
      <c r="CM161" s="23">
        <f>EXP(-LN(2)/2)*CM160+(1-EXP(-LN(2)/2))/(LN(2)/2)*CG161*CJ161*VLOOKUP('Données projet'!$B$12,Paramètres!$A$1:$I$89,3,0)*0.475*44/12</f>
        <v>2.8110648447392479E-19</v>
      </c>
      <c r="CN161" s="24">
        <f t="shared" si="172"/>
        <v>0.34041216067460117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349.46033149388688</v>
      </c>
      <c r="T162" s="62">
        <f t="shared" si="142"/>
        <v>405.30585610371702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1.0790146731497504E-18</v>
      </c>
      <c r="AC162" s="24">
        <f t="shared" si="163"/>
        <v>1.0790146731497504E-18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289.94963088302325</v>
      </c>
      <c r="AO162" s="62">
        <f t="shared" si="144"/>
        <v>242.84781402593839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287.66066955837096</v>
      </c>
      <c r="BI162" s="62">
        <f ca="1">AVERAGE(OFFSET($BH$3,0,0,'Données projet'!$E$11+1,1))-AVERAGE(OFFSET($H$3,0,0,'Données projet'!$E$11+1,1))</f>
        <v>189.09998601768521</v>
      </c>
      <c r="BJ162" s="62">
        <f t="shared" si="146"/>
        <v>458.38901659119472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-5.1431925385259088E-14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376.68007030857598</v>
      </c>
      <c r="CE162" s="62">
        <f t="shared" si="148"/>
        <v>532.90758914457626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0.26017612218443792</v>
      </c>
      <c r="CL162" s="23">
        <f>EXP(-LN(2)/25)*CL161+(1-EXP(-LN(2)/25))/(LN(2)/25)*Calculateur!CG162*Calculateur!CI162*VLOOKUP('Données projet'!$B$12,Paramètres!$A$1:$I$89,3,0)*0.475*44/12</f>
        <v>7.2980340666703558E-2</v>
      </c>
      <c r="CM162" s="23">
        <f>EXP(-LN(2)/2)*CM161+(1-EXP(-LN(2)/2))/(LN(2)/2)*CG162*CJ162*VLOOKUP('Données projet'!$B$12,Paramètres!$A$1:$I$89,3,0)*0.475*44/12</f>
        <v>1.9877230140702316E-19</v>
      </c>
      <c r="CN162" s="24">
        <f t="shared" si="172"/>
        <v>0.33315646285114148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349.46033149388688</v>
      </c>
      <c r="T163" s="62">
        <f t="shared" si="142"/>
        <v>405.30585610371702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7.6297859238397468E-19</v>
      </c>
      <c r="AC163" s="24">
        <f t="shared" si="163"/>
        <v>7.6297859238397468E-19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289.94963088302325</v>
      </c>
      <c r="AO163" s="62">
        <f t="shared" si="144"/>
        <v>242.84781402593839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287.75907759269035</v>
      </c>
      <c r="BI163" s="62">
        <f ca="1">AVERAGE(OFFSET($BH$3,0,0,'Données projet'!$E$11+1,1))-AVERAGE(OFFSET($H$3,0,0,'Données projet'!$E$11+1,1))</f>
        <v>189.09998601768521</v>
      </c>
      <c r="BJ163" s="62">
        <f t="shared" si="146"/>
        <v>458.38901659119472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-5.1431925385259088E-14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376.68007030857598</v>
      </c>
      <c r="CE163" s="62">
        <f t="shared" si="148"/>
        <v>532.90758914457626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0.25507422712016609</v>
      </c>
      <c r="CL163" s="23">
        <f>EXP(-LN(2)/25)*CL162+(1-EXP(-LN(2)/25))/(LN(2)/25)*Calculateur!CG163*Calculateur!CI163*VLOOKUP('Données projet'!$B$12,Paramètres!$A$1:$I$89,3,0)*0.475*44/12</f>
        <v>7.0984689413303229E-2</v>
      </c>
      <c r="CM163" s="23">
        <f>EXP(-LN(2)/2)*CM162+(1-EXP(-LN(2)/2))/(LN(2)/2)*CG163*CJ163*VLOOKUP('Données projet'!$B$12,Paramètres!$A$1:$I$89,3,0)*0.475*44/12</f>
        <v>1.405532422369624E-19</v>
      </c>
      <c r="CN163" s="24">
        <f t="shared" si="172"/>
        <v>0.3260589165334693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349.46033149388688</v>
      </c>
      <c r="T164" s="62">
        <f t="shared" si="142"/>
        <v>405.30585610371702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5.3950733657487522E-19</v>
      </c>
      <c r="AC164" s="24">
        <f t="shared" si="163"/>
        <v>5.3950733657487522E-19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289.94963088302325</v>
      </c>
      <c r="AO164" s="62">
        <f t="shared" si="144"/>
        <v>242.84781402593839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287.85577846762169</v>
      </c>
      <c r="BI164" s="62">
        <f ca="1">AVERAGE(OFFSET($BH$3,0,0,'Données projet'!$E$11+1,1))-AVERAGE(OFFSET($H$3,0,0,'Données projet'!$E$11+1,1))</f>
        <v>189.09998601768521</v>
      </c>
      <c r="BJ164" s="62">
        <f t="shared" si="146"/>
        <v>458.38901659119472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-5.1431925385259088E-14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376.68007030857598</v>
      </c>
      <c r="CE164" s="62">
        <f t="shared" si="148"/>
        <v>532.90758914457626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0.25007237710625591</v>
      </c>
      <c r="CL164" s="23">
        <f>EXP(-LN(2)/25)*CL163+(1-EXP(-LN(2)/25))/(LN(2)/25)*Calculateur!CG164*Calculateur!CI164*VLOOKUP('Données projet'!$B$12,Paramètres!$A$1:$I$89,3,0)*0.475*44/12</f>
        <v>6.9043609348373877E-2</v>
      </c>
      <c r="CM164" s="23">
        <f>EXP(-LN(2)/2)*CM163+(1-EXP(-LN(2)/2))/(LN(2)/2)*CG164*CJ164*VLOOKUP('Données projet'!$B$12,Paramètres!$A$1:$I$89,3,0)*0.475*44/12</f>
        <v>9.938615070351158E-20</v>
      </c>
      <c r="CN164" s="24">
        <f t="shared" si="172"/>
        <v>0.3191159864546298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349.46033149388688</v>
      </c>
      <c r="T165" s="62">
        <f t="shared" si="142"/>
        <v>405.30585610371702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3.8148929619198734E-19</v>
      </c>
      <c r="AC165" s="24">
        <f t="shared" si="163"/>
        <v>3.8148929619198734E-19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289.94963088302325</v>
      </c>
      <c r="AO165" s="62">
        <f t="shared" si="144"/>
        <v>242.84781402593839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287.9508017985637</v>
      </c>
      <c r="BI165" s="62">
        <f ca="1">AVERAGE(OFFSET($BH$3,0,0,'Données projet'!$E$11+1,1))-AVERAGE(OFFSET($H$3,0,0,'Données projet'!$E$11+1,1))</f>
        <v>189.09998601768521</v>
      </c>
      <c r="BJ165" s="62">
        <f t="shared" si="146"/>
        <v>458.38901659119472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-5.1431925385259088E-14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376.68007030857598</v>
      </c>
      <c r="CE165" s="62">
        <f t="shared" si="148"/>
        <v>532.90758914457626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0.24516861032029127</v>
      </c>
      <c r="CL165" s="23">
        <f>EXP(-LN(2)/25)*CL164+(1-EXP(-LN(2)/25))/(LN(2)/25)*Calculateur!CG165*Calculateur!CI165*VLOOKUP('Données projet'!$B$12,Paramètres!$A$1:$I$89,3,0)*0.475*44/12</f>
        <v>6.7155608219896981E-2</v>
      </c>
      <c r="CM165" s="23">
        <f>EXP(-LN(2)/2)*CM164+(1-EXP(-LN(2)/2))/(LN(2)/2)*CG165*CJ165*VLOOKUP('Données projet'!$B$12,Paramètres!$A$1:$I$89,3,0)*0.475*44/12</f>
        <v>7.0276621118481198E-20</v>
      </c>
      <c r="CN165" s="24">
        <f t="shared" si="172"/>
        <v>0.31232421854018827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349.46033149388688</v>
      </c>
      <c r="T166" s="62">
        <f t="shared" si="142"/>
        <v>405.30585610371702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2.6975366828743761E-19</v>
      </c>
      <c r="AC166" s="24">
        <f t="shared" si="163"/>
        <v>2.6975366828743761E-19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289.94963088302325</v>
      </c>
      <c r="AO166" s="62">
        <f t="shared" si="144"/>
        <v>242.84781402593839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288.04417668715422</v>
      </c>
      <c r="BI166" s="62">
        <f ca="1">AVERAGE(OFFSET($BH$3,0,0,'Données projet'!$E$11+1,1))-AVERAGE(OFFSET($H$3,0,0,'Données projet'!$E$11+1,1))</f>
        <v>189.09998601768521</v>
      </c>
      <c r="BJ166" s="62">
        <f t="shared" si="146"/>
        <v>458.38901659119472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-5.1431925385259088E-14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376.68007030857598</v>
      </c>
      <c r="CE166" s="62">
        <f t="shared" si="148"/>
        <v>532.90758914457626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0.240361003409997</v>
      </c>
      <c r="CL166" s="23">
        <f>EXP(-LN(2)/25)*CL165+(1-EXP(-LN(2)/25))/(LN(2)/25)*Calculateur!CG166*Calculateur!CI166*VLOOKUP('Données projet'!$B$12,Paramètres!$A$1:$I$89,3,0)*0.475*44/12</f>
        <v>6.5319234581563954E-2</v>
      </c>
      <c r="CM166" s="23">
        <f>EXP(-LN(2)/2)*CM165+(1-EXP(-LN(2)/2))/(LN(2)/2)*CG166*CJ166*VLOOKUP('Données projet'!$B$12,Paramètres!$A$1:$I$89,3,0)*0.475*44/12</f>
        <v>4.969307535175579E-20</v>
      </c>
      <c r="CN166" s="24">
        <f t="shared" si="172"/>
        <v>0.30568023799156097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349.46033149388688</v>
      </c>
      <c r="T167" s="62">
        <f t="shared" si="142"/>
        <v>405.30585610371702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1.9074464809599367E-19</v>
      </c>
      <c r="AC167" s="24">
        <f t="shared" si="163"/>
        <v>1.9074464809599367E-19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289.94963088302325</v>
      </c>
      <c r="AO167" s="62">
        <f t="shared" si="144"/>
        <v>242.84781402593839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288.13593173018268</v>
      </c>
      <c r="BI167" s="62">
        <f ca="1">AVERAGE(OFFSET($BH$3,0,0,'Données projet'!$E$11+1,1))-AVERAGE(OFFSET($H$3,0,0,'Données projet'!$E$11+1,1))</f>
        <v>189.09998601768521</v>
      </c>
      <c r="BJ167" s="62">
        <f t="shared" si="146"/>
        <v>458.38901659119472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-5.1431925385259088E-14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376.68007030857598</v>
      </c>
      <c r="CE167" s="62">
        <f t="shared" si="148"/>
        <v>532.90758914457626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0.23564767073886292</v>
      </c>
      <c r="CL167" s="23">
        <f>EXP(-LN(2)/25)*CL166+(1-EXP(-LN(2)/25))/(LN(2)/25)*Calculateur!CG167*Calculateur!CI167*VLOOKUP('Données projet'!$B$12,Paramètres!$A$1:$I$89,3,0)*0.475*44/12</f>
        <v>6.353307667694183E-2</v>
      </c>
      <c r="CM167" s="23">
        <f>EXP(-LN(2)/2)*CM166+(1-EXP(-LN(2)/2))/(LN(2)/2)*CG167*CJ167*VLOOKUP('Données projet'!$B$12,Paramètres!$A$1:$I$89,3,0)*0.475*44/12</f>
        <v>3.5138310559240599E-20</v>
      </c>
      <c r="CN167" s="24">
        <f t="shared" si="172"/>
        <v>0.29918074741580475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349.46033149388688</v>
      </c>
      <c r="T168" s="62">
        <f t="shared" si="142"/>
        <v>405.30585610371702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1.348768341437188E-19</v>
      </c>
      <c r="AC168" s="24">
        <f t="shared" si="163"/>
        <v>1.348768341437188E-19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289.94963088302325</v>
      </c>
      <c r="AO168" s="62">
        <f t="shared" si="144"/>
        <v>242.84781402593839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288.22609502834814</v>
      </c>
      <c r="BI168" s="62">
        <f ca="1">AVERAGE(OFFSET($BH$3,0,0,'Données projet'!$E$11+1,1))-AVERAGE(OFFSET($H$3,0,0,'Données projet'!$E$11+1,1))</f>
        <v>189.09998601768521</v>
      </c>
      <c r="BJ168" s="62">
        <f t="shared" si="146"/>
        <v>458.38901659119472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-5.1431925385259088E-14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376.68007030857598</v>
      </c>
      <c r="CE168" s="62">
        <f t="shared" si="148"/>
        <v>532.90758914457626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0.23102676364656072</v>
      </c>
      <c r="CL168" s="23">
        <f>EXP(-LN(2)/25)*CL167+(1-EXP(-LN(2)/25))/(LN(2)/25)*Calculateur!CG168*Calculateur!CI168*VLOOKUP('Données projet'!$B$12,Paramètres!$A$1:$I$89,3,0)*0.475*44/12</f>
        <v>6.179576135415156E-2</v>
      </c>
      <c r="CM168" s="23">
        <f>EXP(-LN(2)/2)*CM167+(1-EXP(-LN(2)/2))/(LN(2)/2)*CG168*CJ168*VLOOKUP('Données projet'!$B$12,Paramètres!$A$1:$I$89,3,0)*0.475*44/12</f>
        <v>2.4846537675877895E-20</v>
      </c>
      <c r="CN168" s="24">
        <f t="shared" si="172"/>
        <v>0.29282252500071226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349.46033149388688</v>
      </c>
      <c r="T169" s="62">
        <f t="shared" si="142"/>
        <v>405.30585610371702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9.5372324047996835E-20</v>
      </c>
      <c r="AC169" s="24">
        <f t="shared" si="163"/>
        <v>9.5372324047996835E-20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289.94963088302325</v>
      </c>
      <c r="AO169" s="62">
        <f t="shared" si="144"/>
        <v>242.84781402593839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288.31469419486541</v>
      </c>
      <c r="BI169" s="62">
        <f ca="1">AVERAGE(OFFSET($BH$3,0,0,'Données projet'!$E$11+1,1))-AVERAGE(OFFSET($H$3,0,0,'Données projet'!$E$11+1,1))</f>
        <v>189.09998601768521</v>
      </c>
      <c r="BJ169" s="62">
        <f t="shared" si="146"/>
        <v>458.38901659119472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-5.1431925385259088E-14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376.68007030857598</v>
      </c>
      <c r="CE169" s="62">
        <f t="shared" si="148"/>
        <v>532.90758914457626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0.22649646972386353</v>
      </c>
      <c r="CL169" s="23">
        <f>EXP(-LN(2)/25)*CL168+(1-EXP(-LN(2)/25))/(LN(2)/25)*Calculateur!CG169*Calculateur!CI169*VLOOKUP('Données projet'!$B$12,Paramètres!$A$1:$I$89,3,0)*0.475*44/12</f>
        <v>6.0105953010224429E-2</v>
      </c>
      <c r="CM169" s="23">
        <f>EXP(-LN(2)/2)*CM168+(1-EXP(-LN(2)/2))/(LN(2)/2)*CG169*CJ169*VLOOKUP('Données projet'!$B$12,Paramètres!$A$1:$I$89,3,0)*0.475*44/12</f>
        <v>1.75691552796203E-20</v>
      </c>
      <c r="CN169" s="24">
        <f t="shared" si="172"/>
        <v>0.28660242273408798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349.46033149388688</v>
      </c>
      <c r="T170" s="62">
        <f t="shared" si="142"/>
        <v>405.30585610371702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6.7438417071859402E-20</v>
      </c>
      <c r="AC170" s="24">
        <f t="shared" si="163"/>
        <v>6.7438417071859402E-20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289.94963088302325</v>
      </c>
      <c r="AO170" s="62">
        <f t="shared" si="144"/>
        <v>242.84781402593839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288.40175636392161</v>
      </c>
      <c r="BI170" s="62">
        <f ca="1">AVERAGE(OFFSET($BH$3,0,0,'Données projet'!$E$11+1,1))-AVERAGE(OFFSET($H$3,0,0,'Données projet'!$E$11+1,1))</f>
        <v>189.09998601768521</v>
      </c>
      <c r="BJ170" s="62">
        <f t="shared" si="146"/>
        <v>458.38901659119472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-5.1431925385259088E-14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376.68007030857598</v>
      </c>
      <c r="CE170" s="62">
        <f t="shared" si="148"/>
        <v>532.90758914457626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0.22205501210178399</v>
      </c>
      <c r="CL170" s="23">
        <f>EXP(-LN(2)/25)*CL169+(1-EXP(-LN(2)/25))/(LN(2)/25)*Calculateur!CG170*Calculateur!CI170*VLOOKUP('Données projet'!$B$12,Paramètres!$A$1:$I$89,3,0)*0.475*44/12</f>
        <v>5.8462352564325144E-2</v>
      </c>
      <c r="CM170" s="23">
        <f>EXP(-LN(2)/2)*CM169+(1-EXP(-LN(2)/2))/(LN(2)/2)*CG170*CJ170*VLOOKUP('Données projet'!$B$12,Paramètres!$A$1:$I$89,3,0)*0.475*44/12</f>
        <v>1.2423268837938947E-20</v>
      </c>
      <c r="CN170" s="24">
        <f t="shared" si="172"/>
        <v>0.28051736466610916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349.46033149388688</v>
      </c>
      <c r="T171" s="62">
        <f t="shared" si="142"/>
        <v>405.30585610371702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4.7686162023998418E-20</v>
      </c>
      <c r="AC171" s="24">
        <f t="shared" si="163"/>
        <v>4.7686162023998418E-20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289.94963088302325</v>
      </c>
      <c r="AO171" s="62">
        <f t="shared" si="144"/>
        <v>242.84781402593839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288.48730819898651</v>
      </c>
      <c r="BI171" s="62">
        <f ca="1">AVERAGE(OFFSET($BH$3,0,0,'Données projet'!$E$11+1,1))-AVERAGE(OFFSET($H$3,0,0,'Données projet'!$E$11+1,1))</f>
        <v>189.09998601768521</v>
      </c>
      <c r="BJ171" s="62">
        <f t="shared" si="146"/>
        <v>458.38901659119472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-5.1431925385259088E-14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376.68007030857598</v>
      </c>
      <c r="CE171" s="62">
        <f t="shared" si="148"/>
        <v>532.90758914457626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0.21770064875465178</v>
      </c>
      <c r="CL171" s="23">
        <f>EXP(-LN(2)/25)*CL170+(1-EXP(-LN(2)/25))/(LN(2)/25)*Calculateur!CG171*Calculateur!CI171*VLOOKUP('Données projet'!$B$12,Paramètres!$A$1:$I$89,3,0)*0.475*44/12</f>
        <v>5.686369645905217E-2</v>
      </c>
      <c r="CM171" s="23">
        <f>EXP(-LN(2)/2)*CM170+(1-EXP(-LN(2)/2))/(LN(2)/2)*CG171*CJ171*VLOOKUP('Données projet'!$B$12,Paramètres!$A$1:$I$89,3,0)*0.475*44/12</f>
        <v>8.7845776398101498E-21</v>
      </c>
      <c r="CN171" s="24">
        <f t="shared" si="172"/>
        <v>0.27456434521370393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349.46033149388688</v>
      </c>
      <c r="T172" s="62">
        <f t="shared" si="142"/>
        <v>405.30585610371702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3.3719208535929701E-20</v>
      </c>
      <c r="AC172" s="24">
        <f t="shared" si="163"/>
        <v>3.3719208535929701E-20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289.94963088302325</v>
      </c>
      <c r="AO172" s="62">
        <f t="shared" si="144"/>
        <v>242.84781402593839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288.57137590097841</v>
      </c>
      <c r="BI172" s="62">
        <f ca="1">AVERAGE(OFFSET($BH$3,0,0,'Données projet'!$E$11+1,1))-AVERAGE(OFFSET($H$3,0,0,'Données projet'!$E$11+1,1))</f>
        <v>189.09998601768521</v>
      </c>
      <c r="BJ172" s="62">
        <f t="shared" si="146"/>
        <v>458.38901659119472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-5.1431925385259088E-14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376.68007030857598</v>
      </c>
      <c r="CE172" s="62">
        <f t="shared" si="148"/>
        <v>532.90758914457626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0.21343167181685743</v>
      </c>
      <c r="CL172" s="23">
        <f>EXP(-LN(2)/25)*CL171+(1-EXP(-LN(2)/25))/(LN(2)/25)*Calculateur!CG172*Calculateur!CI172*VLOOKUP('Données projet'!$B$12,Paramètres!$A$1:$I$89,3,0)*0.475*44/12</f>
        <v>5.5308755689047556E-2</v>
      </c>
      <c r="CM172" s="23">
        <f>EXP(-LN(2)/2)*CM171+(1-EXP(-LN(2)/2))/(LN(2)/2)*CG172*CJ172*VLOOKUP('Données projet'!$B$12,Paramètres!$A$1:$I$89,3,0)*0.475*44/12</f>
        <v>6.2116344189694737E-21</v>
      </c>
      <c r="CN172" s="24">
        <f t="shared" si="172"/>
        <v>0.26874042750590499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349.46033149388688</v>
      </c>
      <c r="T173" s="62">
        <f t="shared" si="142"/>
        <v>405.30585610371702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2.3843081011999209E-20</v>
      </c>
      <c r="AC173" s="24">
        <f t="shared" si="163"/>
        <v>2.3843081011999209E-20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289.94963088302325</v>
      </c>
      <c r="AO173" s="62">
        <f t="shared" si="144"/>
        <v>242.84781402593839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288.65398521628788</v>
      </c>
      <c r="BI173" s="62">
        <f ca="1">AVERAGE(OFFSET($BH$3,0,0,'Données projet'!$E$11+1,1))-AVERAGE(OFFSET($H$3,0,0,'Données projet'!$E$11+1,1))</f>
        <v>189.09998601768521</v>
      </c>
      <c r="BJ173" s="62">
        <f t="shared" si="146"/>
        <v>458.38901659119472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-5.1431925385259088E-14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376.68007030857598</v>
      </c>
      <c r="CE173" s="62">
        <f t="shared" si="148"/>
        <v>532.90758914457626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0.20924640691299443</v>
      </c>
      <c r="CL173" s="23">
        <f>EXP(-LN(2)/25)*CL172+(1-EXP(-LN(2)/25))/(LN(2)/25)*Calculateur!CG173*Calculateur!CI173*VLOOKUP('Données projet'!$B$12,Paramètres!$A$1:$I$89,3,0)*0.475*44/12</f>
        <v>5.3796334856169498E-2</v>
      </c>
      <c r="CM173" s="23">
        <f>EXP(-LN(2)/2)*CM172+(1-EXP(-LN(2)/2))/(LN(2)/2)*CG173*CJ173*VLOOKUP('Données projet'!$B$12,Paramètres!$A$1:$I$89,3,0)*0.475*44/12</f>
        <v>4.3922888199050749E-21</v>
      </c>
      <c r="CN173" s="24">
        <f t="shared" si="172"/>
        <v>0.26304274176916392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349.46033149388688</v>
      </c>
      <c r="T174" s="62">
        <f t="shared" si="142"/>
        <v>405.30585610371702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1.6859604267964851E-20</v>
      </c>
      <c r="AC174" s="24">
        <f t="shared" si="163"/>
        <v>1.6859604267964851E-20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289.94963088302325</v>
      </c>
      <c r="AO174" s="62">
        <f t="shared" si="144"/>
        <v>242.84781402593839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288.7351614446635</v>
      </c>
      <c r="BI174" s="62">
        <f ca="1">AVERAGE(OFFSET($BH$3,0,0,'Données projet'!$E$11+1,1))-AVERAGE(OFFSET($H$3,0,0,'Données projet'!$E$11+1,1))</f>
        <v>189.09998601768521</v>
      </c>
      <c r="BJ174" s="62">
        <f t="shared" si="146"/>
        <v>458.38901659119472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-5.1431925385259088E-14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376.68007030857598</v>
      </c>
      <c r="CE174" s="62">
        <f t="shared" si="148"/>
        <v>532.90758914457626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0.20514321250113662</v>
      </c>
      <c r="CL174" s="23">
        <f>EXP(-LN(2)/25)*CL173+(1-EXP(-LN(2)/25))/(LN(2)/25)*Calculateur!CG174*Calculateur!CI174*VLOOKUP('Données projet'!$B$12,Paramètres!$A$1:$I$89,3,0)*0.475*44/12</f>
        <v>5.2325271250501244E-2</v>
      </c>
      <c r="CM174" s="23">
        <f>EXP(-LN(2)/2)*CM173+(1-EXP(-LN(2)/2))/(LN(2)/2)*CG174*CJ174*VLOOKUP('Données projet'!$B$12,Paramètres!$A$1:$I$89,3,0)*0.475*44/12</f>
        <v>3.1058172094847369E-21</v>
      </c>
      <c r="CN174" s="24">
        <f t="shared" si="172"/>
        <v>0.25746848375163789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349.46033149388688</v>
      </c>
      <c r="T175" s="62">
        <f t="shared" si="142"/>
        <v>405.30585610371702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1.1921540505999604E-20</v>
      </c>
      <c r="AC175" s="24">
        <f t="shared" si="163"/>
        <v>1.1921540505999604E-20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289.94963088302325</v>
      </c>
      <c r="AO175" s="62">
        <f t="shared" si="144"/>
        <v>242.84781402593839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288.81492944695964</v>
      </c>
      <c r="BI175" s="62">
        <f ca="1">AVERAGE(OFFSET($BH$3,0,0,'Données projet'!$E$11+1,1))-AVERAGE(OFFSET($H$3,0,0,'Données projet'!$E$11+1,1))</f>
        <v>189.09998601768521</v>
      </c>
      <c r="BJ175" s="62">
        <f t="shared" si="146"/>
        <v>458.38901659119472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-5.1431925385259088E-14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376.68007030857598</v>
      </c>
      <c r="CE175" s="62">
        <f t="shared" si="148"/>
        <v>532.90758914457626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0.2011204792289939</v>
      </c>
      <c r="CL175" s="23">
        <f>EXP(-LN(2)/25)*CL174+(1-EXP(-LN(2)/25))/(LN(2)/25)*Calculateur!CG175*Calculateur!CI175*VLOOKUP('Données projet'!$B$12,Paramètres!$A$1:$I$89,3,0)*0.475*44/12</f>
        <v>5.0894433956489862E-2</v>
      </c>
      <c r="CM175" s="23">
        <f>EXP(-LN(2)/2)*CM174+(1-EXP(-LN(2)/2))/(LN(2)/2)*CG175*CJ175*VLOOKUP('Données projet'!$B$12,Paramètres!$A$1:$I$89,3,0)*0.475*44/12</f>
        <v>2.1961444099525374E-21</v>
      </c>
      <c r="CN175" s="24">
        <f t="shared" si="172"/>
        <v>0.25201491318548375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349.46033149388688</v>
      </c>
      <c r="T176" s="62">
        <f t="shared" si="142"/>
        <v>405.30585610371702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8.4298021339824253E-21</v>
      </c>
      <c r="AC176" s="24">
        <f t="shared" si="163"/>
        <v>8.4298021339824253E-21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289.94963088302325</v>
      </c>
      <c r="AO176" s="62">
        <f t="shared" si="144"/>
        <v>242.84781402593839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288.89331365275046</v>
      </c>
      <c r="BI176" s="62">
        <f ca="1">AVERAGE(OFFSET($BH$3,0,0,'Données projet'!$E$11+1,1))-AVERAGE(OFFSET($H$3,0,0,'Données projet'!$E$11+1,1))</f>
        <v>189.09998601768521</v>
      </c>
      <c r="BJ176" s="62">
        <f t="shared" si="146"/>
        <v>458.38901659119472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-5.1431925385259088E-14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376.68007030857598</v>
      </c>
      <c r="CE176" s="62">
        <f t="shared" si="148"/>
        <v>532.90758914457626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0.19717662930269286</v>
      </c>
      <c r="CL176" s="23">
        <f>EXP(-LN(2)/25)*CL175+(1-EXP(-LN(2)/25))/(LN(2)/25)*Calculateur!CG176*Calculateur!CI176*VLOOKUP('Données projet'!$B$12,Paramètres!$A$1:$I$89,3,0)*0.475*44/12</f>
        <v>4.9502722983527689E-2</v>
      </c>
      <c r="CM176" s="23">
        <f>EXP(-LN(2)/2)*CM175+(1-EXP(-LN(2)/2))/(LN(2)/2)*CG176*CJ176*VLOOKUP('Données projet'!$B$12,Paramètres!$A$1:$I$89,3,0)*0.475*44/12</f>
        <v>1.5529086047423684E-21</v>
      </c>
      <c r="CN176" s="24">
        <f t="shared" si="172"/>
        <v>0.24667935228622057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349.46033149388688</v>
      </c>
      <c r="T177" s="62">
        <f t="shared" si="142"/>
        <v>405.30585610371702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5.9607702529998022E-21</v>
      </c>
      <c r="AC177" s="24">
        <f t="shared" si="163"/>
        <v>5.9607702529998022E-21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289.94963088302325</v>
      </c>
      <c r="AO177" s="62">
        <f t="shared" si="144"/>
        <v>242.84781402593839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288.97033806781172</v>
      </c>
      <c r="BI177" s="62">
        <f ca="1">AVERAGE(OFFSET($BH$3,0,0,'Données projet'!$E$11+1,1))-AVERAGE(OFFSET($H$3,0,0,'Données projet'!$E$11+1,1))</f>
        <v>189.09998601768521</v>
      </c>
      <c r="BJ177" s="62">
        <f t="shared" si="146"/>
        <v>458.38901659119472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-5.1431925385259088E-14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376.68007030857598</v>
      </c>
      <c r="CE177" s="62">
        <f t="shared" si="148"/>
        <v>532.90758914457626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0.19331011586793567</v>
      </c>
      <c r="CL177" s="23">
        <f>EXP(-LN(2)/25)*CL176+(1-EXP(-LN(2)/25))/(LN(2)/25)*Calculateur!CG177*Calculateur!CI177*VLOOKUP('Données projet'!$B$12,Paramètres!$A$1:$I$89,3,0)*0.475*44/12</f>
        <v>4.8149068420308062E-2</v>
      </c>
      <c r="CM177" s="23">
        <f>EXP(-LN(2)/2)*CM176+(1-EXP(-LN(2)/2))/(LN(2)/2)*CG177*CJ177*VLOOKUP('Données projet'!$B$12,Paramètres!$A$1:$I$89,3,0)*0.475*44/12</f>
        <v>1.0980722049762687E-21</v>
      </c>
      <c r="CN177" s="24">
        <f t="shared" si="172"/>
        <v>0.24145918428824373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349.46033149388688</v>
      </c>
      <c r="T178" s="62">
        <f t="shared" si="142"/>
        <v>405.30585610371702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4.2149010669912126E-21</v>
      </c>
      <c r="AC178" s="24">
        <f t="shared" si="163"/>
        <v>4.2149010669912126E-21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289.94963088302325</v>
      </c>
      <c r="AO178" s="62">
        <f t="shared" si="144"/>
        <v>242.84781402593839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289.04602628147239</v>
      </c>
      <c r="BI178" s="62">
        <f ca="1">AVERAGE(OFFSET($BH$3,0,0,'Données projet'!$E$11+1,1))-AVERAGE(OFFSET($H$3,0,0,'Données projet'!$E$11+1,1))</f>
        <v>189.09998601768521</v>
      </c>
      <c r="BJ178" s="62">
        <f t="shared" si="146"/>
        <v>458.38901659119472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-5.1431925385259088E-14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376.68007030857598</v>
      </c>
      <c r="CE178" s="62">
        <f t="shared" si="148"/>
        <v>532.90758914457626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0.18951942240329372</v>
      </c>
      <c r="CL178" s="23">
        <f>EXP(-LN(2)/25)*CL177+(1-EXP(-LN(2)/25))/(LN(2)/25)*Calculateur!CG178*Calculateur!CI178*VLOOKUP('Données projet'!$B$12,Paramètres!$A$1:$I$89,3,0)*0.475*44/12</f>
        <v>4.6832429612305278E-2</v>
      </c>
      <c r="CM178" s="23">
        <f>EXP(-LN(2)/2)*CM177+(1-EXP(-LN(2)/2))/(LN(2)/2)*CG178*CJ178*VLOOKUP('Données projet'!$B$12,Paramètres!$A$1:$I$89,3,0)*0.475*44/12</f>
        <v>7.7645430237118422E-22</v>
      </c>
      <c r="CN178" s="24">
        <f t="shared" si="172"/>
        <v>0.236351852015599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349.46033149388688</v>
      </c>
      <c r="T179" s="62">
        <f t="shared" si="142"/>
        <v>405.30585610371702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2.9803851264999011E-21</v>
      </c>
      <c r="AC179" s="24">
        <f t="shared" si="163"/>
        <v>2.9803851264999011E-21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289.94963088302325</v>
      </c>
      <c r="AO179" s="62">
        <f t="shared" si="144"/>
        <v>242.84781402593839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289.12040147383959</v>
      </c>
      <c r="BI179" s="62">
        <f ca="1">AVERAGE(OFFSET($BH$3,0,0,'Données projet'!$E$11+1,1))-AVERAGE(OFFSET($H$3,0,0,'Données projet'!$E$11+1,1))</f>
        <v>189.09998601768521</v>
      </c>
      <c r="BJ179" s="62">
        <f t="shared" si="146"/>
        <v>458.38901659119472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-5.1431925385259088E-14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376.68007030857598</v>
      </c>
      <c r="CE179" s="62">
        <f t="shared" si="148"/>
        <v>532.90758914457626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0.18580306212539871</v>
      </c>
      <c r="CL179" s="23">
        <f>EXP(-LN(2)/25)*CL178+(1-EXP(-LN(2)/25))/(LN(2)/25)*Calculateur!CG179*Calculateur!CI179*VLOOKUP('Données projet'!$B$12,Paramètres!$A$1:$I$89,3,0)*0.475*44/12</f>
        <v>4.5551794361746355E-2</v>
      </c>
      <c r="CM179" s="23">
        <f>EXP(-LN(2)/2)*CM178+(1-EXP(-LN(2)/2))/(LN(2)/2)*CG179*CJ179*VLOOKUP('Données projet'!$B$12,Paramètres!$A$1:$I$89,3,0)*0.475*44/12</f>
        <v>5.4903610248813436E-22</v>
      </c>
      <c r="CN179" s="24">
        <f t="shared" si="172"/>
        <v>0.23135485648714507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349.46033149388688</v>
      </c>
      <c r="T180" s="62">
        <f t="shared" si="142"/>
        <v>405.30585610371702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2.1074505334956063E-21</v>
      </c>
      <c r="AC180" s="24">
        <f t="shared" si="163"/>
        <v>2.1074505334956063E-21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289.94963088302325</v>
      </c>
      <c r="AO180" s="62">
        <f t="shared" si="144"/>
        <v>242.84781402593839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289.19348642289725</v>
      </c>
      <c r="BI180" s="62">
        <f ca="1">AVERAGE(OFFSET($BH$3,0,0,'Données projet'!$E$11+1,1))-AVERAGE(OFFSET($H$3,0,0,'Données projet'!$E$11+1,1))</f>
        <v>189.09998601768521</v>
      </c>
      <c r="BJ180" s="62">
        <f t="shared" si="146"/>
        <v>458.38901659119472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-5.1431925385259088E-14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376.68007030857598</v>
      </c>
      <c r="CE180" s="62">
        <f t="shared" si="148"/>
        <v>532.90758914457626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0.18215957740579727</v>
      </c>
      <c r="CL180" s="23">
        <f>EXP(-LN(2)/25)*CL179+(1-EXP(-LN(2)/25))/(LN(2)/25)*Calculateur!CG180*Calculateur!CI180*VLOOKUP('Données projet'!$B$12,Paramètres!$A$1:$I$89,3,0)*0.475*44/12</f>
        <v>4.4306178149459648E-2</v>
      </c>
      <c r="CM180" s="23">
        <f>EXP(-LN(2)/2)*CM179+(1-EXP(-LN(2)/2))/(LN(2)/2)*CG180*CJ180*VLOOKUP('Données projet'!$B$12,Paramètres!$A$1:$I$89,3,0)*0.475*44/12</f>
        <v>3.8822715118559211E-22</v>
      </c>
      <c r="CN180" s="24">
        <f t="shared" si="172"/>
        <v>0.22646575555525691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349.46033149388688</v>
      </c>
      <c r="T181" s="62">
        <f t="shared" si="142"/>
        <v>405.30585610371702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1.4901925632499505E-21</v>
      </c>
      <c r="AC181" s="24">
        <f t="shared" si="163"/>
        <v>1.4901925632499505E-21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289.94963088302325</v>
      </c>
      <c r="AO181" s="62">
        <f t="shared" si="144"/>
        <v>242.84781402593839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289.26530351148216</v>
      </c>
      <c r="BI181" s="62">
        <f ca="1">AVERAGE(OFFSET($BH$3,0,0,'Données projet'!$E$11+1,1))-AVERAGE(OFFSET($H$3,0,0,'Données projet'!$E$11+1,1))</f>
        <v>189.09998601768521</v>
      </c>
      <c r="BJ181" s="62">
        <f t="shared" si="146"/>
        <v>458.38901659119472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-5.1431925385259088E-14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376.68007030857598</v>
      </c>
      <c r="CE181" s="62">
        <f t="shared" si="148"/>
        <v>532.90758914457626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0.17858753919924097</v>
      </c>
      <c r="CL181" s="23">
        <f>EXP(-LN(2)/25)*CL180+(1-EXP(-LN(2)/25))/(LN(2)/25)*Calculateur!CG181*Calculateur!CI181*VLOOKUP('Données projet'!$B$12,Paramètres!$A$1:$I$89,3,0)*0.475*44/12</f>
        <v>4.3094623378002031E-2</v>
      </c>
      <c r="CM181" s="23">
        <f>EXP(-LN(2)/2)*CM180+(1-EXP(-LN(2)/2))/(LN(2)/2)*CG181*CJ181*VLOOKUP('Données projet'!$B$12,Paramètres!$A$1:$I$89,3,0)*0.475*44/12</f>
        <v>2.7451805124406718E-22</v>
      </c>
      <c r="CN181" s="24">
        <f t="shared" si="172"/>
        <v>0.22168216257724299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349.46033149388688</v>
      </c>
      <c r="T182" s="62">
        <f t="shared" si="142"/>
        <v>405.30585610371702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1.0537252667478032E-21</v>
      </c>
      <c r="AC182" s="24">
        <f t="shared" si="163"/>
        <v>1.0537252667478032E-21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289.94963088302325</v>
      </c>
      <c r="AO182" s="62">
        <f t="shared" si="144"/>
        <v>242.84781402593839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289.33587473413911</v>
      </c>
      <c r="BI182" s="62">
        <f ca="1">AVERAGE(OFFSET($BH$3,0,0,'Données projet'!$E$11+1,1))-AVERAGE(OFFSET($H$3,0,0,'Données projet'!$E$11+1,1))</f>
        <v>189.09998601768521</v>
      </c>
      <c r="BJ182" s="62">
        <f t="shared" si="146"/>
        <v>458.38901659119472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-5.1431925385259088E-14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376.68007030857598</v>
      </c>
      <c r="CE182" s="62">
        <f t="shared" si="148"/>
        <v>532.90758914457626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0.17508554648318705</v>
      </c>
      <c r="CL182" s="23">
        <f>EXP(-LN(2)/25)*CL181+(1-EXP(-LN(2)/25))/(LN(2)/25)*Calculateur!CG182*Calculateur!CI182*VLOOKUP('Données projet'!$B$12,Paramètres!$A$1:$I$89,3,0)*0.475*44/12</f>
        <v>4.1916198635482814E-2</v>
      </c>
      <c r="CM182" s="23">
        <f>EXP(-LN(2)/2)*CM181+(1-EXP(-LN(2)/2))/(LN(2)/2)*CG182*CJ182*VLOOKUP('Données projet'!$B$12,Paramètres!$A$1:$I$89,3,0)*0.475*44/12</f>
        <v>1.9411357559279605E-22</v>
      </c>
      <c r="CN182" s="24">
        <f t="shared" si="172"/>
        <v>0.21700174511866988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349.46033149388688</v>
      </c>
      <c r="T183" s="62">
        <f t="shared" si="142"/>
        <v>405.30585610371702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7.4509628162497527E-22</v>
      </c>
      <c r="AC183" s="24">
        <f t="shared" si="163"/>
        <v>7.4509628162497527E-22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289.94963088302325</v>
      </c>
      <c r="AO183" s="62">
        <f t="shared" si="144"/>
        <v>242.84781402593839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289.40522170385663</v>
      </c>
      <c r="BI183" s="62">
        <f ca="1">AVERAGE(OFFSET($BH$3,0,0,'Données projet'!$E$11+1,1))-AVERAGE(OFFSET($H$3,0,0,'Données projet'!$E$11+1,1))</f>
        <v>189.09998601768521</v>
      </c>
      <c r="BJ183" s="62">
        <f t="shared" si="146"/>
        <v>458.38901659119472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-5.1431925385259088E-14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376.68007030857598</v>
      </c>
      <c r="CE183" s="62">
        <f t="shared" si="148"/>
        <v>532.90758914457626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0.17165222570829031</v>
      </c>
      <c r="CL183" s="23">
        <f>EXP(-LN(2)/25)*CL182+(1-EXP(-LN(2)/25))/(LN(2)/25)*Calculateur!CG183*Calculateur!CI183*VLOOKUP('Données projet'!$B$12,Paramètres!$A$1:$I$89,3,0)*0.475*44/12</f>
        <v>4.0769997979518448E-2</v>
      </c>
      <c r="CM183" s="23">
        <f>EXP(-LN(2)/2)*CM182+(1-EXP(-LN(2)/2))/(LN(2)/2)*CG183*CJ183*VLOOKUP('Données projet'!$B$12,Paramètres!$A$1:$I$89,3,0)*0.475*44/12</f>
        <v>1.3725902562203359E-22</v>
      </c>
      <c r="CN183" s="24">
        <f t="shared" si="172"/>
        <v>0.21242222368780875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349.46033149388688</v>
      </c>
      <c r="T184" s="62">
        <f t="shared" si="142"/>
        <v>405.30585610371702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5.2686263337390158E-22</v>
      </c>
      <c r="AC184" s="24">
        <f t="shared" si="163"/>
        <v>5.2686263337390158E-22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289.94963088302325</v>
      </c>
      <c r="AO184" s="62">
        <f t="shared" si="144"/>
        <v>242.84781402593839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289.47336565868608</v>
      </c>
      <c r="BI184" s="62">
        <f ca="1">AVERAGE(OFFSET($BH$3,0,0,'Données projet'!$E$11+1,1))-AVERAGE(OFFSET($H$3,0,0,'Données projet'!$E$11+1,1))</f>
        <v>189.09998601768521</v>
      </c>
      <c r="BJ184" s="62">
        <f t="shared" si="146"/>
        <v>458.38901659119472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-5.1431925385259088E-14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376.68007030857598</v>
      </c>
      <c r="CE184" s="62">
        <f t="shared" si="148"/>
        <v>532.90758914457626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0.16828623025967041</v>
      </c>
      <c r="CL184" s="23">
        <f>EXP(-LN(2)/25)*CL183+(1-EXP(-LN(2)/25))/(LN(2)/25)*Calculateur!CG184*Calculateur!CI184*VLOOKUP('Données projet'!$B$12,Paramètres!$A$1:$I$89,3,0)*0.475*44/12</f>
        <v>3.9655140240767502E-2</v>
      </c>
      <c r="CM184" s="23">
        <f>EXP(-LN(2)/2)*CM183+(1-EXP(-LN(2)/2))/(LN(2)/2)*CG184*CJ184*VLOOKUP('Données projet'!$B$12,Paramètres!$A$1:$I$89,3,0)*0.475*44/12</f>
        <v>9.7056787796398027E-23</v>
      </c>
      <c r="CN184" s="24">
        <f t="shared" si="172"/>
        <v>0.2079413705004379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349.46033149388688</v>
      </c>
      <c r="T185" s="62">
        <f t="shared" si="142"/>
        <v>405.30585610371702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3.7254814081248764E-22</v>
      </c>
      <c r="AC185" s="24">
        <f t="shared" si="163"/>
        <v>3.7254814081248764E-22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289.94963088302325</v>
      </c>
      <c r="AO185" s="62">
        <f t="shared" si="144"/>
        <v>242.84781402593839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289.5403274682464</v>
      </c>
      <c r="BI185" s="62">
        <f ca="1">AVERAGE(OFFSET($BH$3,0,0,'Données projet'!$E$11+1,1))-AVERAGE(OFFSET($H$3,0,0,'Données projet'!$E$11+1,1))</f>
        <v>189.09998601768521</v>
      </c>
      <c r="BJ185" s="62">
        <f t="shared" si="146"/>
        <v>458.38901659119472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-5.1431925385259088E-14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376.68007030857598</v>
      </c>
      <c r="CE185" s="62">
        <f t="shared" si="148"/>
        <v>532.90758914457626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0.16498623992874342</v>
      </c>
      <c r="CL185" s="23">
        <f>EXP(-LN(2)/25)*CL184+(1-EXP(-LN(2)/25))/(LN(2)/25)*Calculateur!CG185*Calculateur!CI185*VLOOKUP('Données projet'!$B$12,Paramètres!$A$1:$I$89,3,0)*0.475*44/12</f>
        <v>3.8570768345510521E-2</v>
      </c>
      <c r="CM185" s="23">
        <f>EXP(-LN(2)/2)*CM184+(1-EXP(-LN(2)/2))/(LN(2)/2)*CG185*CJ185*VLOOKUP('Données projet'!$B$12,Paramètres!$A$1:$I$89,3,0)*0.475*44/12</f>
        <v>6.8629512811016795E-23</v>
      </c>
      <c r="CN185" s="24">
        <f t="shared" si="172"/>
        <v>0.20355700827425394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349.46033149388688</v>
      </c>
      <c r="T186" s="62">
        <f t="shared" si="142"/>
        <v>405.30585610371702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2.6343131668695079E-22</v>
      </c>
      <c r="AC186" s="24">
        <f t="shared" si="163"/>
        <v>2.6343131668695079E-22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289.94963088302325</v>
      </c>
      <c r="AO186" s="62">
        <f t="shared" si="144"/>
        <v>242.84781402593839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289.60612764011495</v>
      </c>
      <c r="BI186" s="62">
        <f ca="1">AVERAGE(OFFSET($BH$3,0,0,'Données projet'!$E$11+1,1))-AVERAGE(OFFSET($H$3,0,0,'Données projet'!$E$11+1,1))</f>
        <v>189.09998601768521</v>
      </c>
      <c r="BJ186" s="62">
        <f t="shared" si="146"/>
        <v>458.38901659119472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-5.1431925385259088E-14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376.68007030857598</v>
      </c>
      <c r="CE186" s="62">
        <f t="shared" si="148"/>
        <v>532.90758914457626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0.16175096039541056</v>
      </c>
      <c r="CL186" s="23">
        <f>EXP(-LN(2)/25)*CL185+(1-EXP(-LN(2)/25))/(LN(2)/25)*Calculateur!CG186*Calculateur!CI186*VLOOKUP('Données projet'!$B$12,Paramètres!$A$1:$I$89,3,0)*0.475*44/12</f>
        <v>3.7516048656753981E-2</v>
      </c>
      <c r="CM186" s="23">
        <f>EXP(-LN(2)/2)*CM185+(1-EXP(-LN(2)/2))/(LN(2)/2)*CG186*CJ186*VLOOKUP('Données projet'!$B$12,Paramètres!$A$1:$I$89,3,0)*0.475*44/12</f>
        <v>4.8528393898199014E-23</v>
      </c>
      <c r="CN186" s="24">
        <f t="shared" si="172"/>
        <v>0.19926700905216455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349.46033149388688</v>
      </c>
      <c r="T187" s="62">
        <f t="shared" si="142"/>
        <v>405.30585610371702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1.8627407040624382E-22</v>
      </c>
      <c r="AC187" s="24">
        <f t="shared" si="163"/>
        <v>1.8627407040624382E-22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289.94963088302325</v>
      </c>
      <c r="AO187" s="62">
        <f t="shared" si="144"/>
        <v>242.84781402593839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289.67078632610873</v>
      </c>
      <c r="BI187" s="62">
        <f ca="1">AVERAGE(OFFSET($BH$3,0,0,'Données projet'!$E$11+1,1))-AVERAGE(OFFSET($H$3,0,0,'Données projet'!$E$11+1,1))</f>
        <v>189.09998601768521</v>
      </c>
      <c r="BJ187" s="62">
        <f t="shared" si="146"/>
        <v>458.38901659119472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-5.1431925385259088E-14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376.68007030857598</v>
      </c>
      <c r="CE187" s="62">
        <f t="shared" si="148"/>
        <v>532.90758914457626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0.1585791227204007</v>
      </c>
      <c r="CL187" s="23">
        <f>EXP(-LN(2)/25)*CL186+(1-EXP(-LN(2)/25))/(LN(2)/25)*Calculateur!CG187*Calculateur!CI187*VLOOKUP('Données projet'!$B$12,Paramètres!$A$1:$I$89,3,0)*0.475*44/12</f>
        <v>3.6490170333351786E-2</v>
      </c>
      <c r="CM187" s="23">
        <f>EXP(-LN(2)/2)*CM186+(1-EXP(-LN(2)/2))/(LN(2)/2)*CG187*CJ187*VLOOKUP('Données projet'!$B$12,Paramètres!$A$1:$I$89,3,0)*0.475*44/12</f>
        <v>3.4314756405508398E-23</v>
      </c>
      <c r="CN187" s="24">
        <f t="shared" si="172"/>
        <v>0.19506929305375248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349.46033149388688</v>
      </c>
      <c r="T188" s="62">
        <f t="shared" si="142"/>
        <v>405.30585610371702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1.3171565834347539E-22</v>
      </c>
      <c r="AC188" s="24">
        <f t="shared" si="163"/>
        <v>1.3171565834347539E-22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289.94963088302325</v>
      </c>
      <c r="AO188" s="62">
        <f t="shared" si="144"/>
        <v>242.84781402593839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289.73432332845573</v>
      </c>
      <c r="BI188" s="62">
        <f ca="1">AVERAGE(OFFSET($BH$3,0,0,'Données projet'!$E$11+1,1))-AVERAGE(OFFSET($H$3,0,0,'Données projet'!$E$11+1,1))</f>
        <v>189.09998601768521</v>
      </c>
      <c r="BJ188" s="62">
        <f t="shared" si="146"/>
        <v>458.38901659119472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-5.1431925385259088E-14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376.68007030857598</v>
      </c>
      <c r="CE188" s="62">
        <f t="shared" si="148"/>
        <v>532.90758914457626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0.15546948284756784</v>
      </c>
      <c r="CL188" s="23">
        <f>EXP(-LN(2)/25)*CL187+(1-EXP(-LN(2)/25))/(LN(2)/25)*Calculateur!CG188*Calculateur!CI188*VLOOKUP('Données projet'!$B$12,Paramètres!$A$1:$I$89,3,0)*0.475*44/12</f>
        <v>3.5492344706651621E-2</v>
      </c>
      <c r="CM188" s="23">
        <f>EXP(-LN(2)/2)*CM187+(1-EXP(-LN(2)/2))/(LN(2)/2)*CG188*CJ188*VLOOKUP('Données projet'!$B$12,Paramètres!$A$1:$I$89,3,0)*0.475*44/12</f>
        <v>2.4264196949099507E-23</v>
      </c>
      <c r="CN188" s="24">
        <f t="shared" si="172"/>
        <v>0.19096182755421948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349.46033149388688</v>
      </c>
      <c r="T189" s="62">
        <f t="shared" si="142"/>
        <v>405.30585610371702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9.3137035203121909E-23</v>
      </c>
      <c r="AC189" s="24">
        <f t="shared" si="163"/>
        <v>9.3137035203121909E-23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289.94963088302325</v>
      </c>
      <c r="AO189" s="62">
        <f t="shared" si="144"/>
        <v>242.84781402593839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289.7967581058594</v>
      </c>
      <c r="BI189" s="62">
        <f ca="1">AVERAGE(OFFSET($BH$3,0,0,'Données projet'!$E$11+1,1))-AVERAGE(OFFSET($H$3,0,0,'Données projet'!$E$11+1,1))</f>
        <v>189.09998601768521</v>
      </c>
      <c r="BJ189" s="62">
        <f t="shared" si="146"/>
        <v>458.38901659119472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-5.1431925385259088E-14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376.68007030857598</v>
      </c>
      <c r="CE189" s="62">
        <f t="shared" si="148"/>
        <v>532.90758914457626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0.15242082111594818</v>
      </c>
      <c r="CL189" s="23">
        <f>EXP(-LN(2)/25)*CL188+(1-EXP(-LN(2)/25))/(LN(2)/25)*Calculateur!CG189*Calculateur!CI189*VLOOKUP('Données projet'!$B$12,Paramètres!$A$1:$I$89,3,0)*0.475*44/12</f>
        <v>3.4521804674186946E-2</v>
      </c>
      <c r="CM189" s="23">
        <f>EXP(-LN(2)/2)*CM188+(1-EXP(-LN(2)/2))/(LN(2)/2)*CG189*CJ189*VLOOKUP('Données projet'!$B$12,Paramètres!$A$1:$I$89,3,0)*0.475*44/12</f>
        <v>1.7157378202754199E-23</v>
      </c>
      <c r="CN189" s="24">
        <f t="shared" si="172"/>
        <v>0.18694262579013513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349.46033149388688</v>
      </c>
      <c r="T190" s="62">
        <f t="shared" si="142"/>
        <v>405.30585610371702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6.5857829171737697E-23</v>
      </c>
      <c r="AC190" s="24">
        <f t="shared" si="163"/>
        <v>6.5857829171737697E-23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289.94963088302325</v>
      </c>
      <c r="AO190" s="62">
        <f t="shared" si="144"/>
        <v>242.84781402593839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289.8581097794584</v>
      </c>
      <c r="BI190" s="62">
        <f ca="1">AVERAGE(OFFSET($BH$3,0,0,'Données projet'!$E$11+1,1))-AVERAGE(OFFSET($H$3,0,0,'Données projet'!$E$11+1,1))</f>
        <v>189.09998601768521</v>
      </c>
      <c r="BJ190" s="62">
        <f t="shared" si="146"/>
        <v>458.38901659119472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-5.1431925385259088E-14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376.68007030857598</v>
      </c>
      <c r="CE190" s="62">
        <f t="shared" si="148"/>
        <v>532.90758914457626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0.14943194178138552</v>
      </c>
      <c r="CL190" s="23">
        <f>EXP(-LN(2)/25)*CL189+(1-EXP(-LN(2)/25))/(LN(2)/25)*Calculateur!CG190*Calculateur!CI190*VLOOKUP('Données projet'!$B$12,Paramètres!$A$1:$I$89,3,0)*0.475*44/12</f>
        <v>3.3577804109948498E-2</v>
      </c>
      <c r="CM190" s="23">
        <f>EXP(-LN(2)/2)*CM189+(1-EXP(-LN(2)/2))/(LN(2)/2)*CG190*CJ190*VLOOKUP('Données projet'!$B$12,Paramètres!$A$1:$I$89,3,0)*0.475*44/12</f>
        <v>1.2132098474549753E-23</v>
      </c>
      <c r="CN190" s="24">
        <f t="shared" si="172"/>
        <v>0.18300974589133401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349.46033149388688</v>
      </c>
      <c r="T191" s="62">
        <f t="shared" si="142"/>
        <v>405.30585610371702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4.6568517601560955E-23</v>
      </c>
      <c r="AC191" s="24">
        <f t="shared" si="163"/>
        <v>4.6568517601560955E-23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289.94963088302325</v>
      </c>
      <c r="AO191" s="62">
        <f t="shared" si="144"/>
        <v>242.84781402593839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289.91839713868222</v>
      </c>
      <c r="BI191" s="62">
        <f ca="1">AVERAGE(OFFSET($BH$3,0,0,'Données projet'!$E$11+1,1))-AVERAGE(OFFSET($H$3,0,0,'Données projet'!$E$11+1,1))</f>
        <v>189.09998601768521</v>
      </c>
      <c r="BJ191" s="62">
        <f t="shared" si="146"/>
        <v>458.38901659119472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-5.1431925385259088E-14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376.68007030857598</v>
      </c>
      <c r="CE191" s="62">
        <f t="shared" si="148"/>
        <v>532.90758914457626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0.14650167254753726</v>
      </c>
      <c r="CL191" s="23">
        <f>EXP(-LN(2)/25)*CL190+(1-EXP(-LN(2)/25))/(LN(2)/25)*Calculateur!CG191*Calculateur!CI191*VLOOKUP('Données projet'!$B$12,Paramètres!$A$1:$I$89,3,0)*0.475*44/12</f>
        <v>3.2659617290781984E-2</v>
      </c>
      <c r="CM191" s="23">
        <f>EXP(-LN(2)/2)*CM190+(1-EXP(-LN(2)/2))/(LN(2)/2)*CG191*CJ191*VLOOKUP('Données projet'!$B$12,Paramètres!$A$1:$I$89,3,0)*0.475*44/12</f>
        <v>8.5786891013770994E-24</v>
      </c>
      <c r="CN191" s="24">
        <f t="shared" si="172"/>
        <v>0.17916128983831925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349.46033149388688</v>
      </c>
      <c r="T192" s="62">
        <f t="shared" si="142"/>
        <v>405.30585610371702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3.2928914585868849E-23</v>
      </c>
      <c r="AC192" s="24">
        <f t="shared" si="163"/>
        <v>3.2928914585868849E-23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289.94963088302325</v>
      </c>
      <c r="AO192" s="62">
        <f t="shared" si="144"/>
        <v>242.84781402593839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289.97763864700585</v>
      </c>
      <c r="BI192" s="62">
        <f ca="1">AVERAGE(OFFSET($BH$3,0,0,'Données projet'!$E$11+1,1))-AVERAGE(OFFSET($H$3,0,0,'Données projet'!$E$11+1,1))</f>
        <v>189.09998601768521</v>
      </c>
      <c r="BJ192" s="62">
        <f t="shared" si="146"/>
        <v>458.38901659119472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-5.1431925385259088E-14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376.68007030857598</v>
      </c>
      <c r="CE192" s="62">
        <f t="shared" si="148"/>
        <v>532.90758914457626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0.14362886410607703</v>
      </c>
      <c r="CL192" s="23">
        <f>EXP(-LN(2)/25)*CL191+(1-EXP(-LN(2)/25))/(LN(2)/25)*Calculateur!CG192*Calculateur!CI192*VLOOKUP('Données projet'!$B$12,Paramètres!$A$1:$I$89,3,0)*0.475*44/12</f>
        <v>3.1766538338470922E-2</v>
      </c>
      <c r="CM192" s="23">
        <f>EXP(-LN(2)/2)*CM191+(1-EXP(-LN(2)/2))/(LN(2)/2)*CG192*CJ192*VLOOKUP('Données projet'!$B$12,Paramètres!$A$1:$I$89,3,0)*0.475*44/12</f>
        <v>6.0660492372748767E-24</v>
      </c>
      <c r="CN192" s="24">
        <f t="shared" si="172"/>
        <v>0.17539540244454796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349.46033149388688</v>
      </c>
      <c r="T193" s="62">
        <f t="shared" si="142"/>
        <v>405.30585610371702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2.3284258800780477E-23</v>
      </c>
      <c r="AC193" s="24">
        <f t="shared" si="163"/>
        <v>2.3284258800780477E-23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289.94963088302325</v>
      </c>
      <c r="AO193" s="62">
        <f t="shared" si="144"/>
        <v>242.84781402593839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290.03585244760427</v>
      </c>
      <c r="BI193" s="62">
        <f ca="1">AVERAGE(OFFSET($BH$3,0,0,'Données projet'!$E$11+1,1))-AVERAGE(OFFSET($H$3,0,0,'Données projet'!$E$11+1,1))</f>
        <v>189.09998601768521</v>
      </c>
      <c r="BJ193" s="62">
        <f t="shared" si="146"/>
        <v>458.38901659119472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-5.1431925385259088E-14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376.68007030857598</v>
      </c>
      <c r="CE193" s="62">
        <f t="shared" si="148"/>
        <v>532.90758914457626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0.1408123896859137</v>
      </c>
      <c r="CL193" s="23">
        <f>EXP(-LN(2)/25)*CL192+(1-EXP(-LN(2)/25))/(LN(2)/25)*Calculateur!CG193*Calculateur!CI193*VLOOKUP('Données projet'!$B$12,Paramètres!$A$1:$I$89,3,0)*0.475*44/12</f>
        <v>3.0897880677075787E-2</v>
      </c>
      <c r="CM193" s="23">
        <f>EXP(-LN(2)/2)*CM192+(1-EXP(-LN(2)/2))/(LN(2)/2)*CG193*CJ193*VLOOKUP('Données projet'!$B$12,Paramètres!$A$1:$I$89,3,0)*0.475*44/12</f>
        <v>4.2893445506885497E-24</v>
      </c>
      <c r="CN193" s="24">
        <f t="shared" si="172"/>
        <v>0.17171027036298947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349.46033149388688</v>
      </c>
      <c r="T194" s="62">
        <f t="shared" si="142"/>
        <v>405.30585610371702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1.6464457292934424E-23</v>
      </c>
      <c r="AC194" s="24">
        <f t="shared" si="163"/>
        <v>1.6464457292934424E-23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289.94963088302325</v>
      </c>
      <c r="AO194" s="62">
        <f t="shared" si="144"/>
        <v>242.84781402593839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290.09305636890883</v>
      </c>
      <c r="BI194" s="62">
        <f ca="1">AVERAGE(OFFSET($BH$3,0,0,'Données projet'!$E$11+1,1))-AVERAGE(OFFSET($H$3,0,0,'Données projet'!$E$11+1,1))</f>
        <v>189.09998601768521</v>
      </c>
      <c r="BJ194" s="62">
        <f t="shared" si="146"/>
        <v>458.38901659119472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-5.1431925385259088E-14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376.68007030857598</v>
      </c>
      <c r="CE194" s="62">
        <f t="shared" si="148"/>
        <v>532.90758914457626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0.13805114461124998</v>
      </c>
      <c r="CL194" s="23">
        <f>EXP(-LN(2)/25)*CL193+(1-EXP(-LN(2)/25))/(LN(2)/25)*Calculateur!CG194*Calculateur!CI194*VLOOKUP('Données projet'!$B$12,Paramètres!$A$1:$I$89,3,0)*0.475*44/12</f>
        <v>3.0052976505112221E-2</v>
      </c>
      <c r="CM194" s="23">
        <f>EXP(-LN(2)/2)*CM193+(1-EXP(-LN(2)/2))/(LN(2)/2)*CG194*CJ194*VLOOKUP('Données projet'!$B$12,Paramètres!$A$1:$I$89,3,0)*0.475*44/12</f>
        <v>3.0330246186374384E-24</v>
      </c>
      <c r="CN194" s="24">
        <f t="shared" si="172"/>
        <v>0.16810412111636219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349.46033149388688</v>
      </c>
      <c r="T195" s="62">
        <f t="shared" si="142"/>
        <v>405.30585610371702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1.1642129400390239E-23</v>
      </c>
      <c r="AC195" s="24">
        <f t="shared" si="163"/>
        <v>1.1642129400390239E-23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289.94963088302325</v>
      </c>
      <c r="AO195" s="62">
        <f t="shared" si="144"/>
        <v>242.84781402593839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290.14926793006765</v>
      </c>
      <c r="BI195" s="62">
        <f ca="1">AVERAGE(OFFSET($BH$3,0,0,'Données projet'!$E$11+1,1))-AVERAGE(OFFSET($H$3,0,0,'Données projet'!$E$11+1,1))</f>
        <v>189.09998601768521</v>
      </c>
      <c r="BJ195" s="62">
        <f t="shared" si="146"/>
        <v>458.38901659119472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-5.1431925385259088E-14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376.68007030857598</v>
      </c>
      <c r="CE195" s="62">
        <f t="shared" si="148"/>
        <v>532.90758914457626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0.13534404586830723</v>
      </c>
      <c r="CL195" s="23">
        <f>EXP(-LN(2)/25)*CL194+(1-EXP(-LN(2)/25))/(LN(2)/25)*Calculateur!CG195*Calculateur!CI195*VLOOKUP('Données projet'!$B$12,Paramètres!$A$1:$I$89,3,0)*0.475*44/12</f>
        <v>2.9231176282162579E-2</v>
      </c>
      <c r="CM195" s="23">
        <f>EXP(-LN(2)/2)*CM194+(1-EXP(-LN(2)/2))/(LN(2)/2)*CG195*CJ195*VLOOKUP('Données projet'!$B$12,Paramètres!$A$1:$I$89,3,0)*0.475*44/12</f>
        <v>2.1446722753442748E-24</v>
      </c>
      <c r="CN195" s="24">
        <f t="shared" si="172"/>
        <v>0.1645752221504698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349.46033149388688</v>
      </c>
      <c r="T196" s="62">
        <f t="shared" si="142"/>
        <v>405.30585610371702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8.2322286464672122E-24</v>
      </c>
      <c r="AC196" s="24">
        <f t="shared" si="163"/>
        <v>8.2322286464672122E-24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289.94963088302325</v>
      </c>
      <c r="AO196" s="62">
        <f t="shared" si="144"/>
        <v>242.84781402593839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290.2045043463105</v>
      </c>
      <c r="BI196" s="62">
        <f ca="1">AVERAGE(OFFSET($BH$3,0,0,'Données projet'!$E$11+1,1))-AVERAGE(OFFSET($H$3,0,0,'Données projet'!$E$11+1,1))</f>
        <v>189.09998601768521</v>
      </c>
      <c r="BJ196" s="62">
        <f t="shared" si="146"/>
        <v>458.38901659119472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-5.1431925385259088E-14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376.68007030857598</v>
      </c>
      <c r="CE196" s="62">
        <f t="shared" si="148"/>
        <v>532.90758914457626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0.13269003168054641</v>
      </c>
      <c r="CL196" s="23">
        <f>EXP(-LN(2)/25)*CL195+(1-EXP(-LN(2)/25))/(LN(2)/25)*Calculateur!CG196*Calculateur!CI196*VLOOKUP('Données projet'!$B$12,Paramètres!$A$1:$I$89,3,0)*0.475*44/12</f>
        <v>2.8431848229526092E-2</v>
      </c>
      <c r="CM196" s="23">
        <f>EXP(-LN(2)/2)*CM195+(1-EXP(-LN(2)/2))/(LN(2)/2)*CG196*CJ196*VLOOKUP('Données projet'!$B$12,Paramètres!$A$1:$I$89,3,0)*0.475*44/12</f>
        <v>1.5165123093187192E-24</v>
      </c>
      <c r="CN196" s="24">
        <f t="shared" si="172"/>
        <v>0.16112187991007251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349.46033149388688</v>
      </c>
      <c r="T197" s="62">
        <f t="shared" ref="T197:T203" si="204">$T$3</f>
        <v>405.30585610371702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5.8210647001951193E-24</v>
      </c>
      <c r="AC197" s="24">
        <f t="shared" si="163"/>
        <v>5.8210647001951193E-24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289.94963088302325</v>
      </c>
      <c r="AO197" s="62">
        <f t="shared" ref="AO197:AO203" si="205">$AO$3</f>
        <v>242.84781402593839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290.25878253422172</v>
      </c>
      <c r="BI197" s="62">
        <f ca="1">AVERAGE(OFFSET($BH$3,0,0,'Données projet'!$E$11+1,1))-AVERAGE(OFFSET($H$3,0,0,'Données projet'!$E$11+1,1))</f>
        <v>189.09998601768521</v>
      </c>
      <c r="BJ197" s="62">
        <f t="shared" ref="BJ197:BJ203" si="206">$BJ$3</f>
        <v>458.38901659119472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-5.1431925385259088E-14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376.68007030857598</v>
      </c>
      <c r="CE197" s="62">
        <f t="shared" ref="CE197:CE203" si="207">$CE$3</f>
        <v>532.90758914457626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0.13008806109221877</v>
      </c>
      <c r="CL197" s="23">
        <f>EXP(-LN(2)/25)*CL196+(1-EXP(-LN(2)/25))/(LN(2)/25)*Calculateur!CG197*Calculateur!CI197*VLOOKUP('Données projet'!$B$12,Paramètres!$A$1:$I$89,3,0)*0.475*44/12</f>
        <v>2.7654377844523785E-2</v>
      </c>
      <c r="CM197" s="23">
        <f>EXP(-LN(2)/2)*CM196+(1-EXP(-LN(2)/2))/(LN(2)/2)*CG197*CJ197*VLOOKUP('Données projet'!$B$12,Paramètres!$A$1:$I$89,3,0)*0.475*44/12</f>
        <v>1.0723361376721374E-24</v>
      </c>
      <c r="CN197" s="24">
        <f t="shared" si="172"/>
        <v>0.15774243893674256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349.46033149388688</v>
      </c>
      <c r="T198" s="62">
        <f t="shared" si="204"/>
        <v>405.30585610371702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4.1161143232336061E-24</v>
      </c>
      <c r="AC198" s="24">
        <f t="shared" si="163"/>
        <v>4.1161143232336061E-24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289.94963088302325</v>
      </c>
      <c r="AO198" s="62">
        <f t="shared" si="205"/>
        <v>242.84781402593839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290.31211911692048</v>
      </c>
      <c r="BI198" s="62">
        <f ca="1">AVERAGE(OFFSET($BH$3,0,0,'Données projet'!$E$11+1,1))-AVERAGE(OFFSET($H$3,0,0,'Données projet'!$E$11+1,1))</f>
        <v>189.09998601768521</v>
      </c>
      <c r="BJ198" s="62">
        <f t="shared" si="206"/>
        <v>458.38901659119472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-5.1431925385259088E-14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376.68007030857598</v>
      </c>
      <c r="CE198" s="62">
        <f t="shared" si="207"/>
        <v>532.90758914457626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0.12753711356008288</v>
      </c>
      <c r="CL198" s="23">
        <f>EXP(-LN(2)/25)*CL197+(1-EXP(-LN(2)/25))/(LN(2)/25)*Calculateur!CG198*Calculateur!CI198*VLOOKUP('Données projet'!$B$12,Paramètres!$A$1:$I$89,3,0)*0.475*44/12</f>
        <v>2.6898167428084756E-2</v>
      </c>
      <c r="CM198" s="23">
        <f>EXP(-LN(2)/2)*CM197+(1-EXP(-LN(2)/2))/(LN(2)/2)*CG198*CJ198*VLOOKUP('Données projet'!$B$12,Paramètres!$A$1:$I$89,3,0)*0.475*44/12</f>
        <v>7.5825615465935959E-25</v>
      </c>
      <c r="CN198" s="24">
        <f t="shared" si="172"/>
        <v>0.15443528098816764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349.46033149388688</v>
      </c>
      <c r="T199" s="62">
        <f t="shared" si="204"/>
        <v>405.30585610371702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2.9105323500975597E-24</v>
      </c>
      <c r="AC199" s="24">
        <f t="shared" si="163"/>
        <v>2.9105323500975597E-24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289.94963088302325</v>
      </c>
      <c r="AO199" s="62">
        <f t="shared" si="205"/>
        <v>242.84781402593839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290.36453042915218</v>
      </c>
      <c r="BI199" s="62">
        <f ca="1">AVERAGE(OFFSET($BH$3,0,0,'Données projet'!$E$11+1,1))-AVERAGE(OFFSET($H$3,0,0,'Données projet'!$E$11+1,1))</f>
        <v>189.09998601768521</v>
      </c>
      <c r="BJ199" s="62">
        <f t="shared" si="206"/>
        <v>458.38901659119472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-5.1431925385259088E-14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376.68007030857598</v>
      </c>
      <c r="CE199" s="62">
        <f t="shared" si="207"/>
        <v>532.90758914457626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0.12503618855312781</v>
      </c>
      <c r="CL199" s="23">
        <f>EXP(-LN(2)/25)*CL198+(1-EXP(-LN(2)/25))/(LN(2)/25)*Calculateur!CG199*Calculateur!CI199*VLOOKUP('Données projet'!$B$12,Paramètres!$A$1:$I$89,3,0)*0.475*44/12</f>
        <v>2.6162635625250629E-2</v>
      </c>
      <c r="CM199" s="23">
        <f>EXP(-LN(2)/2)*CM198+(1-EXP(-LN(2)/2))/(LN(2)/2)*CG199*CJ199*VLOOKUP('Données projet'!$B$12,Paramètres!$A$1:$I$89,3,0)*0.475*44/12</f>
        <v>5.3616806883606871E-25</v>
      </c>
      <c r="CN199" s="24">
        <f t="shared" si="172"/>
        <v>0.15119882417837843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349.46033149388688</v>
      </c>
      <c r="T200" s="62">
        <f t="shared" si="204"/>
        <v>405.30585610371702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2.058057161616803E-24</v>
      </c>
      <c r="AC200" s="24">
        <f t="shared" si="163"/>
        <v>2.058057161616803E-24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289.94963088302325</v>
      </c>
      <c r="AO200" s="62">
        <f t="shared" si="205"/>
        <v>242.84781402593839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290.41603252229078</v>
      </c>
      <c r="BI200" s="62">
        <f ca="1">AVERAGE(OFFSET($BH$3,0,0,'Données projet'!$E$11+1,1))-AVERAGE(OFFSET($H$3,0,0,'Données projet'!$E$11+1,1))</f>
        <v>189.09998601768521</v>
      </c>
      <c r="BJ200" s="62">
        <f t="shared" si="206"/>
        <v>458.38901659119472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-5.1431925385259088E-14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376.68007030857598</v>
      </c>
      <c r="CE200" s="62">
        <f t="shared" si="207"/>
        <v>532.90758914457626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0.1225843051601455</v>
      </c>
      <c r="CL200" s="23">
        <f>EXP(-LN(2)/25)*CL199+(1-EXP(-LN(2)/25))/(LN(2)/25)*Calculateur!CG200*Calculateur!CI200*VLOOKUP('Données projet'!$B$12,Paramètres!$A$1:$I$89,3,0)*0.475*44/12</f>
        <v>2.5447216978244938E-2</v>
      </c>
      <c r="CM200" s="23">
        <f>EXP(-LN(2)/2)*CM199+(1-EXP(-LN(2)/2))/(LN(2)/2)*CG200*CJ200*VLOOKUP('Données projet'!$B$12,Paramètres!$A$1:$I$89,3,0)*0.475*44/12</f>
        <v>3.7912807732967979E-25</v>
      </c>
      <c r="CN200" s="24">
        <f t="shared" si="172"/>
        <v>0.14803152213839044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349.46033149388688</v>
      </c>
      <c r="T201" s="62">
        <f t="shared" si="204"/>
        <v>405.30585610371702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1.4552661750487798E-24</v>
      </c>
      <c r="AC201" s="24">
        <f t="shared" si="163"/>
        <v>1.4552661750487798E-24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289.94963088302325</v>
      </c>
      <c r="AO201" s="62">
        <f t="shared" si="205"/>
        <v>242.84781402593839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290.4666411692549</v>
      </c>
      <c r="BI201" s="62">
        <f ca="1">AVERAGE(OFFSET($BH$3,0,0,'Données projet'!$E$11+1,1))-AVERAGE(OFFSET($H$3,0,0,'Données projet'!$E$11+1,1))</f>
        <v>189.09998601768521</v>
      </c>
      <c r="BJ201" s="62">
        <f t="shared" si="206"/>
        <v>458.38901659119472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-5.1431925385259088E-14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376.68007030857598</v>
      </c>
      <c r="CE201" s="62">
        <f t="shared" si="207"/>
        <v>532.90758914457626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0.12018050170499836</v>
      </c>
      <c r="CL201" s="23">
        <f>EXP(-LN(2)/25)*CL200+(1-EXP(-LN(2)/25))/(LN(2)/25)*Calculateur!CG201*Calculateur!CI201*VLOOKUP('Données projet'!$B$12,Paramètres!$A$1:$I$89,3,0)*0.475*44/12</f>
        <v>2.4751361491763851E-2</v>
      </c>
      <c r="CM201" s="23">
        <f>EXP(-LN(2)/2)*CM200+(1-EXP(-LN(2)/2))/(LN(2)/2)*CG201*CJ201*VLOOKUP('Données projet'!$B$12,Paramètres!$A$1:$I$89,3,0)*0.475*44/12</f>
        <v>2.6808403441803436E-25</v>
      </c>
      <c r="CN201" s="24">
        <f t="shared" si="172"/>
        <v>0.14493186319676221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349.46033149388688</v>
      </c>
      <c r="T202" s="62">
        <f t="shared" si="204"/>
        <v>405.30585610371702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1.0290285808084015E-24</v>
      </c>
      <c r="AC202" s="24">
        <f t="shared" si="163"/>
        <v>1.0290285808084015E-24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289.94963088302325</v>
      </c>
      <c r="AO202" s="62">
        <f t="shared" si="205"/>
        <v>242.84781402593839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290.51637186933812</v>
      </c>
      <c r="BI202" s="62">
        <f ca="1">AVERAGE(OFFSET($BH$3,0,0,'Données projet'!$E$11+1,1))-AVERAGE(OFFSET($H$3,0,0,'Données projet'!$E$11+1,1))</f>
        <v>189.09998601768521</v>
      </c>
      <c r="BJ202" s="62">
        <f t="shared" si="206"/>
        <v>458.38901659119472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-5.1431925385259088E-14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376.68007030857598</v>
      </c>
      <c r="CE202" s="62">
        <f t="shared" si="207"/>
        <v>532.90758914457626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0.11782383536943132</v>
      </c>
      <c r="CL202" s="23">
        <f>EXP(-LN(2)/25)*CL201+(1-EXP(-LN(2)/25))/(LN(2)/25)*Calculateur!CG202*Calculateur!CI202*VLOOKUP('Données projet'!$B$12,Paramètres!$A$1:$I$89,3,0)*0.475*44/12</f>
        <v>2.4074534210154038E-2</v>
      </c>
      <c r="CM202" s="23">
        <f>EXP(-LN(2)/2)*CM201+(1-EXP(-LN(2)/2))/(LN(2)/2)*CG202*CJ202*VLOOKUP('Données projet'!$B$12,Paramètres!$A$1:$I$89,3,0)*0.475*44/12</f>
        <v>1.895640386648399E-25</v>
      </c>
      <c r="CN202" s="24">
        <f t="shared" si="172"/>
        <v>0.14189836957958535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349.46033149388688</v>
      </c>
      <c r="T203" s="62">
        <f t="shared" si="204"/>
        <v>405.30585610371702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7.2763308752438992E-25</v>
      </c>
      <c r="AC203" s="24">
        <f t="shared" si="163"/>
        <v>7.2763308752438992E-25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289.94963088302325</v>
      </c>
      <c r="AO203" s="62">
        <f t="shared" si="205"/>
        <v>242.84781402593839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290.5652398529561</v>
      </c>
      <c r="BI203" s="62">
        <f ca="1">AVERAGE(OFFSET($BH$3,0,0,'Données projet'!$E$11+1,1))-AVERAGE(OFFSET($H$3,0,0,'Données projet'!$E$11+1,1))</f>
        <v>189.09998601768521</v>
      </c>
      <c r="BJ203" s="62">
        <f t="shared" si="206"/>
        <v>458.38901659119472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-5.1431925385259088E-14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376.68007030857598</v>
      </c>
      <c r="CE203" s="62">
        <f t="shared" si="207"/>
        <v>532.90758914457626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0.11551338182328022</v>
      </c>
      <c r="CL203" s="23">
        <f>EXP(-LN(2)/25)*CL202+(1-EXP(-LN(2)/25))/(LN(2)/25)*Calculateur!CG203*Calculateur!CI203*VLOOKUP('Données projet'!$B$12,Paramètres!$A$1:$I$89,3,0)*0.475*44/12</f>
        <v>2.3416214806152646E-2</v>
      </c>
      <c r="CM203" s="23">
        <f>EXP(-LN(2)/2)*CM202+(1-EXP(-LN(2)/2))/(LN(2)/2)*CG203*CJ203*VLOOKUP('Données projet'!$B$12,Paramètres!$A$1:$I$89,3,0)*0.475*44/12</f>
        <v>1.3404201720901718E-25</v>
      </c>
      <c r="CN203" s="24">
        <f t="shared" si="172"/>
        <v>0.13892959662943286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1.2370441695353693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1.2693871579679339</v>
      </c>
      <c r="BA205" s="88">
        <f>EXP(LN('Données projet'!B88)/'Données projet'!A88)</f>
        <v>1.4749438547769935</v>
      </c>
      <c r="BV205" s="88">
        <f>EXP(LN('Données projet'!B114)/'Données projet'!A114)</f>
        <v>2.0243974584998852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X3" sqref="X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2.0880000000000001</v>
      </c>
      <c r="C6" s="156">
        <f ca="1">IF(OR('Données projet'!B9="",'Données projet'!C9="",'Données projet'!C9=0%),0,Calculateur!S3)</f>
        <v>349.46033149388688</v>
      </c>
      <c r="D6" s="156">
        <f>IF(OR('Données projet'!B9="",'Données projet'!C9="",'Données projet'!C9=0%),0,Calculateur!T3)</f>
        <v>405.30585610371702</v>
      </c>
      <c r="E6" s="156">
        <f ca="1">MIN(C6,D6)</f>
        <v>349.46033149388688</v>
      </c>
      <c r="F6" s="156">
        <f ca="1">E6*B6</f>
        <v>729.67317215923583</v>
      </c>
      <c r="G6" s="156">
        <f ca="1">F6*(100%-'Données projet'!$C$24)*(100%-'Données projet'!$C$25)*(100%-'Données projet'!$C$26)*(100%-'Données projet'!$C$27)</f>
        <v>656.70585494331226</v>
      </c>
      <c r="H6" s="157">
        <f>IF(OR('Données projet'!B9="",'Données projet'!C9="",'Données projet'!C9=0%),0,AVERAGE(Calculateur!$AC$3:$AC$33)*B6)</f>
        <v>3.5734287764363</v>
      </c>
      <c r="I6" s="158">
        <f>H6*(100%-'Données projet'!$C$24)*(100%-'Données projet'!$C$25)*(100%-'Données projet'!$C$26)*(100%-'Données projet'!$C$27)</f>
        <v>3.2160858987926702</v>
      </c>
      <c r="J6" s="159">
        <f>IF(OR('Données projet'!B9="",'Données projet'!C9="",'Données projet'!C9=0%),0,SUM(Calculateur!$V$3:$V$33)*VLOOKUP('Données projet'!$B$9,Paramètres!$A$1:$I$89,9,0)*B6)</f>
        <v>50.279039999999995</v>
      </c>
      <c r="K6" s="160">
        <f>J6*(100%-'Données projet'!$C$24)*(100%-'Données projet'!$C$25)*(100%-'Données projet'!$C$26)*(100%-'Données projet'!$C$27)</f>
        <v>45.251135999999995</v>
      </c>
      <c r="L6" s="161">
        <f ca="1">G6+I6+K6</f>
        <v>705.17307684210493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4.8285</v>
      </c>
      <c r="C7" s="156">
        <f ca="1">IF(OR('Données projet'!B10="",'Données projet'!C10="",'Données projet'!C10=0%),0,Calculateur!AN3)</f>
        <v>289.94963088302325</v>
      </c>
      <c r="D7" s="156">
        <f>IF(OR('Données projet'!B10="",'Données projet'!C10="",'Données projet'!C10=0%),0,Calculateur!AO3)</f>
        <v>242.84781402593839</v>
      </c>
      <c r="E7" s="156">
        <f t="shared" ref="E7:E15" ca="1" si="0">MIN(C7,D7)</f>
        <v>242.84781402593839</v>
      </c>
      <c r="F7" s="156">
        <f t="shared" ref="F7:F15" ca="1" si="1">E7*B7</f>
        <v>1172.5906700242435</v>
      </c>
      <c r="G7" s="156">
        <f ca="1">F7*(100%-'Données projet'!$C$24)*(100%-'Données projet'!$C$25)*(100%-'Données projet'!$C$26)*(100%-'Données projet'!$C$27)</f>
        <v>1055.3316030218193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1055.3316030218193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1.1745000000000001</v>
      </c>
      <c r="C8" s="156">
        <f ca="1">IF(OR('Données projet'!B11="",'Données projet'!C11="",'Données projet'!C11=0%),0,Calculateur!BI3)</f>
        <v>189.09998601768521</v>
      </c>
      <c r="D8" s="156">
        <f>IF(OR('Données projet'!B11="",'Données projet'!C11="",'Données projet'!C11=0%),0,Calculateur!BJ3)</f>
        <v>458.38901659119472</v>
      </c>
      <c r="E8" s="156">
        <f t="shared" ca="1" si="0"/>
        <v>189.09998601768521</v>
      </c>
      <c r="F8" s="156">
        <f t="shared" ca="1" si="1"/>
        <v>222.0979335777713</v>
      </c>
      <c r="G8" s="156">
        <f ca="1">F8*(100%-'Données projet'!$C$24)*(100%-'Données projet'!$C$25)*(100%-'Données projet'!$C$26)*(100%-'Données projet'!$C$27)</f>
        <v>199.88814021999417</v>
      </c>
      <c r="H8" s="164">
        <f>IF(OR('Données projet'!B11="",'Données projet'!C11="",'Données projet'!C11=0%),0,AVERAGE(Calculateur!$BS$3:$BS$33)*B8)</f>
        <v>17.656350062751329</v>
      </c>
      <c r="I8" s="158">
        <f>H8*(100%-'Données projet'!$C$24)*(100%-'Données projet'!$C$25)*(100%-'Données projet'!$C$26)*(100%-'Données projet'!$C$27)</f>
        <v>15.890715056476196</v>
      </c>
      <c r="J8" s="159">
        <f>IF(OR('Données projet'!B11="",'Données projet'!C11="",'Données projet'!C11=0%),0,SUM(Calculateur!$BL$3:$BL$33)*VLOOKUP('Données projet'!$B$11,Paramètres!$A$1:$I$89,9,0)*B8)</f>
        <v>306.28611000000001</v>
      </c>
      <c r="K8" s="160">
        <f>J8*(100%-'Données projet'!$C$24)*(100%-'Données projet'!$C$25)*(100%-'Données projet'!$C$26)*(100%-'Données projet'!$C$27)</f>
        <v>275.65749900000003</v>
      </c>
      <c r="L8" s="161">
        <f t="shared" ca="1" si="2"/>
        <v>491.43635427647041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Robinier faux-acacia</v>
      </c>
      <c r="B9" s="163">
        <f>'Données projet'!D12</f>
        <v>4.9590000000000005</v>
      </c>
      <c r="C9" s="156">
        <f ca="1">IF(OR('Données projet'!B12="",'Données projet'!C12="",'Données projet'!C12=0%),0,Calculateur!CD3)</f>
        <v>376.68007030857598</v>
      </c>
      <c r="D9" s="156">
        <f>IF(OR('Données projet'!B12="",'Données projet'!C12="",'Données projet'!C12=0%),0,Calculateur!CE3)</f>
        <v>532.90758914457626</v>
      </c>
      <c r="E9" s="156">
        <f t="shared" ca="1" si="0"/>
        <v>376.68007030857598</v>
      </c>
      <c r="F9" s="156">
        <f t="shared" ca="1" si="1"/>
        <v>1867.9564686602284</v>
      </c>
      <c r="G9" s="156">
        <f ca="1">F9*(100%-'Données projet'!$C$24)*(100%-'Données projet'!$C$25)*(100%-'Données projet'!$C$26)*(100%-'Données projet'!$C$27)</f>
        <v>1681.1608217942057</v>
      </c>
      <c r="H9" s="164">
        <f>IF(OR('Données projet'!B12="",'Données projet'!C12="",'Données projet'!C12=0%),0,AVERAGE(Calculateur!$CN$3:$CN$33)*B9)</f>
        <v>40.511555325636792</v>
      </c>
      <c r="I9" s="158">
        <f>H9*(100%-'Données projet'!$C$24)*(100%-'Données projet'!$C$25)*(100%-'Données projet'!$C$26)*(100%-'Données projet'!$C$27)</f>
        <v>36.460399793073115</v>
      </c>
      <c r="J9" s="159">
        <f>IF(OR('Données projet'!B12="",'Données projet'!C12="",'Données projet'!C12=0%),0,SUM(Calculateur!$CG$3:$CG$33)*VLOOKUP('Données projet'!$B$12,Paramètres!$A$1:$I$89,9,0)*B9)</f>
        <v>123.97500000000001</v>
      </c>
      <c r="K9" s="160">
        <f>J9*(100%-'Données projet'!$C$24)*(100%-'Données projet'!$C$25)*(100%-'Données projet'!$C$26)*(100%-'Données projet'!$C$27)</f>
        <v>111.57750000000001</v>
      </c>
      <c r="L9" s="161">
        <f t="shared" ca="1" si="2"/>
        <v>1829.1987215872789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3992.3182444214794</v>
      </c>
      <c r="G16" s="175">
        <f t="shared" ca="1" si="3"/>
        <v>3593.0864199793314</v>
      </c>
      <c r="H16" s="176">
        <f t="shared" si="3"/>
        <v>61.741334164824423</v>
      </c>
      <c r="I16" s="176">
        <f t="shared" si="3"/>
        <v>55.567200748341982</v>
      </c>
      <c r="J16" s="177">
        <f t="shared" si="3"/>
        <v>480.54015000000004</v>
      </c>
      <c r="K16" s="177">
        <f t="shared" si="3"/>
        <v>432.48613499999999</v>
      </c>
      <c r="L16" s="178">
        <f t="shared" ca="1" si="3"/>
        <v>4081.1397557276732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Robinier faux-acacia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7" zoomScale="80" zoomScaleNormal="80" workbookViewId="0">
      <selection activeCell="I39" sqref="I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1466.7945177600686</v>
      </c>
      <c r="U10" s="190">
        <f>'Données projet'!D9</f>
        <v>2.0880000000000001</v>
      </c>
      <c r="V10" s="189">
        <f>U10*T10</f>
        <v>3062.6669530830236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400.32028293951817</v>
      </c>
      <c r="U11" s="190">
        <f>'Données projet'!D10</f>
        <v>4.8285</v>
      </c>
      <c r="V11" s="189">
        <f t="shared" ref="V11" si="0">U11*T11</f>
        <v>1932.9464861734634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2248.2289087810705</v>
      </c>
      <c r="U12" s="190">
        <f>'Données projet'!D11</f>
        <v>1.1745000000000001</v>
      </c>
      <c r="V12" s="189">
        <f t="shared" ref="V12:V19" si="1">U12*T12</f>
        <v>2640.5448533633676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Robinier faux-acacia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1340.2984828452804</v>
      </c>
      <c r="U13" s="190">
        <f>'Données projet'!D12</f>
        <v>4.9590000000000005</v>
      </c>
      <c r="V13" s="189">
        <f t="shared" si="1"/>
        <v>6646.5401764297467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3699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574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14</v>
      </c>
      <c r="C23" s="206">
        <v>9</v>
      </c>
      <c r="D23" s="194">
        <f>B23*C23</f>
        <v>126</v>
      </c>
      <c r="E23" s="206"/>
      <c r="F23" s="261"/>
      <c r="H23" s="203">
        <v>3</v>
      </c>
      <c r="I23" s="204">
        <v>386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-66825.7113230424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42</v>
      </c>
      <c r="C24" s="206">
        <v>12.3</v>
      </c>
      <c r="D24" s="194">
        <f t="shared" ref="D24:D42" si="2">B24*C24</f>
        <v>516.6</v>
      </c>
      <c r="E24" s="206"/>
      <c r="F24" s="264"/>
      <c r="H24" s="203">
        <v>4</v>
      </c>
      <c r="I24" s="204">
        <v>574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49</v>
      </c>
      <c r="C25" s="206">
        <v>13</v>
      </c>
      <c r="D25" s="194">
        <f t="shared" si="2"/>
        <v>637</v>
      </c>
      <c r="E25" s="206"/>
      <c r="F25" s="264"/>
      <c r="G25" s="1"/>
      <c r="H25" s="203">
        <v>5</v>
      </c>
      <c r="I25" s="204">
        <v>386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-66825.7113230424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58</v>
      </c>
      <c r="C26" s="206">
        <v>15</v>
      </c>
      <c r="D26" s="194">
        <f t="shared" si="2"/>
        <v>870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57</v>
      </c>
      <c r="C27" s="206">
        <v>16</v>
      </c>
      <c r="D27" s="194">
        <f t="shared" si="2"/>
        <v>912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42</v>
      </c>
      <c r="C28" s="206">
        <v>17</v>
      </c>
      <c r="D28" s="194">
        <f t="shared" si="2"/>
        <v>714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37</v>
      </c>
      <c r="C29" s="206">
        <v>18</v>
      </c>
      <c r="D29" s="194">
        <f t="shared" si="2"/>
        <v>666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544</v>
      </c>
      <c r="C30" s="206">
        <v>19</v>
      </c>
      <c r="D30" s="194">
        <f t="shared" si="2"/>
        <v>10336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04">
        <v>12</v>
      </c>
      <c r="D56" s="191">
        <f t="shared" si="4"/>
        <v>756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04">
        <v>15</v>
      </c>
      <c r="D58" s="191">
        <f t="shared" si="4"/>
        <v>1005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04">
        <v>16</v>
      </c>
      <c r="D59" s="191">
        <f t="shared" si="4"/>
        <v>1104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04">
        <v>17</v>
      </c>
      <c r="D60" s="191">
        <f t="shared" si="4"/>
        <v>1207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04">
        <v>18</v>
      </c>
      <c r="D61" s="191">
        <f t="shared" si="4"/>
        <v>1314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04">
        <v>19</v>
      </c>
      <c r="D62" s="191">
        <f t="shared" si="4"/>
        <v>7125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34</v>
      </c>
      <c r="C85" s="204">
        <v>9</v>
      </c>
      <c r="D85" s="191">
        <f>B85*C85</f>
        <v>306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17</v>
      </c>
      <c r="B86" s="193">
        <f>'Données projet'!D89</f>
        <v>43</v>
      </c>
      <c r="C86" s="204">
        <v>11</v>
      </c>
      <c r="D86" s="191">
        <f t="shared" ref="D86:D104" si="6">B86*C86</f>
        <v>473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22</v>
      </c>
      <c r="B87" s="193">
        <f>'Données projet'!D90</f>
        <v>56</v>
      </c>
      <c r="C87" s="204">
        <v>13</v>
      </c>
      <c r="D87" s="191">
        <f t="shared" si="6"/>
        <v>728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309</v>
      </c>
      <c r="C88" s="204">
        <v>19</v>
      </c>
      <c r="D88" s="191">
        <f t="shared" si="6"/>
        <v>5871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Robinier faux-acacia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5</v>
      </c>
      <c r="B116" s="193">
        <f>'Données projet'!D114</f>
        <v>6</v>
      </c>
      <c r="C116" s="204">
        <v>8</v>
      </c>
      <c r="D116" s="191">
        <f>B116*C116</f>
        <v>48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10</v>
      </c>
      <c r="B117" s="193">
        <f>'Données projet'!D115</f>
        <v>28</v>
      </c>
      <c r="C117" s="204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15</v>
      </c>
      <c r="B118" s="193">
        <f>'Données projet'!D116</f>
        <v>23</v>
      </c>
      <c r="C118" s="204">
        <v>8</v>
      </c>
      <c r="D118" s="191">
        <f t="shared" si="8"/>
        <v>184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20</v>
      </c>
      <c r="B119" s="193">
        <f>'Données projet'!D117</f>
        <v>18</v>
      </c>
      <c r="C119" s="204">
        <v>8</v>
      </c>
      <c r="D119" s="191">
        <f t="shared" si="8"/>
        <v>144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25</v>
      </c>
      <c r="B120" s="193">
        <f>'Données projet'!D118</f>
        <v>14</v>
      </c>
      <c r="C120" s="204">
        <v>13</v>
      </c>
      <c r="D120" s="191">
        <f t="shared" si="8"/>
        <v>182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30</v>
      </c>
      <c r="B121" s="193">
        <f>'Données projet'!D119</f>
        <v>11</v>
      </c>
      <c r="C121" s="204">
        <v>13</v>
      </c>
      <c r="D121" s="191">
        <f t="shared" si="8"/>
        <v>143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35</v>
      </c>
      <c r="B122" s="193">
        <f>'Données projet'!D120</f>
        <v>9</v>
      </c>
      <c r="C122" s="204">
        <v>13</v>
      </c>
      <c r="D122" s="191">
        <f t="shared" si="8"/>
        <v>117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40</v>
      </c>
      <c r="B123" s="193">
        <f>'Données projet'!D121</f>
        <v>7</v>
      </c>
      <c r="C123" s="204">
        <v>15</v>
      </c>
      <c r="D123" s="191">
        <f t="shared" si="8"/>
        <v>105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45</v>
      </c>
      <c r="B124" s="193">
        <f>'Données projet'!D122</f>
        <v>312</v>
      </c>
      <c r="C124" s="204">
        <v>20</v>
      </c>
      <c r="D124" s="191">
        <f t="shared" si="8"/>
        <v>6240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2022-09-02T07:55:36Z</dcterms:modified>
</cp:coreProperties>
</file>