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Forestarn\SOREZE (81) - DE LEOTOING\Document fin\"/>
    </mc:Choice>
  </mc:AlternateContent>
  <xr:revisionPtr revIDLastSave="0" documentId="13_ncr:1_{EAFD4AFC-F35B-4A89-81FF-1023A37696F4}" xr6:coauthVersionLast="36" xr6:coauthVersionMax="36" xr10:uidLastSave="{00000000-0000-0000-0000-000000000000}"/>
  <bookViews>
    <workbookView xWindow="0" yWindow="0" windowWidth="23040" windowHeight="939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GL4" i="2"/>
  <c r="FQ4" i="2"/>
  <c r="FR4" i="2"/>
  <c r="EC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EC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H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EC28" i="2"/>
  <c r="EB28" i="2"/>
  <c r="HI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FS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X63" i="2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V64" i="2"/>
  <c r="EA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W70" i="2"/>
  <c r="HI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HI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HH105" i="2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X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B112" i="2"/>
  <c r="HI112" i="2"/>
  <c r="FQ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X113" i="2"/>
  <c r="EC113" i="2"/>
  <c r="FS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HH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HH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G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EX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HI130" i="2"/>
  <c r="EB130" i="2"/>
  <c r="EX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HG140" i="2"/>
  <c r="FR140" i="2"/>
  <c r="HH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H144" i="2" l="1"/>
  <c r="FR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HH146" i="2"/>
  <c r="HG146" i="2"/>
  <c r="FS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C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EX154" i="2"/>
  <c r="AA154" i="2"/>
  <c r="EV154" i="2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FS156" i="2"/>
  <c r="EB156" i="2"/>
  <c r="DH156" i="2"/>
  <c r="EX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B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DG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EA161" i="2"/>
  <c r="EB161" i="2"/>
  <c r="AB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FR164" i="2" l="1"/>
  <c r="HH164" i="2"/>
  <c r="HG164" i="2"/>
  <c r="EV164" i="2"/>
  <c r="EA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HI167" i="2"/>
  <c r="FR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EW168" i="2"/>
  <c r="EV168" i="2"/>
  <c r="HH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A175" i="2" l="1"/>
  <c r="EW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HI179" i="2" l="1"/>
  <c r="EV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HI185" i="2" l="1"/>
  <c r="EB185" i="2"/>
  <c r="EW185" i="2"/>
  <c r="HG185" i="2"/>
  <c r="HH185" i="2"/>
  <c r="EA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B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H190" i="2" l="1"/>
  <c r="EB190" i="2"/>
  <c r="EW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W192" i="2"/>
  <c r="EC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EA194" i="2" l="1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I195" i="2" l="1"/>
  <c r="AA195" i="2"/>
  <c r="DH195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FS199" i="2"/>
  <c r="EW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FS201" i="2" l="1"/>
  <c r="EB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Y201" i="2"/>
  <c r="FS202" i="2" l="1"/>
  <c r="FR202" i="2"/>
  <c r="FZ6" i="2"/>
  <c r="HI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18" i="2" a="1"/>
  <c r="FY18" i="2" s="1"/>
  <c r="FY186" i="2" a="1"/>
  <c r="FY186" i="2" s="1"/>
  <c r="FY55" i="2" a="1"/>
  <c r="FY55" i="2" s="1"/>
  <c r="FY104" i="2" a="1"/>
  <c r="FY104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182" i="2" a="1"/>
  <c r="FY182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AH151" i="2" l="1" a="1"/>
  <c r="AH151" i="2" s="1"/>
  <c r="AH163" i="2" a="1"/>
  <c r="AH163" i="2" s="1"/>
  <c r="AH62" i="2" a="1"/>
  <c r="AH62" i="2" s="1"/>
  <c r="AH199" i="2" a="1"/>
  <c r="AH199" i="2" s="1"/>
  <c r="AH166" i="2" a="1"/>
  <c r="AH166" i="2" s="1"/>
  <c r="AH19" i="2" a="1"/>
  <c r="AH19" i="2" s="1"/>
  <c r="AH90" i="2" a="1"/>
  <c r="AH90" i="2" s="1"/>
  <c r="AH92" i="2" a="1"/>
  <c r="AH92" i="2" s="1"/>
  <c r="FY126" i="2" a="1"/>
  <c r="FY126" i="2" s="1"/>
  <c r="FY86" i="2" a="1"/>
  <c r="FY86" i="2" s="1"/>
  <c r="FY143" i="2" a="1"/>
  <c r="FY143" i="2" s="1"/>
  <c r="FY121" i="2" a="1"/>
  <c r="FY121" i="2" s="1"/>
  <c r="FY24" i="2" a="1"/>
  <c r="FY24" i="2" s="1"/>
  <c r="FY78" i="2" a="1"/>
  <c r="FY78" i="2" s="1"/>
  <c r="FY191" i="2" a="1"/>
  <c r="FY191" i="2" s="1"/>
  <c r="FY35" i="2" a="1"/>
  <c r="FY35" i="2" s="1"/>
  <c r="FY140" i="2" a="1"/>
  <c r="FY140" i="2" s="1"/>
  <c r="FY28" i="2" a="1"/>
  <c r="FY28" i="2" s="1"/>
  <c r="FY167" i="2" a="1"/>
  <c r="FY167" i="2" s="1"/>
  <c r="FY124" i="2" a="1"/>
  <c r="FY124" i="2" s="1"/>
  <c r="FY174" i="2" a="1"/>
  <c r="FY174" i="2" s="1"/>
  <c r="FY110" i="2" a="1"/>
  <c r="FY110" i="2" s="1"/>
  <c r="FY165" i="2" a="1"/>
  <c r="FY165" i="2" s="1"/>
  <c r="FY34" i="2" a="1"/>
  <c r="FY34" i="2" s="1"/>
  <c r="FY188" i="2" a="1"/>
  <c r="FY188" i="2" s="1"/>
  <c r="FY47" i="2" a="1"/>
  <c r="FY47" i="2" s="1"/>
  <c r="FY142" i="2" a="1"/>
  <c r="FY142" i="2" s="1"/>
  <c r="FY169" i="2" a="1"/>
  <c r="FY169" i="2" s="1"/>
  <c r="FY99" i="2" a="1"/>
  <c r="FY99" i="2" s="1"/>
  <c r="FY153" i="2" a="1"/>
  <c r="FY153" i="2" s="1"/>
  <c r="FY146" i="2" a="1"/>
  <c r="FY146" i="2" s="1"/>
  <c r="FY173" i="2" a="1"/>
  <c r="FY173" i="2" s="1"/>
  <c r="FY79" i="2" a="1"/>
  <c r="FY79" i="2" s="1"/>
  <c r="FY58" i="2" a="1"/>
  <c r="FY58" i="2" s="1"/>
  <c r="BX107" i="2" a="1"/>
  <c r="BX107" i="2" s="1"/>
  <c r="FY80" i="2" a="1"/>
  <c r="FY80" i="2" s="1"/>
  <c r="FY62" i="2" a="1"/>
  <c r="FY62" i="2" s="1"/>
  <c r="FY116" i="2" a="1"/>
  <c r="FY116" i="2" s="1"/>
  <c r="FY102" i="2" a="1"/>
  <c r="FY102" i="2" s="1"/>
  <c r="FY32" i="2" a="1"/>
  <c r="FY32" i="2" s="1"/>
  <c r="FS203" i="2"/>
  <c r="FY115" i="2" a="1"/>
  <c r="FY115" i="2" s="1"/>
  <c r="FY133" i="2" a="1"/>
  <c r="FY133" i="2" s="1"/>
  <c r="FY164" i="2" a="1"/>
  <c r="FY164" i="2" s="1"/>
  <c r="FY149" i="2" a="1"/>
  <c r="FY149" i="2" s="1"/>
  <c r="FY30" i="2" a="1"/>
  <c r="FY30" i="2" s="1"/>
  <c r="FY190" i="2" a="1"/>
  <c r="FY190" i="2" s="1"/>
  <c r="FY92" i="2" a="1"/>
  <c r="FY92" i="2" s="1"/>
  <c r="FY69" i="2" a="1"/>
  <c r="FY69" i="2" s="1"/>
  <c r="FY22" i="2" a="1"/>
  <c r="FY22" i="2" s="1"/>
  <c r="FY29" i="2" a="1"/>
  <c r="FY29" i="2" s="1"/>
  <c r="FY42" i="2" a="1"/>
  <c r="FY42" i="2" s="1"/>
  <c r="FY72" i="2" a="1"/>
  <c r="FY72" i="2" s="1"/>
  <c r="FY111" i="2" a="1"/>
  <c r="FY111" i="2" s="1"/>
  <c r="FY66" i="2" a="1"/>
  <c r="FY66" i="2" s="1"/>
  <c r="FY90" i="2" a="1"/>
  <c r="FY90" i="2" s="1"/>
  <c r="FY159" i="2" a="1"/>
  <c r="FY159" i="2" s="1"/>
  <c r="FY196" i="2" a="1"/>
  <c r="FY196" i="2" s="1"/>
  <c r="FY73" i="2" a="1"/>
  <c r="FY73" i="2" s="1"/>
  <c r="FY120" i="2" a="1"/>
  <c r="FY120" i="2" s="1"/>
  <c r="FY57" i="2" a="1"/>
  <c r="FY57" i="2" s="1"/>
  <c r="FY109" i="2" a="1"/>
  <c r="FY109" i="2" s="1"/>
  <c r="FY82" i="2" a="1"/>
  <c r="FY82" i="2" s="1"/>
  <c r="FY172" i="2" a="1"/>
  <c r="FY172" i="2" s="1"/>
  <c r="FY178" i="2" a="1"/>
  <c r="FY178" i="2" s="1"/>
  <c r="FY152" i="2" a="1"/>
  <c r="FY152" i="2" s="1"/>
  <c r="FY71" i="2" a="1"/>
  <c r="FY71" i="2" s="1"/>
  <c r="FY54" i="2" a="1"/>
  <c r="FY54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<sst xmlns="http://schemas.openxmlformats.org/spreadsheetml/2006/main" count="1171" uniqueCount="324">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</sst>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174.09395685591758</c:v>
                </c:pt>
                <c:pt idx="22">
                  <c:v>183.42535972935536</c:v>
                </c:pt>
                <c:pt idx="23">
                  <c:v>192.7456664489298</c:v>
                </c:pt>
                <c:pt idx="24">
                  <c:v>202.05548980820535</c:v>
                </c:pt>
                <c:pt idx="25">
                  <c:v>211.35538144796087</c:v>
                </c:pt>
                <c:pt idx="26">
                  <c:v>220.64584044043249</c:v>
                </c:pt>
                <c:pt idx="27">
                  <c:v>229.92732035004965</c:v>
                </c:pt>
                <c:pt idx="28">
                  <c:v>239.20023509293392</c:v>
                </c:pt>
                <c:pt idx="29">
                  <c:v>248.46496383915073</c:v>
                </c:pt>
                <c:pt idx="30">
                  <c:v>257.72185514470976</c:v>
                </c:pt>
                <c:pt idx="31">
                  <c:v>267.77517870928619</c:v>
                </c:pt>
                <c:pt idx="32">
                  <c:v>277.82000253977026</c:v>
                </c:pt>
                <c:pt idx="33">
                  <c:v>287.85667749117096</c:v>
                </c:pt>
                <c:pt idx="34">
                  <c:v>297.8855279367562</c:v>
                </c:pt>
                <c:pt idx="35">
                  <c:v>307.90685461043853</c:v>
                </c:pt>
                <c:pt idx="36">
                  <c:v>317.92093705953039</c:v>
                </c:pt>
                <c:pt idx="37">
                  <c:v>327.9280357721243</c:v>
                </c:pt>
                <c:pt idx="38">
                  <c:v>337.92839403108059</c:v>
                </c:pt>
                <c:pt idx="39">
                  <c:v>347.92223953697516</c:v>
                </c:pt>
                <c:pt idx="40">
                  <c:v>357.90978583474572</c:v>
                </c:pt>
                <c:pt idx="41">
                  <c:v>281.33374857482306</c:v>
                </c:pt>
                <c:pt idx="42">
                  <c:v>292.87206145774769</c:v>
                </c:pt>
                <c:pt idx="43">
                  <c:v>304.4002281922775</c:v>
                </c:pt>
                <c:pt idx="44">
                  <c:v>315.91868734548348</c:v>
                </c:pt>
                <c:pt idx="45">
                  <c:v>327.42784287888759</c:v>
                </c:pt>
                <c:pt idx="46">
                  <c:v>338.92806802551439</c:v>
                </c:pt>
                <c:pt idx="47">
                  <c:v>350.41970861300121</c:v>
                </c:pt>
                <c:pt idx="48">
                  <c:v>361.90308592785351</c:v>
                </c:pt>
                <c:pt idx="49">
                  <c:v>373.37849919705508</c:v>
                </c:pt>
                <c:pt idx="50">
                  <c:v>384.84622774857962</c:v>
                </c:pt>
                <c:pt idx="51">
                  <c:v>398.29889002851684</c:v>
                </c:pt>
                <c:pt idx="52">
                  <c:v>411.74171584285909</c:v>
                </c:pt>
                <c:pt idx="53">
                  <c:v>425.17507157110907</c:v>
                </c:pt>
                <c:pt idx="54">
                  <c:v>438.59929855364607</c:v>
                </c:pt>
                <c:pt idx="55">
                  <c:v>452.01471553305851</c:v>
                </c:pt>
                <c:pt idx="56">
                  <c:v>465.4216207905576</c:v>
                </c:pt>
                <c:pt idx="57">
                  <c:v>478.82029402342147</c:v>
                </c:pt>
                <c:pt idx="58">
                  <c:v>492.21099800137659</c:v>
                </c:pt>
                <c:pt idx="59">
                  <c:v>505.59398003337168</c:v>
                </c:pt>
                <c:pt idx="60">
                  <c:v>518.96947327099531</c:v>
                </c:pt>
                <c:pt idx="61">
                  <c:v>433.13125009429888</c:v>
                </c:pt>
                <c:pt idx="62">
                  <c:v>448.53747345882579</c:v>
                </c:pt>
                <c:pt idx="63">
                  <c:v>463.93237613431779</c:v>
                </c:pt>
                <c:pt idx="64">
                  <c:v>479.31638656594299</c:v>
                </c:pt>
                <c:pt idx="65">
                  <c:v>494.68990346234278</c:v>
                </c:pt>
                <c:pt idx="66">
                  <c:v>510.05329873866975</c:v>
                </c:pt>
                <c:pt idx="67">
                  <c:v>525.40692008667054</c:v>
                </c:pt>
                <c:pt idx="68">
                  <c:v>540.7510932288169</c:v>
                </c:pt>
                <c:pt idx="69">
                  <c:v>556.08612390336521</c:v>
                </c:pt>
                <c:pt idx="70">
                  <c:v>571.41229961914621</c:v>
                </c:pt>
                <c:pt idx="71">
                  <c:v>476.33966710128726</c:v>
                </c:pt>
                <c:pt idx="72">
                  <c:v>493.20259187340275</c:v>
                </c:pt>
                <c:pt idx="73">
                  <c:v>510.05329873866975</c:v>
                </c:pt>
                <c:pt idx="74">
                  <c:v>526.89224796595784</c:v>
                </c:pt>
                <c:pt idx="75">
                  <c:v>543.71986802143499</c:v>
                </c:pt>
                <c:pt idx="76">
                  <c:v>560.53655870248667</c:v>
                </c:pt>
                <c:pt idx="77">
                  <c:v>577.34269387615848</c:v>
                </c:pt>
                <c:pt idx="78">
                  <c:v>594.13862388231712</c:v>
                </c:pt>
                <c:pt idx="79">
                  <c:v>610.92467765108313</c:v>
                </c:pt>
                <c:pt idx="80">
                  <c:v>627.7011645755814</c:v>
                </c:pt>
                <c:pt idx="81">
                  <c:v>522.43599863349357</c:v>
                </c:pt>
                <c:pt idx="82">
                  <c:v>539.76142564164627</c:v>
                </c:pt>
                <c:pt idx="83">
                  <c:v>557.07517366526417</c:v>
                </c:pt>
                <c:pt idx="84">
                  <c:v>574.37765656188185</c:v>
                </c:pt>
                <c:pt idx="85">
                  <c:v>591.66926123844598</c:v>
                </c:pt>
                <c:pt idx="86">
                  <c:v>608.9503501588116</c:v>
                </c:pt>
                <c:pt idx="87">
                  <c:v>626.22126355197076</c:v>
                </c:pt>
                <c:pt idx="88">
                  <c:v>643.48232136416652</c:v>
                </c:pt>
                <c:pt idx="89">
                  <c:v>660.73382499079833</c:v>
                </c:pt>
                <c:pt idx="90">
                  <c:v>677.97605881818208</c:v>
                </c:pt>
                <c:pt idx="91">
                  <c:v>563.00870251947458</c:v>
                </c:pt>
                <c:pt idx="92">
                  <c:v>581.29558299844405</c:v>
                </c:pt>
                <c:pt idx="93">
                  <c:v>599.57047141581245</c:v>
                </c:pt>
                <c:pt idx="94">
                  <c:v>617.83378446799827</c:v>
                </c:pt>
                <c:pt idx="95">
                  <c:v>636.08591222734628</c:v>
                </c:pt>
                <c:pt idx="96">
                  <c:v>654.32722057391766</c:v>
                </c:pt>
                <c:pt idx="97">
                  <c:v>672.55805334220952</c:v>
                </c:pt>
                <c:pt idx="98">
                  <c:v>690.77873422319624</c:v>
                </c:pt>
                <c:pt idx="99">
                  <c:v>708.98956845542261</c:v>
                </c:pt>
                <c:pt idx="100">
                  <c:v>727.19084433347155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900528"/>
        <c:axId val="1927903248"/>
      </c:scatterChart>
      <c:valAx>
        <c:axId val="19279005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3248"/>
        <c:crosses val="autoZero"/>
        <c:crossBetween val="midCat"/>
      </c:valAx>
      <c:valAx>
        <c:axId val="1927903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0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3504"/>
        <c:axId val="27528480"/>
      </c:scatterChart>
      <c:valAx>
        <c:axId val="2755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8480"/>
        <c:crosses val="autoZero"/>
        <c:crossBetween val="midCat"/>
      </c:valAx>
      <c:valAx>
        <c:axId val="2752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1.8807803051454206</c:v>
                </c:pt>
                <c:pt idx="2">
                  <c:v>2.4338659530385267</c:v>
                </c:pt>
                <c:pt idx="3">
                  <c:v>3.1502609350315693</c:v>
                </c:pt>
                <c:pt idx="4">
                  <c:v>4.0783700502110554</c:v>
                </c:pt>
                <c:pt idx="5">
                  <c:v>5.2809964758932972</c:v>
                </c:pt>
                <c:pt idx="6">
                  <c:v>6.839638839379834</c:v>
                </c:pt>
                <c:pt idx="7">
                  <c:v>8.8600746163749324</c:v>
                </c:pt>
                <c:pt idx="8">
                  <c:v>11.479615989208229</c:v>
                </c:pt>
                <c:pt idx="9">
                  <c:v>14.87654050198527</c:v>
                </c:pt>
                <c:pt idx="10">
                  <c:v>19.282350104638549</c:v>
                </c:pt>
                <c:pt idx="11">
                  <c:v>24.997709077867171</c:v>
                </c:pt>
                <c:pt idx="12">
                  <c:v>32.413167678534187</c:v>
                </c:pt>
                <c:pt idx="13">
                  <c:v>42.036112123813787</c:v>
                </c:pt>
                <c:pt idx="14">
                  <c:v>54.525816175645708</c:v>
                </c:pt>
                <c:pt idx="15">
                  <c:v>70.739035632228152</c:v>
                </c:pt>
                <c:pt idx="16">
                  <c:v>91.78932427859479</c:v>
                </c:pt>
                <c:pt idx="17">
                  <c:v>119.12421016556203</c:v>
                </c:pt>
                <c:pt idx="18">
                  <c:v>154.62562208889187</c:v>
                </c:pt>
                <c:pt idx="19">
                  <c:v>200.74058596732007</c:v>
                </c:pt>
                <c:pt idx="20">
                  <c:v>235.51204202766243</c:v>
                </c:pt>
                <c:pt idx="21">
                  <c:v>270.16623181485778</c:v>
                </c:pt>
                <c:pt idx="22">
                  <c:v>304.72031452947482</c:v>
                </c:pt>
                <c:pt idx="23">
                  <c:v>339.1872321624985</c:v>
                </c:pt>
                <c:pt idx="24">
                  <c:v>373.57707921130037</c:v>
                </c:pt>
                <c:pt idx="25">
                  <c:v>407.89793949468162</c:v>
                </c:pt>
                <c:pt idx="26">
                  <c:v>376.9525885389333</c:v>
                </c:pt>
                <c:pt idx="27">
                  <c:v>410.27619508431599</c:v>
                </c:pt>
                <c:pt idx="28">
                  <c:v>443.54137638245015</c:v>
                </c:pt>
                <c:pt idx="29">
                  <c:v>476.75312396624321</c:v>
                </c:pt>
                <c:pt idx="30">
                  <c:v>509.91567780631357</c:v>
                </c:pt>
                <c:pt idx="31">
                  <c:v>478.64941517310723</c:v>
                </c:pt>
                <c:pt idx="32">
                  <c:v>511.3358881271144</c:v>
                </c:pt>
                <c:pt idx="33">
                  <c:v>543.978245254341</c:v>
                </c:pt>
                <c:pt idx="34">
                  <c:v>576.57950175211477</c:v>
                </c:pt>
                <c:pt idx="35">
                  <c:v>609.14230448868716</c:v>
                </c:pt>
                <c:pt idx="36">
                  <c:v>557.9213314887844</c:v>
                </c:pt>
                <c:pt idx="37">
                  <c:v>588.14593218797006</c:v>
                </c:pt>
                <c:pt idx="38">
                  <c:v>618.33819596367323</c:v>
                </c:pt>
                <c:pt idx="39">
                  <c:v>648.49992135083971</c:v>
                </c:pt>
                <c:pt idx="40">
                  <c:v>678.63272618537417</c:v>
                </c:pt>
                <c:pt idx="41">
                  <c:v>620.69565848153741</c:v>
                </c:pt>
                <c:pt idx="42">
                  <c:v>647.55781319141124</c:v>
                </c:pt>
                <c:pt idx="43">
                  <c:v>674.39699172585131</c:v>
                </c:pt>
                <c:pt idx="44">
                  <c:v>701.2142358040129</c:v>
                </c:pt>
                <c:pt idx="45">
                  <c:v>728.01050108203719</c:v>
                </c:pt>
                <c:pt idx="46">
                  <c:v>671.33751041747894</c:v>
                </c:pt>
                <c:pt idx="47">
                  <c:v>692.27753096210472</c:v>
                </c:pt>
                <c:pt idx="48">
                  <c:v>713.20457786722011</c:v>
                </c:pt>
                <c:pt idx="49">
                  <c:v>734.11908497147158</c:v>
                </c:pt>
                <c:pt idx="50">
                  <c:v>755.02145940727178</c:v>
                </c:pt>
                <c:pt idx="51">
                  <c:v>714.84998798766367</c:v>
                </c:pt>
                <c:pt idx="52">
                  <c:v>731.06492305237623</c:v>
                </c:pt>
                <c:pt idx="53">
                  <c:v>747.27253134258956</c:v>
                </c:pt>
                <c:pt idx="54">
                  <c:v>763.47299401473185</c:v>
                </c:pt>
                <c:pt idx="55">
                  <c:v>779.66648391733395</c:v>
                </c:pt>
                <c:pt idx="56">
                  <c:v>750.56015385100557</c:v>
                </c:pt>
                <c:pt idx="57">
                  <c:v>762.53402877829774</c:v>
                </c:pt>
                <c:pt idx="58">
                  <c:v>774.50408919046504</c:v>
                </c:pt>
                <c:pt idx="59">
                  <c:v>786.47040231283711</c:v>
                </c:pt>
                <c:pt idx="60">
                  <c:v>798.43303315959008</c:v>
                </c:pt>
                <c:pt idx="61">
                  <c:v>13.408149238554955</c:v>
                </c:pt>
                <c:pt idx="62">
                  <c:v>13.408149238554955</c:v>
                </c:pt>
                <c:pt idx="63">
                  <c:v>13.408149238554955</c:v>
                </c:pt>
                <c:pt idx="64">
                  <c:v>13.408149238554955</c:v>
                </c:pt>
                <c:pt idx="65">
                  <c:v>13.408149238554955</c:v>
                </c:pt>
                <c:pt idx="66">
                  <c:v>13.408149238554955</c:v>
                </c:pt>
                <c:pt idx="67">
                  <c:v>13.408149238554955</c:v>
                </c:pt>
                <c:pt idx="68">
                  <c:v>13.408149238554955</c:v>
                </c:pt>
                <c:pt idx="69">
                  <c:v>13.408149238554955</c:v>
                </c:pt>
                <c:pt idx="70">
                  <c:v>13.408149238554955</c:v>
                </c:pt>
                <c:pt idx="71">
                  <c:v>13.408149238554955</c:v>
                </c:pt>
                <c:pt idx="72">
                  <c:v>13.408149238554955</c:v>
                </c:pt>
                <c:pt idx="73">
                  <c:v>13.408149238554955</c:v>
                </c:pt>
                <c:pt idx="74">
                  <c:v>13.408149238554955</c:v>
                </c:pt>
                <c:pt idx="75">
                  <c:v>13.408149238554955</c:v>
                </c:pt>
                <c:pt idx="76">
                  <c:v>13.408149238554955</c:v>
                </c:pt>
                <c:pt idx="77">
                  <c:v>13.408149238554955</c:v>
                </c:pt>
                <c:pt idx="78">
                  <c:v>13.408149238554955</c:v>
                </c:pt>
                <c:pt idx="79">
                  <c:v>13.408149238554955</c:v>
                </c:pt>
                <c:pt idx="80">
                  <c:v>13.408149238554955</c:v>
                </c:pt>
                <c:pt idx="81">
                  <c:v>13.408149238554955</c:v>
                </c:pt>
                <c:pt idx="82">
                  <c:v>13.408149238554955</c:v>
                </c:pt>
                <c:pt idx="83">
                  <c:v>13.408149238554955</c:v>
                </c:pt>
                <c:pt idx="84">
                  <c:v>13.408149238554955</c:v>
                </c:pt>
                <c:pt idx="85">
                  <c:v>13.408149238554955</c:v>
                </c:pt>
                <c:pt idx="86">
                  <c:v>13.408149238554955</c:v>
                </c:pt>
                <c:pt idx="87">
                  <c:v>13.408149238554955</c:v>
                </c:pt>
                <c:pt idx="88">
                  <c:v>13.408149238554955</c:v>
                </c:pt>
                <c:pt idx="89">
                  <c:v>13.408149238554955</c:v>
                </c:pt>
                <c:pt idx="90">
                  <c:v>13.408149238554955</c:v>
                </c:pt>
                <c:pt idx="91">
                  <c:v>13.408149238554955</c:v>
                </c:pt>
                <c:pt idx="92">
                  <c:v>13.408149238554955</c:v>
                </c:pt>
                <c:pt idx="93">
                  <c:v>13.408149238554955</c:v>
                </c:pt>
                <c:pt idx="94">
                  <c:v>13.408149238554955</c:v>
                </c:pt>
                <c:pt idx="95">
                  <c:v>13.408149238554955</c:v>
                </c:pt>
                <c:pt idx="96">
                  <c:v>13.408149238554955</c:v>
                </c:pt>
                <c:pt idx="97">
                  <c:v>13.408149238554955</c:v>
                </c:pt>
                <c:pt idx="98">
                  <c:v>13.408149238554955</c:v>
                </c:pt>
                <c:pt idx="99">
                  <c:v>13.408149238554955</c:v>
                </c:pt>
                <c:pt idx="100">
                  <c:v>13.408149238554955</c:v>
                </c:pt>
                <c:pt idx="101">
                  <c:v>13.408149238554955</c:v>
                </c:pt>
                <c:pt idx="102">
                  <c:v>13.408149238554955</c:v>
                </c:pt>
                <c:pt idx="103">
                  <c:v>13.408149238554955</c:v>
                </c:pt>
                <c:pt idx="104">
                  <c:v>13.408149238554955</c:v>
                </c:pt>
                <c:pt idx="105">
                  <c:v>13.408149238554955</c:v>
                </c:pt>
                <c:pt idx="106">
                  <c:v>13.408149238554955</c:v>
                </c:pt>
                <c:pt idx="107">
                  <c:v>13.408149238554955</c:v>
                </c:pt>
                <c:pt idx="108">
                  <c:v>13.408149238554955</c:v>
                </c:pt>
                <c:pt idx="109">
                  <c:v>13.408149238554955</c:v>
                </c:pt>
                <c:pt idx="110">
                  <c:v>13.408149238554955</c:v>
                </c:pt>
                <c:pt idx="111">
                  <c:v>13.408149238554955</c:v>
                </c:pt>
                <c:pt idx="112">
                  <c:v>13.408149238554955</c:v>
                </c:pt>
                <c:pt idx="113">
                  <c:v>13.408149238554955</c:v>
                </c:pt>
                <c:pt idx="114">
                  <c:v>13.408149238554955</c:v>
                </c:pt>
                <c:pt idx="115">
                  <c:v>13.408149238554955</c:v>
                </c:pt>
                <c:pt idx="116">
                  <c:v>13.408149238554955</c:v>
                </c:pt>
                <c:pt idx="117">
                  <c:v>13.408149238554955</c:v>
                </c:pt>
                <c:pt idx="118">
                  <c:v>13.408149238554955</c:v>
                </c:pt>
                <c:pt idx="119">
                  <c:v>13.408149238554955</c:v>
                </c:pt>
                <c:pt idx="120">
                  <c:v>13.408149238554955</c:v>
                </c:pt>
                <c:pt idx="121">
                  <c:v>13.408149238554955</c:v>
                </c:pt>
                <c:pt idx="122">
                  <c:v>13.408149238554955</c:v>
                </c:pt>
                <c:pt idx="123">
                  <c:v>13.408149238554955</c:v>
                </c:pt>
                <c:pt idx="124">
                  <c:v>13.408149238554955</c:v>
                </c:pt>
                <c:pt idx="125">
                  <c:v>13.408149238554955</c:v>
                </c:pt>
                <c:pt idx="126">
                  <c:v>13.408149238554955</c:v>
                </c:pt>
                <c:pt idx="127">
                  <c:v>13.408149238554955</c:v>
                </c:pt>
                <c:pt idx="128">
                  <c:v>13.408149238554955</c:v>
                </c:pt>
                <c:pt idx="129">
                  <c:v>13.408149238554955</c:v>
                </c:pt>
                <c:pt idx="130">
                  <c:v>13.408149238554955</c:v>
                </c:pt>
                <c:pt idx="131">
                  <c:v>13.408149238554955</c:v>
                </c:pt>
                <c:pt idx="132">
                  <c:v>13.408149238554955</c:v>
                </c:pt>
                <c:pt idx="133">
                  <c:v>13.408149238554955</c:v>
                </c:pt>
                <c:pt idx="134">
                  <c:v>13.408149238554955</c:v>
                </c:pt>
                <c:pt idx="135">
                  <c:v>13.408149238554955</c:v>
                </c:pt>
                <c:pt idx="136">
                  <c:v>13.408149238554955</c:v>
                </c:pt>
                <c:pt idx="137">
                  <c:v>13.408149238554955</c:v>
                </c:pt>
                <c:pt idx="138">
                  <c:v>13.408149238554955</c:v>
                </c:pt>
                <c:pt idx="139">
                  <c:v>13.408149238554955</c:v>
                </c:pt>
                <c:pt idx="140">
                  <c:v>13.408149238554955</c:v>
                </c:pt>
                <c:pt idx="141">
                  <c:v>13.408149238554955</c:v>
                </c:pt>
                <c:pt idx="142">
                  <c:v>13.408149238554955</c:v>
                </c:pt>
                <c:pt idx="143">
                  <c:v>13.408149238554955</c:v>
                </c:pt>
                <c:pt idx="144">
                  <c:v>13.408149238554955</c:v>
                </c:pt>
                <c:pt idx="145">
                  <c:v>13.408149238554955</c:v>
                </c:pt>
                <c:pt idx="146">
                  <c:v>13.408149238554955</c:v>
                </c:pt>
                <c:pt idx="147">
                  <c:v>13.408149238554955</c:v>
                </c:pt>
                <c:pt idx="148">
                  <c:v>13.408149238554955</c:v>
                </c:pt>
                <c:pt idx="149">
                  <c:v>13.408149238554955</c:v>
                </c:pt>
                <c:pt idx="150">
                  <c:v>13.408149238554955</c:v>
                </c:pt>
                <c:pt idx="151">
                  <c:v>13.408149238554955</c:v>
                </c:pt>
                <c:pt idx="152">
                  <c:v>13.408149238554955</c:v>
                </c:pt>
                <c:pt idx="153">
                  <c:v>13.408149238554955</c:v>
                </c:pt>
                <c:pt idx="154">
                  <c:v>13.408149238554955</c:v>
                </c:pt>
                <c:pt idx="155">
                  <c:v>13.408149238554955</c:v>
                </c:pt>
                <c:pt idx="156">
                  <c:v>13.408149238554955</c:v>
                </c:pt>
                <c:pt idx="157">
                  <c:v>13.408149238554955</c:v>
                </c:pt>
                <c:pt idx="158">
                  <c:v>13.408149238554955</c:v>
                </c:pt>
                <c:pt idx="159">
                  <c:v>13.408149238554955</c:v>
                </c:pt>
                <c:pt idx="160">
                  <c:v>13.408149238554955</c:v>
                </c:pt>
                <c:pt idx="161">
                  <c:v>13.408149238554955</c:v>
                </c:pt>
                <c:pt idx="162">
                  <c:v>13.408149238554955</c:v>
                </c:pt>
                <c:pt idx="163">
                  <c:v>13.408149238554955</c:v>
                </c:pt>
                <c:pt idx="164">
                  <c:v>13.408149238554955</c:v>
                </c:pt>
                <c:pt idx="165">
                  <c:v>13.408149238554955</c:v>
                </c:pt>
                <c:pt idx="166">
                  <c:v>13.408149238554955</c:v>
                </c:pt>
                <c:pt idx="167">
                  <c:v>13.408149238554955</c:v>
                </c:pt>
                <c:pt idx="168">
                  <c:v>13.408149238554955</c:v>
                </c:pt>
                <c:pt idx="169">
                  <c:v>13.408149238554955</c:v>
                </c:pt>
                <c:pt idx="170">
                  <c:v>13.408149238554955</c:v>
                </c:pt>
                <c:pt idx="171">
                  <c:v>13.408149238554955</c:v>
                </c:pt>
                <c:pt idx="172">
                  <c:v>13.408149238554955</c:v>
                </c:pt>
                <c:pt idx="173">
                  <c:v>13.408149238554955</c:v>
                </c:pt>
                <c:pt idx="174">
                  <c:v>13.408149238554955</c:v>
                </c:pt>
                <c:pt idx="175">
                  <c:v>13.408149238554955</c:v>
                </c:pt>
                <c:pt idx="176">
                  <c:v>13.408149238554955</c:v>
                </c:pt>
                <c:pt idx="177">
                  <c:v>13.408149238554955</c:v>
                </c:pt>
                <c:pt idx="178">
                  <c:v>13.408149238554955</c:v>
                </c:pt>
                <c:pt idx="179">
                  <c:v>13.408149238554955</c:v>
                </c:pt>
                <c:pt idx="180">
                  <c:v>13.408149238554955</c:v>
                </c:pt>
                <c:pt idx="181">
                  <c:v>13.408149238554955</c:v>
                </c:pt>
                <c:pt idx="182">
                  <c:v>13.408149238554955</c:v>
                </c:pt>
                <c:pt idx="183">
                  <c:v>13.408149238554955</c:v>
                </c:pt>
                <c:pt idx="184">
                  <c:v>13.408149238554955</c:v>
                </c:pt>
                <c:pt idx="185">
                  <c:v>13.408149238554955</c:v>
                </c:pt>
                <c:pt idx="186">
                  <c:v>13.408149238554955</c:v>
                </c:pt>
                <c:pt idx="187">
                  <c:v>13.408149238554955</c:v>
                </c:pt>
                <c:pt idx="188">
                  <c:v>13.408149238554955</c:v>
                </c:pt>
                <c:pt idx="189">
                  <c:v>13.408149238554955</c:v>
                </c:pt>
                <c:pt idx="190">
                  <c:v>13.408149238554955</c:v>
                </c:pt>
                <c:pt idx="191">
                  <c:v>13.408149238554955</c:v>
                </c:pt>
                <c:pt idx="192">
                  <c:v>13.408149238554955</c:v>
                </c:pt>
                <c:pt idx="193">
                  <c:v>13.408149238554955</c:v>
                </c:pt>
                <c:pt idx="194">
                  <c:v>13.408149238554955</c:v>
                </c:pt>
                <c:pt idx="195">
                  <c:v>13.408149238554955</c:v>
                </c:pt>
                <c:pt idx="196">
                  <c:v>13.408149238554955</c:v>
                </c:pt>
                <c:pt idx="197">
                  <c:v>13.408149238554955</c:v>
                </c:pt>
                <c:pt idx="198">
                  <c:v>13.408149238554955</c:v>
                </c:pt>
                <c:pt idx="199">
                  <c:v>13.408149238554955</c:v>
                </c:pt>
                <c:pt idx="200">
                  <c:v>13.408149238554955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1280"/>
        <c:axId val="1927892912"/>
      </c:scatterChart>
      <c:valAx>
        <c:axId val="19278912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2912"/>
        <c:crosses val="autoZero"/>
        <c:crossBetween val="midCat"/>
      </c:valAx>
      <c:valAx>
        <c:axId val="192789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1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6720"/>
        <c:axId val="1927897264"/>
      </c:scatterChart>
      <c:valAx>
        <c:axId val="19278967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7264"/>
        <c:crosses val="autoZero"/>
        <c:crossBetween val="midCat"/>
      </c:valAx>
      <c:valAx>
        <c:axId val="19278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67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4853200"/>
        <c:axId val="1934856464"/>
      </c:scatterChart>
      <c:valAx>
        <c:axId val="19348532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6464"/>
        <c:crosses val="autoZero"/>
        <c:crossBetween val="midCat"/>
      </c:valAx>
      <c:valAx>
        <c:axId val="1934856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3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5893504"/>
        <c:axId val="1926197264"/>
      </c:scatterChart>
      <c:valAx>
        <c:axId val="164589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6197264"/>
        <c:crosses val="autoZero"/>
        <c:crossBetween val="midCat"/>
      </c:valAx>
      <c:valAx>
        <c:axId val="19261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4589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0240"/>
        <c:axId val="27547520"/>
      </c:scatterChart>
      <c:valAx>
        <c:axId val="275502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7520"/>
        <c:crosses val="autoZero"/>
        <c:crossBetween val="midCat"/>
      </c:valAx>
      <c:valAx>
        <c:axId val="2754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0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8272"/>
        <c:axId val="27529024"/>
      </c:scatterChart>
      <c:valAx>
        <c:axId val="2753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9024"/>
        <c:crosses val="autoZero"/>
        <c:crossBetween val="midCat"/>
      </c:valAx>
      <c:valAx>
        <c:axId val="27529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6096"/>
        <c:axId val="27554592"/>
      </c:scatterChart>
      <c:valAx>
        <c:axId val="275360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4592"/>
        <c:crosses val="autoZero"/>
        <c:crossBetween val="midCat"/>
      </c:valAx>
      <c:valAx>
        <c:axId val="27554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6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42080"/>
        <c:axId val="27548064"/>
      </c:scatterChart>
      <c:valAx>
        <c:axId val="275420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8064"/>
        <c:crosses val="autoZero"/>
        <c:crossBetween val="midCat"/>
      </c:valAx>
      <c:valAx>
        <c:axId val="2754806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2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31" zoomScale="80" zoomScaleNormal="80" workbookViewId="0">
      <selection activeCell="F45" sqref="F4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3.4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164</v>
      </c>
      <c r="C9" s="35">
        <v>0.5</v>
      </c>
      <c r="D9" s="36">
        <f t="shared" ref="D9:D18" si="0">C9*$C$5</f>
        <v>1.7</v>
      </c>
      <c r="E9" s="37">
        <v>100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18</v>
      </c>
      <c r="C10" s="35">
        <v>0.5</v>
      </c>
      <c r="D10" s="36">
        <f t="shared" si="0"/>
        <v>1.7</v>
      </c>
      <c r="E10" s="37">
        <v>60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3.4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Cèdre de l'Atlas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158</v>
      </c>
      <c r="C36" s="63">
        <v>1</v>
      </c>
      <c r="D36" s="63">
        <v>0</v>
      </c>
      <c r="E36" s="54">
        <v>0.6</v>
      </c>
      <c r="F36" s="54">
        <v>0.4</v>
      </c>
      <c r="G36" s="54"/>
      <c r="H36" s="54"/>
      <c r="I36" s="52">
        <f>IFERROR(B36/A36,"")</f>
        <v>7.9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250</v>
      </c>
      <c r="C37" s="63">
        <v>2</v>
      </c>
      <c r="D37" s="63">
        <v>0</v>
      </c>
      <c r="E37" s="54">
        <v>0.8</v>
      </c>
      <c r="F37" s="54">
        <v>0.2</v>
      </c>
      <c r="G37" s="54"/>
      <c r="H37" s="54"/>
      <c r="I37" s="56">
        <f t="shared" ref="I37:I55" si="1">IF(A37&lt;&gt;0,(B37-(B36-D36))/(A37-A36),"")</f>
        <v>9.1999999999999993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40</v>
      </c>
      <c r="B38" s="63">
        <v>350</v>
      </c>
      <c r="C38" s="63">
        <v>3</v>
      </c>
      <c r="D38" s="63">
        <v>88</v>
      </c>
      <c r="E38" s="54"/>
      <c r="F38" s="54"/>
      <c r="G38" s="54"/>
      <c r="H38" s="54"/>
      <c r="I38" s="56">
        <f t="shared" si="1"/>
        <v>10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50</v>
      </c>
      <c r="B39" s="63">
        <v>377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11.5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60</v>
      </c>
      <c r="B40" s="63">
        <v>512</v>
      </c>
      <c r="C40" s="63">
        <v>5</v>
      </c>
      <c r="D40" s="63">
        <v>102</v>
      </c>
      <c r="E40" s="54"/>
      <c r="F40" s="54"/>
      <c r="G40" s="54"/>
      <c r="H40" s="54"/>
      <c r="I40" s="52">
        <f t="shared" si="1"/>
        <v>13.5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70</v>
      </c>
      <c r="B41" s="63">
        <v>565</v>
      </c>
      <c r="C41" s="63">
        <v>6</v>
      </c>
      <c r="D41" s="63">
        <v>113</v>
      </c>
      <c r="E41" s="54"/>
      <c r="F41" s="54"/>
      <c r="G41" s="54"/>
      <c r="H41" s="54"/>
      <c r="I41" s="56">
        <f t="shared" si="1"/>
        <v>15.5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80</v>
      </c>
      <c r="B42" s="63">
        <v>622</v>
      </c>
      <c r="C42" s="63">
        <v>7</v>
      </c>
      <c r="D42" s="63">
        <v>124</v>
      </c>
      <c r="E42" s="54"/>
      <c r="F42" s="54"/>
      <c r="G42" s="54"/>
      <c r="H42" s="54"/>
      <c r="I42" s="56">
        <f t="shared" si="1"/>
        <v>17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90</v>
      </c>
      <c r="B43" s="63">
        <v>673</v>
      </c>
      <c r="C43" s="63">
        <v>8</v>
      </c>
      <c r="D43" s="63">
        <v>135</v>
      </c>
      <c r="E43" s="54"/>
      <c r="F43" s="54"/>
      <c r="G43" s="54"/>
      <c r="H43" s="54"/>
      <c r="I43" s="52">
        <f t="shared" si="1"/>
        <v>17.5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100</v>
      </c>
      <c r="B44" s="63">
        <v>723</v>
      </c>
      <c r="C44" s="63">
        <v>9</v>
      </c>
      <c r="D44" s="63">
        <v>723</v>
      </c>
      <c r="E44" s="54"/>
      <c r="F44" s="54"/>
      <c r="G44" s="54"/>
      <c r="H44" s="54"/>
      <c r="I44" s="52">
        <f t="shared" si="1"/>
        <v>18.5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Douglas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19</v>
      </c>
      <c r="B62" s="63">
        <v>162</v>
      </c>
      <c r="C62" s="63">
        <v>1</v>
      </c>
      <c r="D62" s="63">
        <v>0</v>
      </c>
      <c r="E62" s="54">
        <v>0.15</v>
      </c>
      <c r="F62" s="54"/>
      <c r="G62" s="54">
        <v>0.85</v>
      </c>
      <c r="H62" s="54"/>
      <c r="I62" s="56">
        <f>IFERROR(B62/A62,"")</f>
        <v>8.526315789473685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v>335</v>
      </c>
      <c r="C63" s="63">
        <v>2</v>
      </c>
      <c r="D63" s="63">
        <v>54</v>
      </c>
      <c r="E63" s="54">
        <v>0.15</v>
      </c>
      <c r="F63" s="54"/>
      <c r="G63" s="54">
        <v>0.85</v>
      </c>
      <c r="H63" s="54"/>
      <c r="I63" s="52">
        <f>IF(A63&lt;&gt;0,(B63-(B62-D62))/(A63-A62),"")</f>
        <v>28.833333333333332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v>421</v>
      </c>
      <c r="C64" s="63">
        <v>3</v>
      </c>
      <c r="D64" s="63">
        <v>54</v>
      </c>
      <c r="E64" s="54">
        <v>0.25</v>
      </c>
      <c r="F64" s="54"/>
      <c r="G64" s="54">
        <v>0.75</v>
      </c>
      <c r="H64" s="54"/>
      <c r="I64" s="52">
        <f>IF(A64&lt;&gt;0,(B64-(B63-D63))/(A64-A63),"")</f>
        <v>28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v>505</v>
      </c>
      <c r="C65" s="63">
        <v>4</v>
      </c>
      <c r="D65" s="63">
        <v>69</v>
      </c>
      <c r="E65" s="54"/>
      <c r="F65" s="54"/>
      <c r="G65" s="54"/>
      <c r="H65" s="54"/>
      <c r="I65" s="52">
        <f>IF(A65&lt;&gt;0,(B65-(B64-D64))/(A65-A64),"")</f>
        <v>27.6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v>564</v>
      </c>
      <c r="C66" s="63">
        <v>5</v>
      </c>
      <c r="D66" s="63">
        <v>72</v>
      </c>
      <c r="E66" s="54"/>
      <c r="F66" s="54"/>
      <c r="G66" s="54"/>
      <c r="H66" s="54"/>
      <c r="I66" s="52">
        <f t="shared" ref="I66:I81" si="2">IF(A66&lt;&gt;0,(B66-(B65-D65))/(A66-A65),"")</f>
        <v>25.6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v>606</v>
      </c>
      <c r="C67" s="63">
        <v>6</v>
      </c>
      <c r="D67" s="63">
        <v>66</v>
      </c>
      <c r="E67" s="54"/>
      <c r="F67" s="54"/>
      <c r="G67" s="54"/>
      <c r="H67" s="54"/>
      <c r="I67" s="52">
        <f t="shared" si="2"/>
        <v>22.8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3">
        <v>629</v>
      </c>
      <c r="C68" s="63">
        <v>7</v>
      </c>
      <c r="D68" s="63">
        <v>48</v>
      </c>
      <c r="E68" s="54"/>
      <c r="F68" s="54"/>
      <c r="G68" s="54"/>
      <c r="H68" s="54"/>
      <c r="I68" s="52">
        <f t="shared" si="2"/>
        <v>17.8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53">
        <v>650</v>
      </c>
      <c r="C69" s="53">
        <v>8</v>
      </c>
      <c r="D69" s="53">
        <v>35</v>
      </c>
      <c r="E69" s="54"/>
      <c r="F69" s="54"/>
      <c r="G69" s="54"/>
      <c r="H69" s="54"/>
      <c r="I69" s="52">
        <f t="shared" si="2"/>
        <v>13.8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53">
        <v>666</v>
      </c>
      <c r="C70" s="53">
        <v>9</v>
      </c>
      <c r="D70" s="53">
        <v>656</v>
      </c>
      <c r="E70" s="54"/>
      <c r="F70" s="54"/>
      <c r="G70" s="54"/>
      <c r="H70" s="54"/>
      <c r="I70" s="52">
        <f t="shared" si="2"/>
        <v>10.199999999999999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0" sqref="G20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Cèdre de l'Atlas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Douglas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396.92963589781414</v>
      </c>
      <c r="T3" s="62">
        <f>IF('Données projet'!E9&gt;30,$R$33-$H$33,LOOKUP('Données projet'!$E$9,$A$3:$A$203,R3:R203)-LOOKUP('Données projet'!$E$9,$A$3:$A$203,$H$3:$H$203))</f>
        <v>294.38852181137639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443.34220761968419</v>
      </c>
      <c r="AO3" s="62">
        <f>IF('Données projet'!E10&gt;30,$AM$33-$H$33,LOOKUP('Données projet'!$E$10,$A$3:$A$203,AM3:AM203)-LOOKUP('Données projet'!$E$10,$A$3:$A$203,$H$3:$H$203))</f>
        <v>546.58234447298014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7.9</v>
      </c>
      <c r="N4" s="14">
        <f>IF('Données projet'!$A$36&gt;35,N3+M4-V3,IF(A4&lt;'Données projet'!$A$36,$K$205^A4,IF(A4='Données projet'!$A$36,'Données projet'!$B$36,N3+M4-V3)))</f>
        <v>1.2880503926580862</v>
      </c>
      <c r="O4" s="14">
        <f>N4*VLOOKUP('Données projet'!$B$9,Paramètres!$A$1:$I$89,3,0)*VLOOKUP('Données projet'!$B$9,Paramètres!$A$1:$I$89,5,0)</f>
        <v>0.60280758376398436</v>
      </c>
      <c r="P4" s="14">
        <f>EXP(-1.0587+0.8836*LN(O4)+0.284)</f>
        <v>0.29465781953181042</v>
      </c>
      <c r="Q4" s="22">
        <f t="shared" ref="Q4:Q34" si="2">(O4+P4)*0.475*44/12</f>
        <v>1.5630855774068424</v>
      </c>
      <c r="R4" s="62">
        <f t="shared" si="0"/>
        <v>259.45197446629572</v>
      </c>
      <c r="S4" s="62">
        <f ca="1">AVERAGE(OFFSET($R$3,0,0,'Données projet'!$E$9+1,1))-AVERAGE(OFFSET($H$3,0,0,'Données projet'!$E$9+1,1))</f>
        <v>396.92963589781414</v>
      </c>
      <c r="T4" s="62">
        <f>$T$3</f>
        <v>294.38852181137639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8.526315789473685</v>
      </c>
      <c r="AI4" s="14">
        <f>IF('Données projet'!$A$62&gt;35,AI3+AH4-AQ3,IF(A4&lt;'Données projet'!$A$62,$AF$205^A4,IF(A4='Données projet'!$A$62,'Données projet'!$B$62,AI3+AH4-AQ3)))</f>
        <v>1.3070441688874561</v>
      </c>
      <c r="AJ4" s="14">
        <f>AI4*VLOOKUP('Données projet'!$B$10,Paramètres!$A$1:$I$89,3,0)*VLOOKUP('Données projet'!$B$10,Paramètres!$A$1:$I$89,5,0)</f>
        <v>0.73063769040808801</v>
      </c>
      <c r="AK4" s="14">
        <f>EXP(-1.0587+0.8836*LN(AJ4)+0.284)</f>
        <v>0.34923616900555043</v>
      </c>
      <c r="AL4" s="22">
        <f t="shared" ref="AL4:AL67" si="4">(AJ4+AK4)*0.475*44/12</f>
        <v>1.8807803051454206</v>
      </c>
      <c r="AM4" s="62">
        <f t="shared" ref="AM4:AM67" si="5">AL4+(AD4+AE4)*44/12</f>
        <v>259.76966919403429</v>
      </c>
      <c r="AN4" s="62">
        <f ca="1">AVERAGE(OFFSET($AM$3,0,0,'Données projet'!$E$10+1,1))-AVERAGE(OFFSET($H$3,0,0,'Données projet'!$E$10+1,1))</f>
        <v>443.34220761968419</v>
      </c>
      <c r="AO4" s="62">
        <f>$AO$3</f>
        <v>546.58234447298014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7.9</v>
      </c>
      <c r="N5" s="14">
        <f>IF('Données projet'!$A$36&gt;35,N4+M5-V4,IF(A5&lt;'Données projet'!$A$36,$K$205^A5,IF(A5='Données projet'!$A$36,'Données projet'!$B$36,N4+M5-V4)))</f>
        <v>1.6590738140266501</v>
      </c>
      <c r="O5" s="14">
        <f>N5*VLOOKUP('Données projet'!$B$9,Paramètres!$A$1:$I$89,3,0)*VLOOKUP('Données projet'!$B$9,Paramètres!$A$1:$I$89,5,0)</f>
        <v>0.77644654496447219</v>
      </c>
      <c r="P5" s="14">
        <f t="shared" ref="P5:P68" si="33">EXP(-1.0587+0.8836*LN(O5)+0.284)</f>
        <v>0.36851455096495994</v>
      </c>
      <c r="Q5" s="22">
        <f t="shared" si="2"/>
        <v>1.9941405754104276</v>
      </c>
      <c r="R5" s="62">
        <f t="shared" si="0"/>
        <v>261.10525168652157</v>
      </c>
      <c r="S5" s="62">
        <f ca="1">AVERAGE(OFFSET($R$3,0,0,'Données projet'!$E$9+1,1))-AVERAGE(OFFSET($H$3,0,0,'Données projet'!$E$9+1,1))</f>
        <v>396.92963589781414</v>
      </c>
      <c r="T5" s="62">
        <f t="shared" ref="T5:T68" si="34">$T$3</f>
        <v>294.38852181137639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8.526315789473685</v>
      </c>
      <c r="AI5" s="14">
        <f>IF('Données projet'!$A$62&gt;35,AI4+AH5-AQ4,IF(A5&lt;'Données projet'!$A$62,$AF$205^A5,IF(A5='Données projet'!$A$62,'Données projet'!$B$62,AI4+AH5-AQ4)))</f>
        <v>1.708364459422701</v>
      </c>
      <c r="AJ5" s="14">
        <f>AI5*VLOOKUP('Données projet'!$B$10,Paramètres!$A$1:$I$89,3,0)*VLOOKUP('Données projet'!$B$10,Paramètres!$A$1:$I$89,5,0)</f>
        <v>0.95497573281728976</v>
      </c>
      <c r="AK5" s="14">
        <f t="shared" ref="AK5:AK68" si="35">EXP(-1.0587+0.8836*LN(AJ5)+0.284)</f>
        <v>0.44245926414263009</v>
      </c>
      <c r="AL5" s="22">
        <f t="shared" si="4"/>
        <v>2.4338659530385267</v>
      </c>
      <c r="AM5" s="62">
        <f t="shared" si="5"/>
        <v>261.54497706414969</v>
      </c>
      <c r="AN5" s="62">
        <f ca="1">AVERAGE(OFFSET($AM$3,0,0,'Données projet'!$E$10+1,1))-AVERAGE(OFFSET($H$3,0,0,'Données projet'!$E$10+1,1))</f>
        <v>443.34220761968419</v>
      </c>
      <c r="AO5" s="62">
        <f t="shared" ref="AO5:AO68" si="36">$AO$3</f>
        <v>546.58234447298014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7.9</v>
      </c>
      <c r="N6" s="14">
        <f>IF('Données projet'!$A$36&gt;35,N5+M6-V5,IF(A6&lt;'Données projet'!$A$36,$K$205^A6,IF(A6='Données projet'!$A$36,'Données projet'!$B$36,N5+M6-V5)))</f>
        <v>2.1369706776057753</v>
      </c>
      <c r="O6" s="14">
        <f>N6*VLOOKUP('Données projet'!$B$9,Paramètres!$A$1:$I$89,3,0)*VLOOKUP('Données projet'!$B$9,Paramètres!$A$1:$I$89,5,0)</f>
        <v>1.0001022771195029</v>
      </c>
      <c r="P6" s="14">
        <f t="shared" si="33"/>
        <v>0.46088365986243646</v>
      </c>
      <c r="Q6" s="22">
        <f t="shared" si="2"/>
        <v>2.5445505069102112</v>
      </c>
      <c r="R6" s="62">
        <f t="shared" si="0"/>
        <v>262.8778838402435</v>
      </c>
      <c r="S6" s="62">
        <f ca="1">AVERAGE(OFFSET($R$3,0,0,'Données projet'!$E$9+1,1))-AVERAGE(OFFSET($H$3,0,0,'Données projet'!$E$9+1,1))</f>
        <v>396.92963589781414</v>
      </c>
      <c r="T6" s="62">
        <f t="shared" si="34"/>
        <v>294.38852181137639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8.526315789473685</v>
      </c>
      <c r="AI6" s="14">
        <f>IF('Données projet'!$A$62&gt;35,AI5+AH6-AQ5,IF(A6&lt;'Données projet'!$A$62,$AF$205^A6,IF(A6='Données projet'!$A$62,'Données projet'!$B$62,AI5+AH6-AQ5)))</f>
        <v>2.2329078050230127</v>
      </c>
      <c r="AJ6" s="14">
        <f>AI6*VLOOKUP('Données projet'!$B$10,Paramètres!$A$1:$I$89,3,0)*VLOOKUP('Données projet'!$B$10,Paramètres!$A$1:$I$89,5,0)</f>
        <v>1.248195463007864</v>
      </c>
      <c r="AK6" s="14">
        <f t="shared" si="35"/>
        <v>0.56056679634040518</v>
      </c>
      <c r="AL6" s="22">
        <f t="shared" si="4"/>
        <v>3.1502609350315693</v>
      </c>
      <c r="AM6" s="62">
        <f t="shared" si="5"/>
        <v>263.48359426836487</v>
      </c>
      <c r="AN6" s="62">
        <f ca="1">AVERAGE(OFFSET($AM$3,0,0,'Données projet'!$E$10+1,1))-AVERAGE(OFFSET($H$3,0,0,'Données projet'!$E$10+1,1))</f>
        <v>443.34220761968419</v>
      </c>
      <c r="AO6" s="62">
        <f t="shared" si="36"/>
        <v>546.58234447298014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7.9</v>
      </c>
      <c r="N7" s="14">
        <f>IF('Données projet'!$A$36&gt;35,N6+M7-V6,IF(A7&lt;'Données projet'!$A$36,$K$205^A7,IF(A7='Données projet'!$A$36,'Données projet'!$B$36,N6+M7-V6)))</f>
        <v>2.7525259203889356</v>
      </c>
      <c r="O7" s="14">
        <f>N7*VLOOKUP('Données projet'!$B$9,Paramètres!$A$1:$I$89,3,0)*VLOOKUP('Données projet'!$B$9,Paramètres!$A$1:$I$89,5,0)</f>
        <v>1.2881821307420218</v>
      </c>
      <c r="P7" s="14">
        <f t="shared" si="33"/>
        <v>0.57640532069082717</v>
      </c>
      <c r="Q7" s="22">
        <f t="shared" si="2"/>
        <v>3.2474898112455457</v>
      </c>
      <c r="R7" s="62">
        <f t="shared" si="0"/>
        <v>264.80304536680109</v>
      </c>
      <c r="S7" s="62">
        <f ca="1">AVERAGE(OFFSET($R$3,0,0,'Données projet'!$E$9+1,1))-AVERAGE(OFFSET($H$3,0,0,'Données projet'!$E$9+1,1))</f>
        <v>396.92963589781414</v>
      </c>
      <c r="T7" s="62">
        <f t="shared" si="34"/>
        <v>294.38852181137639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8.526315789473685</v>
      </c>
      <c r="AI7" s="14">
        <f>IF('Données projet'!$A$62&gt;35,AI6+AH7-AQ6,IF(A7&lt;'Données projet'!$A$62,$AF$205^A7,IF(A7='Données projet'!$A$62,'Données projet'!$B$62,AI6+AH7-AQ6)))</f>
        <v>2.9185091262186176</v>
      </c>
      <c r="AJ7" s="14">
        <f>AI7*VLOOKUP('Données projet'!$B$10,Paramètres!$A$1:$I$89,3,0)*VLOOKUP('Données projet'!$B$10,Paramètres!$A$1:$I$89,5,0)</f>
        <v>1.6314466015562072</v>
      </c>
      <c r="AK7" s="14">
        <f t="shared" si="35"/>
        <v>0.71020127416305878</v>
      </c>
      <c r="AL7" s="22">
        <f t="shared" si="4"/>
        <v>4.0783700502110554</v>
      </c>
      <c r="AM7" s="62">
        <f t="shared" si="5"/>
        <v>265.63392560576659</v>
      </c>
      <c r="AN7" s="62">
        <f ca="1">AVERAGE(OFFSET($AM$3,0,0,'Données projet'!$E$10+1,1))-AVERAGE(OFFSET($H$3,0,0,'Données projet'!$E$10+1,1))</f>
        <v>443.34220761968419</v>
      </c>
      <c r="AO7" s="62">
        <f t="shared" si="36"/>
        <v>546.58234447298014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7.9</v>
      </c>
      <c r="N8" s="14">
        <f>IF('Données projet'!$A$36&gt;35,N7+M8-V7,IF(A8&lt;'Données projet'!$A$36,$K$205^A8,IF(A8='Données projet'!$A$36,'Données projet'!$B$36,N7+M8-V7)))</f>
        <v>3.5453920925585285</v>
      </c>
      <c r="O8" s="14">
        <f>N8*VLOOKUP('Données projet'!$B$9,Paramètres!$A$1:$I$89,3,0)*VLOOKUP('Données projet'!$B$9,Paramètres!$A$1:$I$89,5,0)</f>
        <v>1.6592434993173915</v>
      </c>
      <c r="P8" s="14">
        <f t="shared" si="33"/>
        <v>0.72088277944126433</v>
      </c>
      <c r="Q8" s="22">
        <f t="shared" si="2"/>
        <v>4.1453866021713255</v>
      </c>
      <c r="R8" s="62">
        <f t="shared" si="0"/>
        <v>266.92316437994907</v>
      </c>
      <c r="S8" s="62">
        <f ca="1">AVERAGE(OFFSET($R$3,0,0,'Données projet'!$E$9+1,1))-AVERAGE(OFFSET($H$3,0,0,'Données projet'!$E$9+1,1))</f>
        <v>396.92963589781414</v>
      </c>
      <c r="T8" s="62">
        <f t="shared" si="34"/>
        <v>294.38852181137639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8.526315789473685</v>
      </c>
      <c r="AI8" s="14">
        <f>IF('Données projet'!$A$62&gt;35,AI7+AH8-AQ7,IF(A8&lt;'Données projet'!$A$62,$AF$205^A8,IF(A8='Données projet'!$A$62,'Données projet'!$B$62,AI7+AH8-AQ7)))</f>
        <v>3.8146203352688688</v>
      </c>
      <c r="AJ8" s="14">
        <f>AI8*VLOOKUP('Données projet'!$B$10,Paramètres!$A$1:$I$89,3,0)*VLOOKUP('Données projet'!$B$10,Paramètres!$A$1:$I$89,5,0)</f>
        <v>2.1323727674152977</v>
      </c>
      <c r="AK8" s="14">
        <f t="shared" si="35"/>
        <v>0.89977831922200224</v>
      </c>
      <c r="AL8" s="22">
        <f t="shared" si="4"/>
        <v>5.2809964758932972</v>
      </c>
      <c r="AM8" s="62">
        <f t="shared" si="5"/>
        <v>268.05877425367106</v>
      </c>
      <c r="AN8" s="62">
        <f ca="1">AVERAGE(OFFSET($AM$3,0,0,'Données projet'!$E$10+1,1))-AVERAGE(OFFSET($H$3,0,0,'Données projet'!$E$10+1,1))</f>
        <v>443.34220761968419</v>
      </c>
      <c r="AO8" s="62">
        <f t="shared" si="36"/>
        <v>546.58234447298014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7.9</v>
      </c>
      <c r="N9" s="14">
        <f>IF('Données projet'!$A$36&gt;35,N8+M9-V8,IF(A9&lt;'Données projet'!$A$36,$K$205^A9,IF(A9='Données projet'!$A$36,'Données projet'!$B$36,N8+M9-V8)))</f>
        <v>4.566643676946887</v>
      </c>
      <c r="O9" s="14">
        <f>N9*VLOOKUP('Données projet'!$B$9,Paramètres!$A$1:$I$89,3,0)*VLOOKUP('Données projet'!$B$9,Paramètres!$A$1:$I$89,5,0)</f>
        <v>2.1371892408111433</v>
      </c>
      <c r="P9" s="14">
        <f t="shared" si="33"/>
        <v>0.9015738804633705</v>
      </c>
      <c r="Q9" s="22">
        <f t="shared" si="2"/>
        <v>5.292512436219778</v>
      </c>
      <c r="R9" s="62">
        <f t="shared" si="0"/>
        <v>269.29251243621979</v>
      </c>
      <c r="S9" s="62">
        <f ca="1">AVERAGE(OFFSET($R$3,0,0,'Données projet'!$E$9+1,1))-AVERAGE(OFFSET($H$3,0,0,'Données projet'!$E$9+1,1))</f>
        <v>396.92963589781414</v>
      </c>
      <c r="T9" s="62">
        <f t="shared" si="34"/>
        <v>294.38852181137639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8.526315789473685</v>
      </c>
      <c r="AI9" s="14">
        <f>IF('Données projet'!$A$62&gt;35,AI8+AH9-AQ8,IF(A9&lt;'Données projet'!$A$62,$AF$205^A9,IF(A9='Données projet'!$A$62,'Données projet'!$B$62,AI8+AH9-AQ8)))</f>
        <v>4.9858772657326877</v>
      </c>
      <c r="AJ9" s="14">
        <f>AI9*VLOOKUP('Données projet'!$B$10,Paramètres!$A$1:$I$89,3,0)*VLOOKUP('Données projet'!$B$10,Paramètres!$A$1:$I$89,5,0)</f>
        <v>2.7871053915445723</v>
      </c>
      <c r="AK9" s="14">
        <f t="shared" si="35"/>
        <v>1.1399599707787778</v>
      </c>
      <c r="AL9" s="22">
        <f t="shared" si="4"/>
        <v>6.839638839379834</v>
      </c>
      <c r="AM9" s="62">
        <f t="shared" si="5"/>
        <v>270.83963883937986</v>
      </c>
      <c r="AN9" s="62">
        <f ca="1">AVERAGE(OFFSET($AM$3,0,0,'Données projet'!$E$10+1,1))-AVERAGE(OFFSET($H$3,0,0,'Données projet'!$E$10+1,1))</f>
        <v>443.34220761968419</v>
      </c>
      <c r="AO9" s="62">
        <f t="shared" si="36"/>
        <v>546.58234447298014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7.9</v>
      </c>
      <c r="N10" s="14">
        <f>IF('Données projet'!$A$36&gt;35,N9+M10-V9,IF(A10&lt;'Données projet'!$A$36,$K$205^A10,IF(A10='Données projet'!$A$36,'Données projet'!$B$36,N9+M10-V9)))</f>
        <v>5.8820671812210037</v>
      </c>
      <c r="O10" s="14">
        <f>N10*VLOOKUP('Données projet'!$B$9,Paramètres!$A$1:$I$89,3,0)*VLOOKUP('Données projet'!$B$9,Paramètres!$A$1:$I$89,5,0)</f>
        <v>2.7528074408114294</v>
      </c>
      <c r="P10" s="14">
        <f t="shared" si="33"/>
        <v>1.1275556652411438</v>
      </c>
      <c r="Q10" s="22">
        <f t="shared" si="2"/>
        <v>6.7582990763748976</v>
      </c>
      <c r="R10" s="62">
        <f t="shared" si="0"/>
        <v>271.98052129859713</v>
      </c>
      <c r="S10" s="62">
        <f ca="1">AVERAGE(OFFSET($R$3,0,0,'Données projet'!$E$9+1,1))-AVERAGE(OFFSET($H$3,0,0,'Données projet'!$E$9+1,1))</f>
        <v>396.92963589781414</v>
      </c>
      <c r="T10" s="62">
        <f t="shared" si="34"/>
        <v>294.38852181137639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8.526315789473685</v>
      </c>
      <c r="AI10" s="14">
        <f>IF('Données projet'!$A$62&gt;35,AI9+AH10-AQ9,IF(A10&lt;'Données projet'!$A$62,$AF$205^A10,IF(A10='Données projet'!$A$62,'Données projet'!$B$62,AI9+AH10-AQ9)))</f>
        <v>6.5167618069644444</v>
      </c>
      <c r="AJ10" s="14">
        <f>AI10*VLOOKUP('Données projet'!$B$10,Paramètres!$A$1:$I$89,3,0)*VLOOKUP('Données projet'!$B$10,Paramètres!$A$1:$I$89,5,0)</f>
        <v>3.6428698500931249</v>
      </c>
      <c r="AK10" s="14">
        <f t="shared" si="35"/>
        <v>1.4442543315575544</v>
      </c>
      <c r="AL10" s="22">
        <f t="shared" si="4"/>
        <v>8.8600746163749324</v>
      </c>
      <c r="AM10" s="62">
        <f t="shared" si="5"/>
        <v>274.08229683859719</v>
      </c>
      <c r="AN10" s="62">
        <f ca="1">AVERAGE(OFFSET($AM$3,0,0,'Données projet'!$E$10+1,1))-AVERAGE(OFFSET($H$3,0,0,'Données projet'!$E$10+1,1))</f>
        <v>443.34220761968419</v>
      </c>
      <c r="AO10" s="62">
        <f t="shared" si="36"/>
        <v>546.58234447298014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7.9</v>
      </c>
      <c r="N11" s="14">
        <f>IF('Données projet'!$A$36&gt;35,N10+M11-V10,IF(A11&lt;'Données projet'!$A$36,$K$205^A11,IF(A11='Données projet'!$A$36,'Données projet'!$B$36,N10+M11-V10)))</f>
        <v>7.5763989424129567</v>
      </c>
      <c r="O11" s="14">
        <f>N11*VLOOKUP('Données projet'!$B$9,Paramètres!$A$1:$I$89,3,0)*VLOOKUP('Données projet'!$B$9,Paramètres!$A$1:$I$89,5,0)</f>
        <v>3.5457547050492639</v>
      </c>
      <c r="P11" s="14">
        <f t="shared" si="33"/>
        <v>1.4101803587787649</v>
      </c>
      <c r="Q11" s="22">
        <f t="shared" si="2"/>
        <v>8.631586902833817</v>
      </c>
      <c r="R11" s="62">
        <f t="shared" si="0"/>
        <v>275.07603134727827</v>
      </c>
      <c r="S11" s="62">
        <f ca="1">AVERAGE(OFFSET($R$3,0,0,'Données projet'!$E$9+1,1))-AVERAGE(OFFSET($H$3,0,0,'Données projet'!$E$9+1,1))</f>
        <v>396.92963589781414</v>
      </c>
      <c r="T11" s="62">
        <f t="shared" si="34"/>
        <v>294.38852181137639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8.526315789473685</v>
      </c>
      <c r="AI11" s="14">
        <f>IF('Données projet'!$A$62&gt;35,AI10+AH11-AQ10,IF(A11&lt;'Données projet'!$A$62,$AF$205^A11,IF(A11='Données projet'!$A$62,'Données projet'!$B$62,AI10+AH11-AQ10)))</f>
        <v>8.5176955198213591</v>
      </c>
      <c r="AJ11" s="14">
        <f>AI11*VLOOKUP('Données projet'!$B$10,Paramètres!$A$1:$I$89,3,0)*VLOOKUP('Données projet'!$B$10,Paramètres!$A$1:$I$89,5,0)</f>
        <v>4.7613917955801393</v>
      </c>
      <c r="AK11" s="14">
        <f t="shared" si="35"/>
        <v>1.8297752795633417</v>
      </c>
      <c r="AL11" s="22">
        <f t="shared" si="4"/>
        <v>11.479615989208229</v>
      </c>
      <c r="AM11" s="62">
        <f t="shared" si="5"/>
        <v>277.9240604336527</v>
      </c>
      <c r="AN11" s="62">
        <f ca="1">AVERAGE(OFFSET($AM$3,0,0,'Données projet'!$E$10+1,1))-AVERAGE(OFFSET($H$3,0,0,'Données projet'!$E$10+1,1))</f>
        <v>443.34220761968419</v>
      </c>
      <c r="AO11" s="62">
        <f t="shared" si="36"/>
        <v>546.58234447298014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7.9</v>
      </c>
      <c r="N12" s="14">
        <f>IF('Données projet'!$A$36&gt;35,N11+M12-V11,IF(A12&lt;'Données projet'!$A$36,$K$205^A12,IF(A12='Données projet'!$A$36,'Données projet'!$B$36,N11+M12-V11)))</f>
        <v>9.7587836327093171</v>
      </c>
      <c r="O12" s="14">
        <f>N12*VLOOKUP('Données projet'!$B$9,Paramètres!$A$1:$I$89,3,0)*VLOOKUP('Données projet'!$B$9,Paramètres!$A$1:$I$89,5,0)</f>
        <v>4.5671107401079603</v>
      </c>
      <c r="P12" s="14">
        <f t="shared" si="33"/>
        <v>1.763645650133036</v>
      </c>
      <c r="Q12" s="22">
        <f t="shared" si="2"/>
        <v>11.026067379669733</v>
      </c>
      <c r="R12" s="62">
        <f t="shared" si="0"/>
        <v>278.6927340463364</v>
      </c>
      <c r="S12" s="62">
        <f ca="1">AVERAGE(OFFSET($R$3,0,0,'Données projet'!$E$9+1,1))-AVERAGE(OFFSET($H$3,0,0,'Données projet'!$E$9+1,1))</f>
        <v>396.92963589781414</v>
      </c>
      <c r="T12" s="62">
        <f t="shared" si="34"/>
        <v>294.38852181137639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8.526315789473685</v>
      </c>
      <c r="AI12" s="14">
        <f>IF('Données projet'!$A$62&gt;35,AI11+AH12-AQ11,IF(A12&lt;'Données projet'!$A$62,$AF$205^A12,IF(A12='Données projet'!$A$62,'Données projet'!$B$62,AI11+AH12-AQ11)))</f>
        <v>11.133004261541316</v>
      </c>
      <c r="AJ12" s="14">
        <f>AI12*VLOOKUP('Données projet'!$B$10,Paramètres!$A$1:$I$89,3,0)*VLOOKUP('Données projet'!$B$10,Paramètres!$A$1:$I$89,5,0)</f>
        <v>6.2233493822015964</v>
      </c>
      <c r="AK12" s="14">
        <f t="shared" si="35"/>
        <v>2.3182049730052579</v>
      </c>
      <c r="AL12" s="22">
        <f t="shared" si="4"/>
        <v>14.87654050198527</v>
      </c>
      <c r="AM12" s="62">
        <f t="shared" si="5"/>
        <v>282.54320716865197</v>
      </c>
      <c r="AN12" s="62">
        <f ca="1">AVERAGE(OFFSET($AM$3,0,0,'Données projet'!$E$10+1,1))-AVERAGE(OFFSET($H$3,0,0,'Données projet'!$E$10+1,1))</f>
        <v>443.34220761968419</v>
      </c>
      <c r="AO12" s="62">
        <f t="shared" si="36"/>
        <v>546.58234447298014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7.9</v>
      </c>
      <c r="N13" s="14">
        <f>IF('Données projet'!$A$36&gt;35,N12+M13-V12,IF(A13&lt;'Données projet'!$A$36,$K$205^A13,IF(A13='Données projet'!$A$36,'Données projet'!$B$36,N12+M13-V12)))</f>
        <v>12.569805089976542</v>
      </c>
      <c r="O13" s="14">
        <f>N13*VLOOKUP('Données projet'!$B$9,Paramètres!$A$1:$I$89,3,0)*VLOOKUP('Données projet'!$B$9,Paramètres!$A$1:$I$89,5,0)</f>
        <v>5.8826687821090227</v>
      </c>
      <c r="P13" s="14">
        <f t="shared" si="33"/>
        <v>2.2057079152108381</v>
      </c>
      <c r="Q13" s="22">
        <f t="shared" si="2"/>
        <v>14.087256081165423</v>
      </c>
      <c r="R13" s="62">
        <f t="shared" si="0"/>
        <v>282.97614497005429</v>
      </c>
      <c r="S13" s="62">
        <f ca="1">AVERAGE(OFFSET($R$3,0,0,'Données projet'!$E$9+1,1))-AVERAGE(OFFSET($H$3,0,0,'Données projet'!$E$9+1,1))</f>
        <v>396.92963589781414</v>
      </c>
      <c r="T13" s="62">
        <f t="shared" si="34"/>
        <v>294.38852181137639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8.526315789473685</v>
      </c>
      <c r="AI13" s="14">
        <f>IF('Données projet'!$A$62&gt;35,AI12+AH13-AQ12,IF(A13&lt;'Données projet'!$A$62,$AF$205^A13,IF(A13='Données projet'!$A$62,'Données projet'!$B$62,AI12+AH13-AQ12)))</f>
        <v>14.551328302246779</v>
      </c>
      <c r="AJ13" s="14">
        <f>AI13*VLOOKUP('Données projet'!$B$10,Paramètres!$A$1:$I$89,3,0)*VLOOKUP('Données projet'!$B$10,Paramètres!$A$1:$I$89,5,0)</f>
        <v>8.1341925209559491</v>
      </c>
      <c r="AK13" s="14">
        <f t="shared" si="35"/>
        <v>2.9370132807503975</v>
      </c>
      <c r="AL13" s="22">
        <f t="shared" si="4"/>
        <v>19.282350104638549</v>
      </c>
      <c r="AM13" s="62">
        <f t="shared" si="5"/>
        <v>288.17123899352742</v>
      </c>
      <c r="AN13" s="62">
        <f ca="1">AVERAGE(OFFSET($AM$3,0,0,'Données projet'!$E$10+1,1))-AVERAGE(OFFSET($H$3,0,0,'Données projet'!$E$10+1,1))</f>
        <v>443.34220761968419</v>
      </c>
      <c r="AO13" s="62">
        <f t="shared" si="36"/>
        <v>546.58234447298014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7.9</v>
      </c>
      <c r="N14" s="14">
        <f>IF('Données projet'!$A$36&gt;35,N13+M14-V13,IF(A14&lt;'Données projet'!$A$36,$K$205^A14,IF(A14='Données projet'!$A$36,'Données projet'!$B$36,N13+M14-V13)))</f>
        <v>16.190542381779895</v>
      </c>
      <c r="O14" s="14">
        <f>N14*VLOOKUP('Données projet'!$B$9,Paramètres!$A$1:$I$89,3,0)*VLOOKUP('Données projet'!$B$9,Paramètres!$A$1:$I$89,5,0)</f>
        <v>7.5771738346729904</v>
      </c>
      <c r="P14" s="14">
        <f t="shared" si="33"/>
        <v>2.7585742106736397</v>
      </c>
      <c r="Q14" s="22">
        <f t="shared" si="2"/>
        <v>18.001427845645381</v>
      </c>
      <c r="R14" s="62">
        <f t="shared" si="0"/>
        <v>288.11253895675651</v>
      </c>
      <c r="S14" s="62">
        <f ca="1">AVERAGE(OFFSET($R$3,0,0,'Données projet'!$E$9+1,1))-AVERAGE(OFFSET($H$3,0,0,'Données projet'!$E$9+1,1))</f>
        <v>396.92963589781414</v>
      </c>
      <c r="T14" s="62">
        <f t="shared" si="34"/>
        <v>294.38852181137639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8.526315789473685</v>
      </c>
      <c r="AI14" s="14">
        <f>IF('Données projet'!$A$62&gt;35,AI13+AH14-AQ13,IF(A14&lt;'Données projet'!$A$62,$AF$205^A14,IF(A14='Données projet'!$A$62,'Données projet'!$B$62,AI13+AH14-AQ13)))</f>
        <v>19.01922880701866</v>
      </c>
      <c r="AJ14" s="14">
        <f>AI14*VLOOKUP('Données projet'!$B$10,Paramètres!$A$1:$I$89,3,0)*VLOOKUP('Données projet'!$B$10,Paramètres!$A$1:$I$89,5,0)</f>
        <v>10.631748903123432</v>
      </c>
      <c r="AK14" s="14">
        <f t="shared" si="35"/>
        <v>3.7210027205323613</v>
      </c>
      <c r="AL14" s="22">
        <f t="shared" si="4"/>
        <v>24.997709077867171</v>
      </c>
      <c r="AM14" s="62">
        <f t="shared" si="5"/>
        <v>295.10882018897831</v>
      </c>
      <c r="AN14" s="62">
        <f ca="1">AVERAGE(OFFSET($AM$3,0,0,'Données projet'!$E$10+1,1))-AVERAGE(OFFSET($H$3,0,0,'Données projet'!$E$10+1,1))</f>
        <v>443.34220761968419</v>
      </c>
      <c r="AO14" s="62">
        <f t="shared" si="36"/>
        <v>546.58234447298014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7.9</v>
      </c>
      <c r="N15" s="14">
        <f>IF('Données projet'!$A$36&gt;35,N14+M15-V14,IF(A15&lt;'Données projet'!$A$36,$K$205^A15,IF(A15='Données projet'!$A$36,'Données projet'!$B$36,N14+M15-V14)))</f>
        <v>20.854234472198982</v>
      </c>
      <c r="O15" s="14">
        <f>N15*VLOOKUP('Données projet'!$B$9,Paramètres!$A$1:$I$89,3,0)*VLOOKUP('Données projet'!$B$9,Paramètres!$A$1:$I$89,5,0)</f>
        <v>9.7597817329891239</v>
      </c>
      <c r="P15" s="14">
        <f t="shared" si="33"/>
        <v>3.4500178483814818</v>
      </c>
      <c r="Q15" s="22">
        <f t="shared" si="2"/>
        <v>23.00706760422047</v>
      </c>
      <c r="R15" s="62">
        <f t="shared" si="0"/>
        <v>294.3404009375538</v>
      </c>
      <c r="S15" s="62">
        <f ca="1">AVERAGE(OFFSET($R$3,0,0,'Données projet'!$E$9+1,1))-AVERAGE(OFFSET($H$3,0,0,'Données projet'!$E$9+1,1))</f>
        <v>396.92963589781414</v>
      </c>
      <c r="T15" s="62">
        <f t="shared" si="34"/>
        <v>294.38852181137639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8.526315789473685</v>
      </c>
      <c r="AI15" s="14">
        <f>IF('Données projet'!$A$62&gt;35,AI14+AH15-AQ14,IF(A15&lt;'Données projet'!$A$62,$AF$205^A15,IF(A15='Données projet'!$A$62,'Données projet'!$B$62,AI14+AH15-AQ14)))</f>
        <v>24.85897210895007</v>
      </c>
      <c r="AJ15" s="14">
        <f>AI15*VLOOKUP('Données projet'!$B$10,Paramètres!$A$1:$I$89,3,0)*VLOOKUP('Données projet'!$B$10,Paramètres!$A$1:$I$89,5,0)</f>
        <v>13.896165408903089</v>
      </c>
      <c r="AK15" s="14">
        <f t="shared" si="35"/>
        <v>4.7142657940830492</v>
      </c>
      <c r="AL15" s="22">
        <f t="shared" si="4"/>
        <v>32.413167678534187</v>
      </c>
      <c r="AM15" s="62">
        <f t="shared" si="5"/>
        <v>303.74650101186751</v>
      </c>
      <c r="AN15" s="62">
        <f ca="1">AVERAGE(OFFSET($AM$3,0,0,'Données projet'!$E$10+1,1))-AVERAGE(OFFSET($H$3,0,0,'Données projet'!$E$10+1,1))</f>
        <v>443.34220761968419</v>
      </c>
      <c r="AO15" s="62">
        <f t="shared" si="36"/>
        <v>546.58234447298014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7.9</v>
      </c>
      <c r="N16" s="14">
        <f>IF('Données projet'!$A$36&gt;35,N15+M16-V15,IF(A16&lt;'Données projet'!$A$36,$K$205^A16,IF(A16='Données projet'!$A$36,'Données projet'!$B$36,N15+M16-V15)))</f>
        <v>26.861304900499697</v>
      </c>
      <c r="O16" s="14">
        <f>N16*VLOOKUP('Données projet'!$B$9,Paramètres!$A$1:$I$89,3,0)*VLOOKUP('Données projet'!$B$9,Paramètres!$A$1:$I$89,5,0)</f>
        <v>12.571090693433858</v>
      </c>
      <c r="P16" s="14">
        <f t="shared" si="33"/>
        <v>4.3147735914069099</v>
      </c>
      <c r="Q16" s="22">
        <f t="shared" si="2"/>
        <v>29.409546962764335</v>
      </c>
      <c r="R16" s="62">
        <f t="shared" si="0"/>
        <v>301.9651025183199</v>
      </c>
      <c r="S16" s="62">
        <f ca="1">AVERAGE(OFFSET($R$3,0,0,'Données projet'!$E$9+1,1))-AVERAGE(OFFSET($H$3,0,0,'Données projet'!$E$9+1,1))</f>
        <v>396.92963589781414</v>
      </c>
      <c r="T16" s="62">
        <f t="shared" si="34"/>
        <v>294.38852181137639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8.526315789473685</v>
      </c>
      <c r="AI16" s="14">
        <f>IF('Données projet'!$A$62&gt;35,AI15+AH16-AQ15,IF(A16&lt;'Données projet'!$A$62,$AF$205^A16,IF(A16='Données projet'!$A$62,'Données projet'!$B$62,AI15+AH16-AQ15)))</f>
        <v>32.491774539539094</v>
      </c>
      <c r="AJ16" s="14">
        <f>AI16*VLOOKUP('Données projet'!$B$10,Paramètres!$A$1:$I$89,3,0)*VLOOKUP('Données projet'!$B$10,Paramètres!$A$1:$I$89,5,0)</f>
        <v>18.162901967602355</v>
      </c>
      <c r="AK16" s="14">
        <f t="shared" si="35"/>
        <v>5.9726648020514927</v>
      </c>
      <c r="AL16" s="22">
        <f t="shared" si="4"/>
        <v>42.036112123813787</v>
      </c>
      <c r="AM16" s="62">
        <f t="shared" si="5"/>
        <v>314.59166767936932</v>
      </c>
      <c r="AN16" s="62">
        <f ca="1">AVERAGE(OFFSET($AM$3,0,0,'Données projet'!$E$10+1,1))-AVERAGE(OFFSET($H$3,0,0,'Données projet'!$E$10+1,1))</f>
        <v>443.34220761968419</v>
      </c>
      <c r="AO16" s="62">
        <f t="shared" si="36"/>
        <v>546.58234447298014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7.9</v>
      </c>
      <c r="N17" s="14">
        <f>IF('Données projet'!$A$36&gt;35,N16+M17-V16,IF(A17&lt;'Données projet'!$A$36,$K$205^A17,IF(A17='Données projet'!$A$36,'Données projet'!$B$36,N16+M17-V16)))</f>
        <v>34.598714324397214</v>
      </c>
      <c r="O17" s="14">
        <f>N17*VLOOKUP('Données projet'!$B$9,Paramètres!$A$1:$I$89,3,0)*VLOOKUP('Données projet'!$B$9,Paramètres!$A$1:$I$89,5,0)</f>
        <v>16.192198303817896</v>
      </c>
      <c r="P17" s="14">
        <f t="shared" si="33"/>
        <v>5.3962825594761723</v>
      </c>
      <c r="Q17" s="22">
        <f t="shared" si="2"/>
        <v>37.599937503570509</v>
      </c>
      <c r="R17" s="62">
        <f t="shared" si="0"/>
        <v>311.37771528134829</v>
      </c>
      <c r="S17" s="62">
        <f ca="1">AVERAGE(OFFSET($R$3,0,0,'Données projet'!$E$9+1,1))-AVERAGE(OFFSET($H$3,0,0,'Données projet'!$E$9+1,1))</f>
        <v>396.92963589781414</v>
      </c>
      <c r="T17" s="62">
        <f t="shared" si="34"/>
        <v>294.38852181137639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8.526315789473685</v>
      </c>
      <c r="AI17" s="14">
        <f>IF('Données projet'!$A$62&gt;35,AI16+AH17-AQ16,IF(A17&lt;'Données projet'!$A$62,$AF$205^A17,IF(A17='Données projet'!$A$62,'Données projet'!$B$62,AI16+AH17-AQ16)))</f>
        <v>42.468184448710481</v>
      </c>
      <c r="AJ17" s="14">
        <f>AI17*VLOOKUP('Données projet'!$B$10,Paramètres!$A$1:$I$89,3,0)*VLOOKUP('Données projet'!$B$10,Paramètres!$A$1:$I$89,5,0)</f>
        <v>23.739715106829159</v>
      </c>
      <c r="AK17" s="14">
        <f t="shared" si="35"/>
        <v>7.5669736064602473</v>
      </c>
      <c r="AL17" s="22">
        <f t="shared" si="4"/>
        <v>54.525816175645708</v>
      </c>
      <c r="AM17" s="62">
        <f t="shared" si="5"/>
        <v>328.3035939534235</v>
      </c>
      <c r="AN17" s="62">
        <f ca="1">AVERAGE(OFFSET($AM$3,0,0,'Données projet'!$E$10+1,1))-AVERAGE(OFFSET($H$3,0,0,'Données projet'!$E$10+1,1))</f>
        <v>443.34220761968419</v>
      </c>
      <c r="AO17" s="62">
        <f t="shared" si="36"/>
        <v>546.58234447298014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7.9</v>
      </c>
      <c r="N18" s="14">
        <f>IF('Données projet'!$A$36&gt;35,N17+M18-V17,IF(A18&lt;'Données projet'!$A$36,$K$205^A18,IF(A18='Données projet'!$A$36,'Données projet'!$B$36,N17+M18-V17)))</f>
        <v>44.564887571004775</v>
      </c>
      <c r="O18" s="14">
        <f>N18*VLOOKUP('Données projet'!$B$9,Paramètres!$A$1:$I$89,3,0)*VLOOKUP('Données projet'!$B$9,Paramètres!$A$1:$I$89,5,0)</f>
        <v>20.856367383230236</v>
      </c>
      <c r="P18" s="14">
        <f t="shared" si="33"/>
        <v>6.7488744993944465</v>
      </c>
      <c r="Q18" s="22">
        <f t="shared" si="2"/>
        <v>48.079129612237985</v>
      </c>
      <c r="R18" s="62">
        <f t="shared" si="0"/>
        <v>323.07912961223798</v>
      </c>
      <c r="S18" s="62">
        <f ca="1">AVERAGE(OFFSET($R$3,0,0,'Données projet'!$E$9+1,1))-AVERAGE(OFFSET($H$3,0,0,'Données projet'!$E$9+1,1))</f>
        <v>396.92963589781414</v>
      </c>
      <c r="T18" s="62">
        <f t="shared" si="34"/>
        <v>294.38852181137639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8.526315789473685</v>
      </c>
      <c r="AI18" s="14">
        <f>IF('Données projet'!$A$62&gt;35,AI17+AH18-AQ17,IF(A18&lt;'Données projet'!$A$62,$AF$205^A18,IF(A18='Données projet'!$A$62,'Données projet'!$B$62,AI17+AH18-AQ17)))</f>
        <v>55.507792846923991</v>
      </c>
      <c r="AJ18" s="14">
        <f>AI18*VLOOKUP('Données projet'!$B$10,Paramètres!$A$1:$I$89,3,0)*VLOOKUP('Données projet'!$B$10,Paramètres!$A$1:$I$89,5,0)</f>
        <v>31.028856201430514</v>
      </c>
      <c r="AK18" s="14">
        <f t="shared" si="35"/>
        <v>9.5868580371693835</v>
      </c>
      <c r="AL18" s="22">
        <f t="shared" si="4"/>
        <v>70.739035632228152</v>
      </c>
      <c r="AM18" s="62">
        <f t="shared" si="5"/>
        <v>345.73903563222814</v>
      </c>
      <c r="AN18" s="62">
        <f ca="1">AVERAGE(OFFSET($AM$3,0,0,'Données projet'!$E$10+1,1))-AVERAGE(OFFSET($H$3,0,0,'Données projet'!$E$10+1,1))</f>
        <v>443.34220761968419</v>
      </c>
      <c r="AO18" s="62">
        <f t="shared" si="36"/>
        <v>546.58234447298014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7.9</v>
      </c>
      <c r="N19" s="14">
        <f>IF('Données projet'!$A$36&gt;35,N18+M19-V18,IF(A19&lt;'Données projet'!$A$36,$K$205^A19,IF(A19='Données projet'!$A$36,'Données projet'!$B$36,N18+M19-V18)))</f>
        <v>57.401820934596167</v>
      </c>
      <c r="O19" s="14">
        <f>N19*VLOOKUP('Données projet'!$B$9,Paramètres!$A$1:$I$89,3,0)*VLOOKUP('Données projet'!$B$9,Paramètres!$A$1:$I$89,5,0)</f>
        <v>26.864052197391008</v>
      </c>
      <c r="P19" s="14">
        <f t="shared" si="33"/>
        <v>8.4404970471001413</v>
      </c>
      <c r="Q19" s="22">
        <f t="shared" si="2"/>
        <v>61.488756600822086</v>
      </c>
      <c r="R19" s="62">
        <f t="shared" si="0"/>
        <v>337.71097882304434</v>
      </c>
      <c r="S19" s="62">
        <f ca="1">AVERAGE(OFFSET($R$3,0,0,'Données projet'!$E$9+1,1))-AVERAGE(OFFSET($H$3,0,0,'Données projet'!$E$9+1,1))</f>
        <v>396.92963589781414</v>
      </c>
      <c r="T19" s="62">
        <f t="shared" si="34"/>
        <v>294.38852181137639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8.526315789473685</v>
      </c>
      <c r="AI19" s="14">
        <f>IF('Données projet'!$A$62&gt;35,AI18+AH19-AQ18,IF(A19&lt;'Données projet'!$A$62,$AF$205^A19,IF(A19='Données projet'!$A$62,'Données projet'!$B$62,AI18+AH19-AQ18)))</f>
        <v>72.551136968384853</v>
      </c>
      <c r="AJ19" s="14">
        <f>AI19*VLOOKUP('Données projet'!$B$10,Paramètres!$A$1:$I$89,3,0)*VLOOKUP('Données projet'!$B$10,Paramètres!$A$1:$I$89,5,0)</f>
        <v>40.55608556532713</v>
      </c>
      <c r="AK19" s="14">
        <f t="shared" si="35"/>
        <v>12.145918805157919</v>
      </c>
      <c r="AL19" s="22">
        <f t="shared" si="4"/>
        <v>91.78932427859479</v>
      </c>
      <c r="AM19" s="62">
        <f t="shared" si="5"/>
        <v>368.01154650081702</v>
      </c>
      <c r="AN19" s="62">
        <f ca="1">AVERAGE(OFFSET($AM$3,0,0,'Données projet'!$E$10+1,1))-AVERAGE(OFFSET($H$3,0,0,'Données projet'!$E$10+1,1))</f>
        <v>443.34220761968419</v>
      </c>
      <c r="AO19" s="62">
        <f t="shared" si="36"/>
        <v>546.58234447298014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7.9</v>
      </c>
      <c r="N20" s="14">
        <f>IF('Données projet'!$A$36&gt;35,N19+M20-V19,IF(A20&lt;'Données projet'!$A$36,$K$205^A20,IF(A20='Données projet'!$A$36,'Données projet'!$B$36,N19+M20-V19)))</f>
        <v>73.936437994095741</v>
      </c>
      <c r="O20" s="14">
        <f>N20*VLOOKUP('Données projet'!$B$9,Paramètres!$A$1:$I$89,3,0)*VLOOKUP('Données projet'!$B$9,Paramètres!$A$1:$I$89,5,0)</f>
        <v>34.602252981236802</v>
      </c>
      <c r="P20" s="14">
        <f t="shared" si="33"/>
        <v>10.556129086190376</v>
      </c>
      <c r="Q20" s="22">
        <f t="shared" si="2"/>
        <v>78.650848767435647</v>
      </c>
      <c r="R20" s="62">
        <f t="shared" si="0"/>
        <v>356.09529321188012</v>
      </c>
      <c r="S20" s="62">
        <f ca="1">AVERAGE(OFFSET($R$3,0,0,'Données projet'!$E$9+1,1))-AVERAGE(OFFSET($H$3,0,0,'Données projet'!$E$9+1,1))</f>
        <v>396.92963589781414</v>
      </c>
      <c r="T20" s="62">
        <f t="shared" si="34"/>
        <v>294.38852181137639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8.526315789473685</v>
      </c>
      <c r="AI20" s="14">
        <f>IF('Données projet'!$A$62&gt;35,AI19+AH20-AQ19,IF(A20&lt;'Données projet'!$A$62,$AF$205^A20,IF(A20='Données projet'!$A$62,'Données projet'!$B$62,AI19+AH20-AQ19)))</f>
        <v>94.827540520682575</v>
      </c>
      <c r="AJ20" s="14">
        <f>AI20*VLOOKUP('Données projet'!$B$10,Paramètres!$A$1:$I$89,3,0)*VLOOKUP('Données projet'!$B$10,Paramètres!$A$1:$I$89,5,0)</f>
        <v>53.008595151061563</v>
      </c>
      <c r="AK20" s="14">
        <f t="shared" si="35"/>
        <v>15.388080542084102</v>
      </c>
      <c r="AL20" s="22">
        <f t="shared" si="4"/>
        <v>119.12421016556203</v>
      </c>
      <c r="AM20" s="62">
        <f t="shared" si="5"/>
        <v>396.56865461000649</v>
      </c>
      <c r="AN20" s="62">
        <f ca="1">AVERAGE(OFFSET($AM$3,0,0,'Données projet'!$E$10+1,1))-AVERAGE(OFFSET($H$3,0,0,'Données projet'!$E$10+1,1))</f>
        <v>443.34220761968419</v>
      </c>
      <c r="AO20" s="62">
        <f t="shared" si="36"/>
        <v>546.58234447298014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7.9</v>
      </c>
      <c r="N21" s="14">
        <f>IF('Données projet'!$A$36&gt;35,N20+M21-V20,IF(A21&lt;'Données projet'!$A$36,$K$205^A21,IF(A21='Données projet'!$A$36,'Données projet'!$B$36,N20+M21-V20)))</f>
        <v>95.233857990035276</v>
      </c>
      <c r="O21" s="14">
        <f>N21*VLOOKUP('Données projet'!$B$9,Paramètres!$A$1:$I$89,3,0)*VLOOKUP('Données projet'!$B$9,Paramètres!$A$1:$I$89,5,0)</f>
        <v>44.569445539336513</v>
      </c>
      <c r="P21" s="14">
        <f t="shared" si="33"/>
        <v>13.202049673437019</v>
      </c>
      <c r="Q21" s="22">
        <f t="shared" si="2"/>
        <v>100.61868749558056</v>
      </c>
      <c r="R21" s="62">
        <f t="shared" si="0"/>
        <v>379.28535416224724</v>
      </c>
      <c r="S21" s="62">
        <f ca="1">AVERAGE(OFFSET($R$3,0,0,'Données projet'!$E$9+1,1))-AVERAGE(OFFSET($H$3,0,0,'Données projet'!$E$9+1,1))</f>
        <v>396.92963589781414</v>
      </c>
      <c r="T21" s="62">
        <f t="shared" si="34"/>
        <v>294.38852181137639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8.526315789473685</v>
      </c>
      <c r="AI21" s="14">
        <f>IF('Données projet'!$A$62&gt;35,AI20+AH21-AQ20,IF(A21&lt;'Données projet'!$A$62,$AF$205^A21,IF(A21='Données projet'!$A$62,'Données projet'!$B$62,AI20+AH21-AQ20)))</f>
        <v>123.94378388749713</v>
      </c>
      <c r="AJ21" s="14">
        <f>AI21*VLOOKUP('Données projet'!$B$10,Paramètres!$A$1:$I$89,3,0)*VLOOKUP('Données projet'!$B$10,Paramètres!$A$1:$I$89,5,0)</f>
        <v>69.284575193110896</v>
      </c>
      <c r="AK21" s="14">
        <f t="shared" si="35"/>
        <v>19.495686293334202</v>
      </c>
      <c r="AL21" s="22">
        <f t="shared" si="4"/>
        <v>154.62562208889187</v>
      </c>
      <c r="AM21" s="62">
        <f t="shared" si="5"/>
        <v>433.29228875555856</v>
      </c>
      <c r="AN21" s="62">
        <f ca="1">AVERAGE(OFFSET($AM$3,0,0,'Données projet'!$E$10+1,1))-AVERAGE(OFFSET($H$3,0,0,'Données projet'!$E$10+1,1))</f>
        <v>443.34220761968419</v>
      </c>
      <c r="AO21" s="62">
        <f t="shared" si="36"/>
        <v>546.58234447298014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7.9</v>
      </c>
      <c r="N22" s="14">
        <f>IF('Données projet'!$A$36&gt;35,N21+M22-V21,IF(A22&lt;'Données projet'!$A$36,$K$205^A22,IF(A22='Données projet'!$A$36,'Données projet'!$B$36,N21+M22-V21)))</f>
        <v>122.66600817840934</v>
      </c>
      <c r="O22" s="14">
        <f>N22*VLOOKUP('Données projet'!$B$9,Paramètres!$A$1:$I$89,3,0)*VLOOKUP('Données projet'!$B$9,Paramètres!$A$1:$I$89,5,0)</f>
        <v>57.407691827495569</v>
      </c>
      <c r="P22" s="14">
        <f t="shared" si="33"/>
        <v>16.511176981334152</v>
      </c>
      <c r="Q22" s="22">
        <f t="shared" si="2"/>
        <v>128.7420298420451</v>
      </c>
      <c r="R22" s="62">
        <f t="shared" si="0"/>
        <v>408.63091873093396</v>
      </c>
      <c r="S22" s="62">
        <f ca="1">AVERAGE(OFFSET($R$3,0,0,'Données projet'!$E$9+1,1))-AVERAGE(OFFSET($H$3,0,0,'Données projet'!$E$9+1,1))</f>
        <v>396.92963589781414</v>
      </c>
      <c r="T22" s="62">
        <f t="shared" si="34"/>
        <v>294.38852181137639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>
        <f>VLOOKUP(A22,'Données projet'!$A$61:$I$81,2,0)</f>
        <v>162</v>
      </c>
      <c r="AG22" s="13">
        <f>VLOOKUP(A22,'Données projet'!$A$61:$I$81,9,0)</f>
        <v>8.526315789473685</v>
      </c>
      <c r="AH22" s="13">
        <f t="array" ref="AH22">INDEX(AG:AG,MIN(IF(ISNUMBER(AG22:AG218),ROW(AG22:AG218),"")))</f>
        <v>8.526315789473685</v>
      </c>
      <c r="AI22" s="14">
        <f>IF('Données projet'!$A$62&gt;35,AI21+AH22-AQ21,IF(A22&lt;'Données projet'!$A$62,$AF$205^A22,IF(A22='Données projet'!$A$62,'Données projet'!$B$62,AI21+AH22-AQ21)))</f>
        <v>162</v>
      </c>
      <c r="AJ22" s="14">
        <f>AI22*VLOOKUP('Données projet'!$B$10,Paramètres!$A$1:$I$89,3,0)*VLOOKUP('Données projet'!$B$10,Paramètres!$A$1:$I$89,5,0)</f>
        <v>90.557999999999993</v>
      </c>
      <c r="AK22" s="14">
        <f t="shared" si="35"/>
        <v>24.699752708509138</v>
      </c>
      <c r="AL22" s="22">
        <f t="shared" si="4"/>
        <v>200.74058596732007</v>
      </c>
      <c r="AM22" s="62">
        <f t="shared" si="5"/>
        <v>480.62947485620896</v>
      </c>
      <c r="AN22" s="62">
        <f ca="1">AVERAGE(OFFSET($AM$3,0,0,'Données projet'!$E$10+1,1))-AVERAGE(OFFSET($H$3,0,0,'Données projet'!$E$10+1,1))</f>
        <v>443.34220761968419</v>
      </c>
      <c r="AO22" s="62">
        <f t="shared" si="36"/>
        <v>546.58234447298014</v>
      </c>
      <c r="AP22" s="16">
        <f>IF(ISNA(VLOOKUP(A22,'Données projet'!$A$61:$I$81,3,0)),0,VLOOKUP(A22,'Données projet'!$A$61:$I$81,3,0))</f>
        <v>1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8.2500000000000004E-2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0.85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158</v>
      </c>
      <c r="L23" s="13">
        <f>VLOOKUP(A23,'Données projet'!$A$35:$I$55,9,0)</f>
        <v>7.9</v>
      </c>
      <c r="M23" s="13">
        <f t="array" ref="M23">INDEX(L:L,MIN(IF(ISNUMBER(L23:L219),ROW(L23:L219),"")))</f>
        <v>7.9</v>
      </c>
      <c r="N23" s="14">
        <f>IF('Données projet'!$A$36&gt;35,N22+M23-V22,IF(A23&lt;'Données projet'!$A$36,$K$205^A23,IF(A23='Données projet'!$A$36,'Données projet'!$B$36,N22+M23-V22)))</f>
        <v>158</v>
      </c>
      <c r="O23" s="14">
        <f>N23*VLOOKUP('Données projet'!$B$9,Paramètres!$A$1:$I$89,3,0)*VLOOKUP('Données projet'!$B$9,Paramètres!$A$1:$I$89,5,0)</f>
        <v>73.944000000000003</v>
      </c>
      <c r="P23" s="14">
        <f t="shared" si="33"/>
        <v>20.649745460165708</v>
      </c>
      <c r="Q23" s="22">
        <f t="shared" si="2"/>
        <v>164.75077334312192</v>
      </c>
      <c r="R23" s="62">
        <f t="shared" si="0"/>
        <v>445.86188445423306</v>
      </c>
      <c r="S23" s="62">
        <f ca="1">AVERAGE(OFFSET($R$3,0,0,'Données projet'!$E$9+1,1))-AVERAGE(OFFSET($H$3,0,0,'Données projet'!$E$9+1,1))</f>
        <v>396.92963589781414</v>
      </c>
      <c r="T23" s="62">
        <f t="shared" si="34"/>
        <v>294.38852181137639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0.33</v>
      </c>
      <c r="X23" s="78">
        <f>IF(ISNA(VLOOKUP(A23,'Données projet'!$A$35:$I$55,6,0)),0%,VLOOKUP(A23,'Données projet'!$A$35:$I$55,6,0)*VLOOKUP('Données projet'!$B$9,Paramètres!$A$1:$I$89,7,0))</f>
        <v>0.22000000000000003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28.833333333333332</v>
      </c>
      <c r="AI23" s="14">
        <f>IF('Données projet'!$A$62&gt;35,AI22+AH23-AQ22,IF(A23&lt;'Données projet'!$A$62,$AF$205^A23,IF(A23='Données projet'!$A$62,'Données projet'!$B$62,AI22+AH23-AQ22)))</f>
        <v>190.83333333333334</v>
      </c>
      <c r="AJ23" s="14">
        <f>AI23*VLOOKUP('Données projet'!$B$10,Paramètres!$A$1:$I$89,3,0)*VLOOKUP('Données projet'!$B$10,Paramètres!$A$1:$I$89,5,0)</f>
        <v>106.67583333333334</v>
      </c>
      <c r="AK23" s="14">
        <f t="shared" si="35"/>
        <v>28.546391754319739</v>
      </c>
      <c r="AL23" s="22">
        <f t="shared" si="4"/>
        <v>235.51204202766243</v>
      </c>
      <c r="AM23" s="62">
        <f t="shared" si="5"/>
        <v>516.62315313877355</v>
      </c>
      <c r="AN23" s="62">
        <f ca="1">AVERAGE(OFFSET($AM$3,0,0,'Données projet'!$E$10+1,1))-AVERAGE(OFFSET($H$3,0,0,'Données projet'!$E$10+1,1))</f>
        <v>443.34220761968419</v>
      </c>
      <c r="AO23" s="62">
        <f t="shared" si="36"/>
        <v>546.58234447298014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9.1999999999999993</v>
      </c>
      <c r="N24" s="14">
        <f>IF('Données projet'!$A$36&gt;35,N23+M24-V23,IF(A24&lt;'Données projet'!$A$36,$K$205^A24,IF(A24='Données projet'!$A$36,'Données projet'!$B$36,N23+M24-V23)))</f>
        <v>167.2</v>
      </c>
      <c r="O24" s="14">
        <f>N24*VLOOKUP('Données projet'!$B$9,Paramètres!$A$1:$I$89,3,0)*VLOOKUP('Données projet'!$B$9,Paramètres!$A$1:$I$89,5,0)</f>
        <v>78.249599999999987</v>
      </c>
      <c r="P24" s="14">
        <f t="shared" si="33"/>
        <v>21.708652740239781</v>
      </c>
      <c r="Q24" s="22">
        <f t="shared" si="2"/>
        <v>174.09395685591758</v>
      </c>
      <c r="R24" s="62">
        <f t="shared" si="0"/>
        <v>456.42729018925093</v>
      </c>
      <c r="S24" s="62">
        <f ca="1">AVERAGE(OFFSET($R$3,0,0,'Données projet'!$E$9+1,1))-AVERAGE(OFFSET($H$3,0,0,'Données projet'!$E$9+1,1))</f>
        <v>396.92963589781414</v>
      </c>
      <c r="T24" s="62">
        <f t="shared" si="34"/>
        <v>294.38852181137639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28.833333333333332</v>
      </c>
      <c r="AI24" s="14">
        <f>IF('Données projet'!$A$62&gt;35,AI23+AH24-AQ23,IF(A24&lt;'Données projet'!$A$62,$AF$205^A24,IF(A24='Données projet'!$A$62,'Données projet'!$B$62,AI23+AH24-AQ23)))</f>
        <v>219.66666666666669</v>
      </c>
      <c r="AJ24" s="14">
        <f>AI24*VLOOKUP('Données projet'!$B$10,Paramètres!$A$1:$I$89,3,0)*VLOOKUP('Données projet'!$B$10,Paramètres!$A$1:$I$89,5,0)</f>
        <v>122.79366666666668</v>
      </c>
      <c r="AK24" s="14">
        <f t="shared" si="35"/>
        <v>32.32570088253398</v>
      </c>
      <c r="AL24" s="22">
        <f t="shared" si="4"/>
        <v>270.16623181485778</v>
      </c>
      <c r="AM24" s="62">
        <f t="shared" si="5"/>
        <v>552.4995651481911</v>
      </c>
      <c r="AN24" s="62">
        <f ca="1">AVERAGE(OFFSET($AM$3,0,0,'Données projet'!$E$10+1,1))-AVERAGE(OFFSET($H$3,0,0,'Données projet'!$E$10+1,1))</f>
        <v>443.34220761968419</v>
      </c>
      <c r="AO24" s="62">
        <f t="shared" si="36"/>
        <v>546.58234447298014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9.1999999999999993</v>
      </c>
      <c r="N25" s="14">
        <f>IF('Données projet'!$A$36&gt;35,N24+M25-V24,IF(A25&lt;'Données projet'!$A$36,$K$205^A25,IF(A25='Données projet'!$A$36,'Données projet'!$B$36,N24+M25-V24)))</f>
        <v>176.39999999999998</v>
      </c>
      <c r="O25" s="14">
        <f>N25*VLOOKUP('Données projet'!$B$9,Paramètres!$A$1:$I$89,3,0)*VLOOKUP('Données projet'!$B$9,Paramètres!$A$1:$I$89,5,0)</f>
        <v>82.555199999999985</v>
      </c>
      <c r="P25" s="14">
        <f t="shared" si="33"/>
        <v>22.760796016854769</v>
      </c>
      <c r="Q25" s="22">
        <f t="shared" si="2"/>
        <v>183.42535972935536</v>
      </c>
      <c r="R25" s="62">
        <f t="shared" si="0"/>
        <v>466.98091528491091</v>
      </c>
      <c r="S25" s="62">
        <f ca="1">AVERAGE(OFFSET($R$3,0,0,'Données projet'!$E$9+1,1))-AVERAGE(OFFSET($H$3,0,0,'Données projet'!$E$9+1,1))</f>
        <v>396.92963589781414</v>
      </c>
      <c r="T25" s="62">
        <f t="shared" si="34"/>
        <v>294.38852181137639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28.833333333333332</v>
      </c>
      <c r="AI25" s="14">
        <f>IF('Données projet'!$A$62&gt;35,AI24+AH25-AQ24,IF(A25&lt;'Données projet'!$A$62,$AF$205^A25,IF(A25='Données projet'!$A$62,'Données projet'!$B$62,AI24+AH25-AQ24)))</f>
        <v>248.50000000000003</v>
      </c>
      <c r="AJ25" s="14">
        <f>AI25*VLOOKUP('Données projet'!$B$10,Paramètres!$A$1:$I$89,3,0)*VLOOKUP('Données projet'!$B$10,Paramètres!$A$1:$I$89,5,0)</f>
        <v>138.91150000000002</v>
      </c>
      <c r="AK25" s="14">
        <f t="shared" si="35"/>
        <v>36.047532265727178</v>
      </c>
      <c r="AL25" s="22">
        <f t="shared" si="4"/>
        <v>304.72031452947482</v>
      </c>
      <c r="AM25" s="62">
        <f t="shared" si="5"/>
        <v>588.27587008503042</v>
      </c>
      <c r="AN25" s="62">
        <f ca="1">AVERAGE(OFFSET($AM$3,0,0,'Données projet'!$E$10+1,1))-AVERAGE(OFFSET($H$3,0,0,'Données projet'!$E$10+1,1))</f>
        <v>443.34220761968419</v>
      </c>
      <c r="AO25" s="62">
        <f t="shared" si="36"/>
        <v>546.58234447298014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9.1999999999999993</v>
      </c>
      <c r="N26" s="14">
        <f>IF('Données projet'!$A$36&gt;35,N25+M26-V25,IF(A26&lt;'Données projet'!$A$36,$K$205^A26,IF(A26='Données projet'!$A$36,'Données projet'!$B$36,N25+M26-V25)))</f>
        <v>185.59999999999997</v>
      </c>
      <c r="O26" s="14">
        <f>N26*VLOOKUP('Données projet'!$B$9,Paramètres!$A$1:$I$89,3,0)*VLOOKUP('Données projet'!$B$9,Paramètres!$A$1:$I$89,5,0)</f>
        <v>86.860799999999983</v>
      </c>
      <c r="P26" s="14">
        <f t="shared" si="33"/>
        <v>23.806568296036275</v>
      </c>
      <c r="Q26" s="22">
        <f t="shared" si="2"/>
        <v>192.7456664489298</v>
      </c>
      <c r="R26" s="62">
        <f t="shared" si="0"/>
        <v>477.52344422670757</v>
      </c>
      <c r="S26" s="62">
        <f ca="1">AVERAGE(OFFSET($R$3,0,0,'Données projet'!$E$9+1,1))-AVERAGE(OFFSET($H$3,0,0,'Données projet'!$E$9+1,1))</f>
        <v>396.92963589781414</v>
      </c>
      <c r="T26" s="62">
        <f t="shared" si="34"/>
        <v>294.38852181137639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28.833333333333332</v>
      </c>
      <c r="AI26" s="14">
        <f>IF('Données projet'!$A$62&gt;35,AI25+AH26-AQ25,IF(A26&lt;'Données projet'!$A$62,$AF$205^A26,IF(A26='Données projet'!$A$62,'Données projet'!$B$62,AI25+AH26-AQ25)))</f>
        <v>277.33333333333337</v>
      </c>
      <c r="AJ26" s="14">
        <f>AI26*VLOOKUP('Données projet'!$B$10,Paramètres!$A$1:$I$89,3,0)*VLOOKUP('Données projet'!$B$10,Paramètres!$A$1:$I$89,5,0)</f>
        <v>155.02933333333334</v>
      </c>
      <c r="AK26" s="14">
        <f t="shared" si="35"/>
        <v>39.719316712120367</v>
      </c>
      <c r="AL26" s="22">
        <f t="shared" si="4"/>
        <v>339.1872321624985</v>
      </c>
      <c r="AM26" s="62">
        <f t="shared" si="5"/>
        <v>623.96500994027633</v>
      </c>
      <c r="AN26" s="62">
        <f ca="1">AVERAGE(OFFSET($AM$3,0,0,'Données projet'!$E$10+1,1))-AVERAGE(OFFSET($H$3,0,0,'Données projet'!$E$10+1,1))</f>
        <v>443.34220761968419</v>
      </c>
      <c r="AO26" s="62">
        <f t="shared" si="36"/>
        <v>546.58234447298014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9.1999999999999993</v>
      </c>
      <c r="N27" s="14">
        <f>IF('Données projet'!$A$36&gt;35,N26+M27-V26,IF(A27&lt;'Données projet'!$A$36,$K$205^A27,IF(A27='Données projet'!$A$36,'Données projet'!$B$36,N26+M27-V26)))</f>
        <v>194.79999999999995</v>
      </c>
      <c r="O27" s="14">
        <f>N27*VLOOKUP('Données projet'!$B$9,Paramètres!$A$1:$I$89,3,0)*VLOOKUP('Données projet'!$B$9,Paramètres!$A$1:$I$89,5,0)</f>
        <v>91.166399999999982</v>
      </c>
      <c r="P27" s="14">
        <f t="shared" si="33"/>
        <v>24.846321420979159</v>
      </c>
      <c r="Q27" s="22">
        <f t="shared" si="2"/>
        <v>202.05548980820535</v>
      </c>
      <c r="R27" s="62">
        <f t="shared" si="0"/>
        <v>488.05548980820538</v>
      </c>
      <c r="S27" s="62">
        <f ca="1">AVERAGE(OFFSET($R$3,0,0,'Données projet'!$E$9+1,1))-AVERAGE(OFFSET($H$3,0,0,'Données projet'!$E$9+1,1))</f>
        <v>396.92963589781414</v>
      </c>
      <c r="T27" s="62">
        <f t="shared" si="34"/>
        <v>294.38852181137639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28.833333333333332</v>
      </c>
      <c r="AI27" s="14">
        <f>IF('Données projet'!$A$62&gt;35,AI26+AH27-AQ26,IF(A27&lt;'Données projet'!$A$62,$AF$205^A27,IF(A27='Données projet'!$A$62,'Données projet'!$B$62,AI26+AH27-AQ26)))</f>
        <v>306.16666666666669</v>
      </c>
      <c r="AJ27" s="14">
        <f>AI27*VLOOKUP('Données projet'!$B$10,Paramètres!$A$1:$I$89,3,0)*VLOOKUP('Données projet'!$B$10,Paramètres!$A$1:$I$89,5,0)</f>
        <v>171.14716666666669</v>
      </c>
      <c r="AK27" s="14">
        <f t="shared" si="35"/>
        <v>43.346850105371793</v>
      </c>
      <c r="AL27" s="22">
        <f t="shared" si="4"/>
        <v>373.57707921130037</v>
      </c>
      <c r="AM27" s="62">
        <f t="shared" si="5"/>
        <v>659.57707921130032</v>
      </c>
      <c r="AN27" s="62">
        <f ca="1">AVERAGE(OFFSET($AM$3,0,0,'Données projet'!$E$10+1,1))-AVERAGE(OFFSET($H$3,0,0,'Données projet'!$E$10+1,1))</f>
        <v>443.34220761968419</v>
      </c>
      <c r="AO27" s="62">
        <f t="shared" si="36"/>
        <v>546.58234447298014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9.1999999999999993</v>
      </c>
      <c r="N28" s="14">
        <f>IF('Données projet'!$A$36&gt;35,N27+M28-V27,IF(A28&lt;'Données projet'!$A$36,$K$205^A28,IF(A28='Données projet'!$A$36,'Données projet'!$B$36,N27+M28-V27)))</f>
        <v>203.99999999999994</v>
      </c>
      <c r="O28" s="14">
        <f>N28*VLOOKUP('Données projet'!$B$9,Paramètres!$A$1:$I$89,3,0)*VLOOKUP('Données projet'!$B$9,Paramètres!$A$1:$I$89,5,0)</f>
        <v>95.47199999999998</v>
      </c>
      <c r="P28" s="14">
        <f t="shared" si="33"/>
        <v>25.880372123231144</v>
      </c>
      <c r="Q28" s="22">
        <f t="shared" si="2"/>
        <v>211.35538144796087</v>
      </c>
      <c r="R28" s="62">
        <f t="shared" si="0"/>
        <v>498.57760367018307</v>
      </c>
      <c r="S28" s="62">
        <f ca="1">AVERAGE(OFFSET($R$3,0,0,'Données projet'!$E$9+1,1))-AVERAGE(OFFSET($H$3,0,0,'Données projet'!$E$9+1,1))</f>
        <v>396.92963589781414</v>
      </c>
      <c r="T28" s="62">
        <f t="shared" si="34"/>
        <v>294.38852181137639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335</v>
      </c>
      <c r="AG28" s="13">
        <f>VLOOKUP(A28,'Données projet'!$A$61:$I$81,9,0)</f>
        <v>28.833333333333332</v>
      </c>
      <c r="AH28" s="13">
        <f t="array" ref="AH28">INDEX(AG:AG,MIN(IF(ISNUMBER(AG28:AG224),ROW(AG28:AG224),"")))</f>
        <v>28.833333333333332</v>
      </c>
      <c r="AI28" s="14">
        <f>IF('Données projet'!$A$62&gt;35,AI27+AH28-AQ27,IF(A28&lt;'Données projet'!$A$62,$AF$205^A28,IF(A28='Données projet'!$A$62,'Données projet'!$B$62,AI27+AH28-AQ27)))</f>
        <v>335</v>
      </c>
      <c r="AJ28" s="14">
        <f>AI28*VLOOKUP('Données projet'!$B$10,Paramètres!$A$1:$I$89,3,0)*VLOOKUP('Données projet'!$B$10,Paramètres!$A$1:$I$89,5,0)</f>
        <v>187.26500000000001</v>
      </c>
      <c r="AK28" s="14">
        <f t="shared" si="35"/>
        <v>46.934773872544483</v>
      </c>
      <c r="AL28" s="22">
        <f t="shared" si="4"/>
        <v>407.89793949468162</v>
      </c>
      <c r="AM28" s="62">
        <f t="shared" si="5"/>
        <v>695.12016171690379</v>
      </c>
      <c r="AN28" s="62">
        <f ca="1">AVERAGE(OFFSET($AM$3,0,0,'Données projet'!$E$10+1,1))-AVERAGE(OFFSET($H$3,0,0,'Données projet'!$E$10+1,1))</f>
        <v>443.34220761968419</v>
      </c>
      <c r="AO28" s="62">
        <f t="shared" si="36"/>
        <v>546.58234447298014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54</v>
      </c>
      <c r="AR28" s="17">
        <f>IF(ISNA(VLOOKUP(A28,'Données projet'!$A$61:$I$81,5,0)),0%,VLOOKUP(A28,'Données projet'!$A$61:$I$81,5,0)*VLOOKUP('Données projet'!$B$10,Paramètres!$A$1:$I$89,7,0))</f>
        <v>8.2500000000000004E-2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0.85</v>
      </c>
      <c r="AU28" s="23">
        <f>EXP(-LN(2)/35)*AU27+(1-EXP(-LN(2)/35))/(LN(2)/35)*AQ28*AR28*VLOOKUP('Données projet'!$B$10,Paramètres!$A$1:$I$89,3,0)*0.475*44/12</f>
        <v>3.3036031587815811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29.050929513163819</v>
      </c>
      <c r="AX28" s="23">
        <f t="shared" si="6"/>
        <v>32.3545326719454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213.19999999999993</v>
      </c>
      <c r="O29" s="14">
        <f>N29*VLOOKUP('Données projet'!$B$9,Paramètres!$A$1:$I$89,3,0)*VLOOKUP('Données projet'!$B$9,Paramètres!$A$1:$I$89,5,0)</f>
        <v>99.777599999999964</v>
      </c>
      <c r="P29" s="14">
        <f t="shared" si="33"/>
        <v>26.909006951444532</v>
      </c>
      <c r="Q29" s="22">
        <f t="shared" si="2"/>
        <v>220.64584044043249</v>
      </c>
      <c r="R29" s="62">
        <f t="shared" si="0"/>
        <v>509.09028488487695</v>
      </c>
      <c r="S29" s="62">
        <f ca="1">AVERAGE(OFFSET($R$3,0,0,'Données projet'!$E$9+1,1))-AVERAGE(OFFSET($H$3,0,0,'Données projet'!$E$9+1,1))</f>
        <v>396.92963589781414</v>
      </c>
      <c r="T29" s="62">
        <f t="shared" si="34"/>
        <v>294.38852181137639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28</v>
      </c>
      <c r="AI29" s="14">
        <f>IF('Données projet'!$A$62&gt;35,AI28+AH29-AQ28,IF(A29&lt;'Données projet'!$A$62,$AF$205^A29,IF(A29='Données projet'!$A$62,'Données projet'!$B$62,AI28+AH29-AQ28)))</f>
        <v>309</v>
      </c>
      <c r="AJ29" s="14">
        <f>AI29*VLOOKUP('Données projet'!$B$10,Paramètres!$A$1:$I$89,3,0)*VLOOKUP('Données projet'!$B$10,Paramètres!$A$1:$I$89,5,0)</f>
        <v>172.73100000000002</v>
      </c>
      <c r="AK29" s="14">
        <f t="shared" si="35"/>
        <v>43.701108252019125</v>
      </c>
      <c r="AL29" s="22">
        <f t="shared" si="4"/>
        <v>376.9525885389333</v>
      </c>
      <c r="AM29" s="62">
        <f t="shared" si="5"/>
        <v>665.39703298337781</v>
      </c>
      <c r="AN29" s="62">
        <f ca="1">AVERAGE(OFFSET($AM$3,0,0,'Données projet'!$E$10+1,1))-AVERAGE(OFFSET($H$3,0,0,'Données projet'!$E$10+1,1))</f>
        <v>443.34220761968419</v>
      </c>
      <c r="AO29" s="62">
        <f t="shared" si="36"/>
        <v>546.58234447298014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3.2388215158368365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20.542109258530544</v>
      </c>
      <c r="AX29" s="23">
        <f t="shared" si="6"/>
        <v>23.780930774367381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222.39999999999992</v>
      </c>
      <c r="O30" s="14">
        <f>N30*VLOOKUP('Données projet'!$B$9,Paramètres!$A$1:$I$89,3,0)*VLOOKUP('Données projet'!$B$9,Paramètres!$A$1:$I$89,5,0)</f>
        <v>104.08319999999996</v>
      </c>
      <c r="P30" s="14">
        <f t="shared" si="33"/>
        <v>27.932486325387405</v>
      </c>
      <c r="Q30" s="22">
        <f t="shared" si="2"/>
        <v>229.92732035004965</v>
      </c>
      <c r="R30" s="62">
        <f t="shared" si="0"/>
        <v>519.59398701671637</v>
      </c>
      <c r="S30" s="62">
        <f ca="1">AVERAGE(OFFSET($R$3,0,0,'Données projet'!$E$9+1,1))-AVERAGE(OFFSET($H$3,0,0,'Données projet'!$E$9+1,1))</f>
        <v>396.92963589781414</v>
      </c>
      <c r="T30" s="62">
        <f t="shared" si="34"/>
        <v>294.38852181137639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28</v>
      </c>
      <c r="AI30" s="14">
        <f>IF('Données projet'!$A$62&gt;35,AI29+AH30-AQ29,IF(A30&lt;'Données projet'!$A$62,$AF$205^A30,IF(A30='Données projet'!$A$62,'Données projet'!$B$62,AI29+AH30-AQ29)))</f>
        <v>337</v>
      </c>
      <c r="AJ30" s="14">
        <f>AI30*VLOOKUP('Données projet'!$B$10,Paramètres!$A$1:$I$89,3,0)*VLOOKUP('Données projet'!$B$10,Paramètres!$A$1:$I$89,5,0)</f>
        <v>188.38300000000001</v>
      </c>
      <c r="AK30" s="14">
        <f t="shared" si="35"/>
        <v>47.182279474248382</v>
      </c>
      <c r="AL30" s="22">
        <f t="shared" si="4"/>
        <v>410.27619508431599</v>
      </c>
      <c r="AM30" s="62">
        <f t="shared" si="5"/>
        <v>699.94286175098273</v>
      </c>
      <c r="AN30" s="62">
        <f ca="1">AVERAGE(OFFSET($AM$3,0,0,'Données projet'!$E$10+1,1))-AVERAGE(OFFSET($H$3,0,0,'Données projet'!$E$10+1,1))</f>
        <v>443.34220761968419</v>
      </c>
      <c r="AO30" s="62">
        <f t="shared" si="36"/>
        <v>546.58234447298014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3.175310201397338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14.525464756581911</v>
      </c>
      <c r="AX30" s="23">
        <f t="shared" si="6"/>
        <v>17.700774957979249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231.59999999999991</v>
      </c>
      <c r="O31" s="14">
        <f>N31*VLOOKUP('Données projet'!$B$9,Paramètres!$A$1:$I$89,3,0)*VLOOKUP('Données projet'!$B$9,Paramètres!$A$1:$I$89,5,0)</f>
        <v>108.38879999999996</v>
      </c>
      <c r="P31" s="14">
        <f t="shared" si="33"/>
        <v>28.95104790024919</v>
      </c>
      <c r="Q31" s="22">
        <f t="shared" si="2"/>
        <v>239.20023509293392</v>
      </c>
      <c r="R31" s="62">
        <f t="shared" si="0"/>
        <v>530.08912398182281</v>
      </c>
      <c r="S31" s="62">
        <f ca="1">AVERAGE(OFFSET($R$3,0,0,'Données projet'!$E$9+1,1))-AVERAGE(OFFSET($H$3,0,0,'Données projet'!$E$9+1,1))</f>
        <v>396.92963589781414</v>
      </c>
      <c r="T31" s="62">
        <f t="shared" si="34"/>
        <v>294.38852181137639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28</v>
      </c>
      <c r="AI31" s="14">
        <f>IF('Données projet'!$A$62&gt;35,AI30+AH31-AQ30,IF(A31&lt;'Données projet'!$A$62,$AF$205^A31,IF(A31='Données projet'!$A$62,'Données projet'!$B$62,AI30+AH31-AQ30)))</f>
        <v>365</v>
      </c>
      <c r="AJ31" s="14">
        <f>AI31*VLOOKUP('Données projet'!$B$10,Paramètres!$A$1:$I$89,3,0)*VLOOKUP('Données projet'!$B$10,Paramètres!$A$1:$I$89,5,0)</f>
        <v>204.035</v>
      </c>
      <c r="AK31" s="14">
        <f t="shared" si="35"/>
        <v>50.629905099971396</v>
      </c>
      <c r="AL31" s="22">
        <f t="shared" si="4"/>
        <v>443.54137638245015</v>
      </c>
      <c r="AM31" s="62">
        <f t="shared" si="5"/>
        <v>734.43026527133907</v>
      </c>
      <c r="AN31" s="62">
        <f ca="1">AVERAGE(OFFSET($AM$3,0,0,'Données projet'!$E$10+1,1))-AVERAGE(OFFSET($H$3,0,0,'Données projet'!$E$10+1,1))</f>
        <v>443.34220761968419</v>
      </c>
      <c r="AO31" s="62">
        <f t="shared" si="36"/>
        <v>546.58234447298014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3.1130443050959209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10.271054629265274</v>
      </c>
      <c r="AX31" s="23">
        <f t="shared" si="6"/>
        <v>13.384098934361194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240.7999999999999</v>
      </c>
      <c r="O32" s="14">
        <f>N32*VLOOKUP('Données projet'!$B$9,Paramètres!$A$1:$I$89,3,0)*VLOOKUP('Données projet'!$B$9,Paramètres!$A$1:$I$89,5,0)</f>
        <v>112.69439999999994</v>
      </c>
      <c r="P32" s="14">
        <f t="shared" si="33"/>
        <v>29.964909381330607</v>
      </c>
      <c r="Q32" s="22">
        <f t="shared" si="2"/>
        <v>248.46496383915073</v>
      </c>
      <c r="R32" s="62">
        <f t="shared" si="0"/>
        <v>540.57607495026184</v>
      </c>
      <c r="S32" s="62">
        <f ca="1">AVERAGE(OFFSET($R$3,0,0,'Données projet'!$E$9+1,1))-AVERAGE(OFFSET($H$3,0,0,'Données projet'!$E$9+1,1))</f>
        <v>396.92963589781414</v>
      </c>
      <c r="T32" s="62">
        <f t="shared" si="34"/>
        <v>294.38852181137639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28</v>
      </c>
      <c r="AI32" s="14">
        <f>IF('Données projet'!$A$62&gt;35,AI31+AH32-AQ31,IF(A32&lt;'Données projet'!$A$62,$AF$205^A32,IF(A32='Données projet'!$A$62,'Données projet'!$B$62,AI31+AH32-AQ31)))</f>
        <v>393</v>
      </c>
      <c r="AJ32" s="14">
        <f>AI32*VLOOKUP('Données projet'!$B$10,Paramètres!$A$1:$I$89,3,0)*VLOOKUP('Données projet'!$B$10,Paramètres!$A$1:$I$89,5,0)</f>
        <v>219.68700000000001</v>
      </c>
      <c r="AK32" s="14">
        <f t="shared" si="35"/>
        <v>54.046851081096591</v>
      </c>
      <c r="AL32" s="22">
        <f t="shared" si="4"/>
        <v>476.75312396624321</v>
      </c>
      <c r="AM32" s="62">
        <f t="shared" si="5"/>
        <v>768.86423507735435</v>
      </c>
      <c r="AN32" s="62">
        <f ca="1">AVERAGE(OFFSET($AM$3,0,0,'Données projet'!$E$10+1,1))-AVERAGE(OFFSET($H$3,0,0,'Données projet'!$E$10+1,1))</f>
        <v>443.34220761968419</v>
      </c>
      <c r="AO32" s="62">
        <f t="shared" si="36"/>
        <v>546.58234447298014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3.0519994050425279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7.2627323782909565</v>
      </c>
      <c r="AX32" s="23">
        <f t="shared" si="6"/>
        <v>10.314731783333485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250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249.99999999999989</v>
      </c>
      <c r="O33" s="14">
        <f>N33*VLOOKUP('Données projet'!$B$9,Paramètres!$A$1:$I$89,3,0)*VLOOKUP('Données projet'!$B$9,Paramètres!$A$1:$I$89,5,0)</f>
        <v>116.99999999999994</v>
      </c>
      <c r="P33" s="14">
        <f t="shared" si="33"/>
        <v>30.974270896484118</v>
      </c>
      <c r="Q33" s="22">
        <f t="shared" si="2"/>
        <v>257.72185514470976</v>
      </c>
      <c r="R33" s="62">
        <f t="shared" si="0"/>
        <v>551.05518847804308</v>
      </c>
      <c r="S33" s="62">
        <f ca="1">AVERAGE(OFFSET($R$3,0,0,'Données projet'!$E$9+1,1))-AVERAGE(OFFSET($H$3,0,0,'Données projet'!$E$9+1,1))</f>
        <v>396.92963589781414</v>
      </c>
      <c r="T33" s="62">
        <f t="shared" si="34"/>
        <v>294.38852181137639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0.44000000000000006</v>
      </c>
      <c r="X33" s="17">
        <f>IF(ISNA(VLOOKUP(A33,'Données projet'!$A$35:$I$55,6,0)),0%,VLOOKUP(A33,'Données projet'!$A$35:$I$55,6,0)*VLOOKUP('Données projet'!$B$9,Paramètres!$A$1:$I$89,7,0))</f>
        <v>0.11000000000000001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421</v>
      </c>
      <c r="AG33" s="13">
        <f>VLOOKUP(A33,'Données projet'!$A$61:$I$81,9,0)</f>
        <v>28</v>
      </c>
      <c r="AH33" s="13">
        <f t="array" ref="AH33">INDEX(AG:AG,MIN(IF(ISNUMBER(AG33:AG229),ROW(AG33:AG229),"")))</f>
        <v>28</v>
      </c>
      <c r="AI33" s="14">
        <f>IF('Données projet'!$A$62&gt;35,AI32+AH33-AQ32,IF(A33&lt;'Données projet'!$A$62,$AF$205^A33,IF(A33='Données projet'!$A$62,'Données projet'!$B$62,AI32+AH33-AQ32)))</f>
        <v>421</v>
      </c>
      <c r="AJ33" s="14">
        <f>AI33*VLOOKUP('Données projet'!$B$10,Paramètres!$A$1:$I$89,3,0)*VLOOKUP('Données projet'!$B$10,Paramètres!$A$1:$I$89,5,0)</f>
        <v>235.339</v>
      </c>
      <c r="AK33" s="14">
        <f t="shared" si="35"/>
        <v>57.43555185051494</v>
      </c>
      <c r="AL33" s="22">
        <f t="shared" si="4"/>
        <v>509.91567780631357</v>
      </c>
      <c r="AM33" s="62">
        <f t="shared" si="5"/>
        <v>803.24901113964688</v>
      </c>
      <c r="AN33" s="62">
        <f ca="1">AVERAGE(OFFSET($AM$3,0,0,'Données projet'!$E$10+1,1))-AVERAGE(OFFSET($H$3,0,0,'Données projet'!$E$10+1,1))</f>
        <v>443.34220761968419</v>
      </c>
      <c r="AO33" s="62">
        <f t="shared" si="36"/>
        <v>546.58234447298014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54</v>
      </c>
      <c r="AR33" s="17">
        <f>IF(ISNA(VLOOKUP(A33,'Données projet'!$A$61:$I$81,5,0)),0%,VLOOKUP(A33,'Données projet'!$A$61:$I$81,5,0)*VLOOKUP('Données projet'!$B$10,Paramètres!$A$1:$I$89,7,0))</f>
        <v>0.13750000000000001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0.75</v>
      </c>
      <c r="AU33" s="23">
        <f>EXP(-LN(2)/35)*AU32+(1-EXP(-LN(2)/35))/(LN(2)/35)*AQ33*AR33*VLOOKUP('Données projet'!$B$10,Paramètres!$A$1:$I$89,3,0)*0.475*44/12</f>
        <v>8.4981568228814393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30.768700414483064</v>
      </c>
      <c r="AX33" s="23">
        <f t="shared" si="6"/>
        <v>39.266857237364505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</v>
      </c>
      <c r="N34" s="14">
        <f>IF('Données projet'!$A$36&gt;35,N33+M34-V33,IF(A34&lt;'Données projet'!$A$36,$K$205^A34,IF(A34='Données projet'!$A$36,'Données projet'!$B$36,N33+M34-V33)))</f>
        <v>259.99999999999989</v>
      </c>
      <c r="O34" s="14">
        <f>N34*VLOOKUP('Données projet'!$B$9,Paramètres!$A$1:$I$89,3,0)*VLOOKUP('Données projet'!$B$9,Paramètres!$A$1:$I$89,5,0)</f>
        <v>121.67999999999994</v>
      </c>
      <c r="P34" s="14">
        <f t="shared" si="33"/>
        <v>32.066514091456256</v>
      </c>
      <c r="Q34" s="22">
        <f t="shared" si="2"/>
        <v>267.77517870928619</v>
      </c>
      <c r="R34" s="62">
        <f t="shared" si="0"/>
        <v>561.10851204261951</v>
      </c>
      <c r="S34" s="62">
        <f ca="1">AVERAGE(OFFSET($R$3,0,0,'Données projet'!$E$9+1,1))-AVERAGE(OFFSET($H$3,0,0,'Données projet'!$E$9+1,1))</f>
        <v>396.92963589781414</v>
      </c>
      <c r="T34" s="62">
        <f t="shared" si="34"/>
        <v>294.38852181137639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27.6</v>
      </c>
      <c r="AI34" s="14">
        <f>IF('Données projet'!$A$62&gt;35,AI33+AH34-AQ33,IF(A34&lt;'Données projet'!$A$62,$AF$205^A34,IF(A34='Données projet'!$A$62,'Données projet'!$B$62,AI33+AH34-AQ33)))</f>
        <v>394.6</v>
      </c>
      <c r="AJ34" s="14">
        <f>AI34*VLOOKUP('Données projet'!$B$10,Paramètres!$A$1:$I$89,3,0)*VLOOKUP('Données projet'!$B$10,Paramètres!$A$1:$I$89,5,0)</f>
        <v>220.5814</v>
      </c>
      <c r="AK34" s="14">
        <f t="shared" si="35"/>
        <v>54.241230721401301</v>
      </c>
      <c r="AL34" s="22">
        <f t="shared" si="4"/>
        <v>478.64941517310723</v>
      </c>
      <c r="AM34" s="62">
        <f t="shared" si="5"/>
        <v>771.98274850644054</v>
      </c>
      <c r="AN34" s="62">
        <f ca="1">AVERAGE(OFFSET($AM$3,0,0,'Données projet'!$E$10+1,1))-AVERAGE(OFFSET($H$3,0,0,'Données projet'!$E$10+1,1))</f>
        <v>443.34220761968419</v>
      </c>
      <c r="AO34" s="62">
        <f t="shared" si="36"/>
        <v>546.58234447298014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8.3315131509485809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21.756756711378312</v>
      </c>
      <c r="AX34" s="23">
        <f t="shared" si="6"/>
        <v>30.088269862326893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</v>
      </c>
      <c r="N35" s="14">
        <f>IF('Données projet'!$A$36&gt;35,N34+M35-V34,IF(A35&lt;'Données projet'!$A$36,$K$205^A35,IF(A35='Données projet'!$A$36,'Données projet'!$B$36,N34+M35-V34)))</f>
        <v>269.99999999999989</v>
      </c>
      <c r="O35" s="14">
        <f>N35*VLOOKUP('Données projet'!$B$9,Paramètres!$A$1:$I$89,3,0)*VLOOKUP('Données projet'!$B$9,Paramètres!$A$1:$I$89,5,0)</f>
        <v>126.35999999999996</v>
      </c>
      <c r="P35" s="14">
        <f t="shared" si="33"/>
        <v>33.153877056327453</v>
      </c>
      <c r="Q35" s="22">
        <f t="shared" ref="Q35:Q66" si="53">(O35+P35)*0.475*44/12</f>
        <v>277.82000253977026</v>
      </c>
      <c r="R35" s="62">
        <f t="shared" si="0"/>
        <v>571.15333587310352</v>
      </c>
      <c r="S35" s="62">
        <f ca="1">AVERAGE(OFFSET($R$3,0,0,'Données projet'!$E$9+1,1))-AVERAGE(OFFSET($H$3,0,0,'Données projet'!$E$9+1,1))</f>
        <v>396.92963589781414</v>
      </c>
      <c r="T35" s="62">
        <f t="shared" si="34"/>
        <v>294.38852181137639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27.6</v>
      </c>
      <c r="AI35" s="14">
        <f>IF('Données projet'!$A$62&gt;35,AI34+AH35-AQ34,IF(A35&lt;'Données projet'!$A$62,$AF$205^A35,IF(A35='Données projet'!$A$62,'Données projet'!$B$62,AI34+AH35-AQ34)))</f>
        <v>422.20000000000005</v>
      </c>
      <c r="AJ35" s="14">
        <f>AI35*VLOOKUP('Données projet'!$B$10,Paramètres!$A$1:$I$89,3,0)*VLOOKUP('Données projet'!$B$10,Paramètres!$A$1:$I$89,5,0)</f>
        <v>236.00980000000004</v>
      </c>
      <c r="AK35" s="14">
        <f t="shared" si="35"/>
        <v>57.580183613654185</v>
      </c>
      <c r="AL35" s="22">
        <f t="shared" si="4"/>
        <v>511.3358881271144</v>
      </c>
      <c r="AM35" s="62">
        <f t="shared" si="5"/>
        <v>804.66922146044772</v>
      </c>
      <c r="AN35" s="62">
        <f ca="1">AVERAGE(OFFSET($AM$3,0,0,'Données projet'!$E$10+1,1))-AVERAGE(OFFSET($H$3,0,0,'Données projet'!$E$10+1,1))</f>
        <v>443.34220761968419</v>
      </c>
      <c r="AO35" s="62">
        <f t="shared" si="36"/>
        <v>546.58234447298014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8.1681372597797228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15.384350207241534</v>
      </c>
      <c r="AX35" s="23">
        <f t="shared" si="6"/>
        <v>23.552487467021258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</v>
      </c>
      <c r="N36" s="14">
        <f>IF('Données projet'!$A$36&gt;35,N35+M36-V35,IF(A36&lt;'Données projet'!$A$36,$K$205^A36,IF(A36='Données projet'!$A$36,'Données projet'!$B$36,N35+M36-V35)))</f>
        <v>279.99999999999989</v>
      </c>
      <c r="O36" s="14">
        <f>N36*VLOOKUP('Données projet'!$B$9,Paramètres!$A$1:$I$89,3,0)*VLOOKUP('Données projet'!$B$9,Paramètres!$A$1:$I$89,5,0)</f>
        <v>131.03999999999994</v>
      </c>
      <c r="P36" s="14">
        <f t="shared" si="33"/>
        <v>34.236561238949889</v>
      </c>
      <c r="Q36" s="22">
        <f t="shared" si="53"/>
        <v>287.85667749117096</v>
      </c>
      <c r="R36" s="62">
        <f t="shared" si="0"/>
        <v>581.19001082450427</v>
      </c>
      <c r="S36" s="62">
        <f ca="1">AVERAGE(OFFSET($R$3,0,0,'Données projet'!$E$9+1,1))-AVERAGE(OFFSET($H$3,0,0,'Données projet'!$E$9+1,1))</f>
        <v>396.92963589781414</v>
      </c>
      <c r="T36" s="62">
        <f t="shared" si="34"/>
        <v>294.38852181137639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27.6</v>
      </c>
      <c r="AI36" s="14">
        <f>IF('Données projet'!$A$62&gt;35,AI35+AH36-AQ35,IF(A36&lt;'Données projet'!$A$62,$AF$205^A36,IF(A36='Données projet'!$A$62,'Données projet'!$B$62,AI35+AH36-AQ35)))</f>
        <v>449.80000000000007</v>
      </c>
      <c r="AJ36" s="14">
        <f>AI36*VLOOKUP('Données projet'!$B$10,Paramètres!$A$1:$I$89,3,0)*VLOOKUP('Données projet'!$B$10,Paramètres!$A$1:$I$89,5,0)</f>
        <v>251.43820000000002</v>
      </c>
      <c r="AK36" s="14">
        <f t="shared" si="35"/>
        <v>60.893806844597648</v>
      </c>
      <c r="AL36" s="22">
        <f t="shared" si="4"/>
        <v>543.978245254341</v>
      </c>
      <c r="AM36" s="62">
        <f t="shared" si="5"/>
        <v>837.31157858767438</v>
      </c>
      <c r="AN36" s="62">
        <f ca="1">AVERAGE(OFFSET($AM$3,0,0,'Données projet'!$E$10+1,1))-AVERAGE(OFFSET($H$3,0,0,'Données projet'!$E$10+1,1))</f>
        <v>443.34220761968419</v>
      </c>
      <c r="AO36" s="62">
        <f t="shared" si="36"/>
        <v>546.58234447298014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8.0079650701872325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10.878378355689158</v>
      </c>
      <c r="AX36" s="23">
        <f t="shared" si="6"/>
        <v>18.88634342587639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</v>
      </c>
      <c r="N37" s="14">
        <f>IF('Données projet'!$A$36&gt;35,N36+M37-V36,IF(A37&lt;'Données projet'!$A$36,$K$205^A37,IF(A37='Données projet'!$A$36,'Données projet'!$B$36,N36+M37-V36)))</f>
        <v>289.99999999999989</v>
      </c>
      <c r="O37" s="14">
        <f>N37*VLOOKUP('Données projet'!$B$9,Paramètres!$A$1:$I$89,3,0)*VLOOKUP('Données projet'!$B$9,Paramètres!$A$1:$I$89,5,0)</f>
        <v>135.71999999999994</v>
      </c>
      <c r="P37" s="14">
        <f t="shared" si="33"/>
        <v>35.314752882348131</v>
      </c>
      <c r="Q37" s="22">
        <f t="shared" si="53"/>
        <v>297.8855279367562</v>
      </c>
      <c r="R37" s="62">
        <f t="shared" si="0"/>
        <v>591.21886127008952</v>
      </c>
      <c r="S37" s="62">
        <f ca="1">AVERAGE(OFFSET($R$3,0,0,'Données projet'!$E$9+1,1))-AVERAGE(OFFSET($H$3,0,0,'Données projet'!$E$9+1,1))</f>
        <v>396.92963589781414</v>
      </c>
      <c r="T37" s="62">
        <f t="shared" si="34"/>
        <v>294.38852181137639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27.6</v>
      </c>
      <c r="AI37" s="14">
        <f>IF('Données projet'!$A$62&gt;35,AI36+AH37-AQ36,IF(A37&lt;'Données projet'!$A$62,$AF$205^A37,IF(A37='Données projet'!$A$62,'Données projet'!$B$62,AI36+AH37-AQ36)))</f>
        <v>477.40000000000009</v>
      </c>
      <c r="AJ37" s="14">
        <f>AI37*VLOOKUP('Données projet'!$B$10,Paramètres!$A$1:$I$89,3,0)*VLOOKUP('Données projet'!$B$10,Paramètres!$A$1:$I$89,5,0)</f>
        <v>266.86660000000006</v>
      </c>
      <c r="AK37" s="14">
        <f t="shared" si="35"/>
        <v>64.183831628008477</v>
      </c>
      <c r="AL37" s="22">
        <f t="shared" si="4"/>
        <v>576.57950175211477</v>
      </c>
      <c r="AM37" s="62">
        <f t="shared" si="5"/>
        <v>869.91283508544802</v>
      </c>
      <c r="AN37" s="62">
        <f ca="1">AVERAGE(OFFSET($AM$3,0,0,'Données projet'!$E$10+1,1))-AVERAGE(OFFSET($H$3,0,0,'Données projet'!$E$10+1,1))</f>
        <v>443.34220761968419</v>
      </c>
      <c r="AO37" s="62">
        <f t="shared" si="36"/>
        <v>546.58234447298014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7.8509337595372619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7.6921751036207686</v>
      </c>
      <c r="AX37" s="23">
        <f t="shared" si="6"/>
        <v>15.543108863158031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10</v>
      </c>
      <c r="N38" s="14">
        <f>IF('Données projet'!$A$36&gt;35,N37+M38-V37,IF(A38&lt;'Données projet'!$A$36,$K$205^A38,IF(A38='Données projet'!$A$36,'Données projet'!$B$36,N37+M38-V37)))</f>
        <v>299.99999999999989</v>
      </c>
      <c r="O38" s="14">
        <f>N38*VLOOKUP('Données projet'!$B$9,Paramètres!$A$1:$I$89,3,0)*VLOOKUP('Données projet'!$B$9,Paramètres!$A$1:$I$89,5,0)</f>
        <v>140.39999999999995</v>
      </c>
      <c r="P38" s="14">
        <f t="shared" si="33"/>
        <v>36.388624656711166</v>
      </c>
      <c r="Q38" s="22">
        <f t="shared" si="53"/>
        <v>307.90685461043853</v>
      </c>
      <c r="R38" s="62">
        <f t="shared" si="0"/>
        <v>601.24018794377184</v>
      </c>
      <c r="S38" s="62">
        <f ca="1">AVERAGE(OFFSET($R$3,0,0,'Données projet'!$E$9+1,1))-AVERAGE(OFFSET($H$3,0,0,'Données projet'!$E$9+1,1))</f>
        <v>396.92963589781414</v>
      </c>
      <c r="T38" s="62">
        <f t="shared" si="34"/>
        <v>294.38852181137639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505</v>
      </c>
      <c r="AG38" s="13">
        <f>VLOOKUP(A38,'Données projet'!$A$61:$I$81,9,0)</f>
        <v>27.6</v>
      </c>
      <c r="AH38" s="13">
        <f t="array" ref="AH38">INDEX(AG:AG,MIN(IF(ISNUMBER(AG38:AG234),ROW(AG38:AG234),"")))</f>
        <v>27.6</v>
      </c>
      <c r="AI38" s="14">
        <f>IF('Données projet'!$A$62&gt;35,AI37+AH38-AQ37,IF(A38&lt;'Données projet'!$A$62,$AF$205^A38,IF(A38='Données projet'!$A$62,'Données projet'!$B$62,AI37+AH38-AQ37)))</f>
        <v>505.00000000000011</v>
      </c>
      <c r="AJ38" s="14">
        <f>AI38*VLOOKUP('Données projet'!$B$10,Paramètres!$A$1:$I$89,3,0)*VLOOKUP('Données projet'!$B$10,Paramètres!$A$1:$I$89,5,0)</f>
        <v>282.29500000000007</v>
      </c>
      <c r="AK38" s="14">
        <f t="shared" si="35"/>
        <v>67.451777696853824</v>
      </c>
      <c r="AL38" s="22">
        <f t="shared" si="4"/>
        <v>609.14230448868716</v>
      </c>
      <c r="AM38" s="62">
        <f t="shared" si="5"/>
        <v>902.47563782202042</v>
      </c>
      <c r="AN38" s="62">
        <f ca="1">AVERAGE(OFFSET($AM$3,0,0,'Données projet'!$E$10+1,1))-AVERAGE(OFFSET($H$3,0,0,'Données projet'!$E$10+1,1))</f>
        <v>443.34220761968419</v>
      </c>
      <c r="AO38" s="62">
        <f t="shared" si="36"/>
        <v>546.58234447298014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69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7.6969817371094953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5.4391891778445798</v>
      </c>
      <c r="AX38" s="23">
        <f t="shared" si="6"/>
        <v>13.136170914954075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10</v>
      </c>
      <c r="N39" s="14">
        <f>IF('Données projet'!$A$36&gt;35,N38+M39-V38,IF(A39&lt;'Données projet'!$A$36,$K$205^A39,IF(A39='Données projet'!$A$36,'Données projet'!$B$36,N38+M39-V38)))</f>
        <v>309.99999999999989</v>
      </c>
      <c r="O39" s="14">
        <f>N39*VLOOKUP('Données projet'!$B$9,Paramètres!$A$1:$I$89,3,0)*VLOOKUP('Données projet'!$B$9,Paramètres!$A$1:$I$89,5,0)</f>
        <v>145.07999999999996</v>
      </c>
      <c r="P39" s="14">
        <f t="shared" si="33"/>
        <v>37.458337067672986</v>
      </c>
      <c r="Q39" s="22">
        <f t="shared" si="53"/>
        <v>317.92093705953039</v>
      </c>
      <c r="R39" s="62">
        <f t="shared" si="0"/>
        <v>611.25427039286365</v>
      </c>
      <c r="S39" s="62">
        <f ca="1">AVERAGE(OFFSET($R$3,0,0,'Données projet'!$E$9+1,1))-AVERAGE(OFFSET($H$3,0,0,'Données projet'!$E$9+1,1))</f>
        <v>396.92963589781414</v>
      </c>
      <c r="T39" s="62">
        <f t="shared" si="34"/>
        <v>294.38852181137639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25.6</v>
      </c>
      <c r="AI39" s="14">
        <f>IF('Données projet'!$A$62&gt;35,AI38+AH39-AQ38,IF(A39&lt;'Données projet'!$A$62,$AF$205^A39,IF(A39='Données projet'!$A$62,'Données projet'!$B$62,AI38+AH39-AQ38)))</f>
        <v>461.60000000000014</v>
      </c>
      <c r="AJ39" s="14">
        <f>AI39*VLOOKUP('Données projet'!$B$10,Paramètres!$A$1:$I$89,3,0)*VLOOKUP('Données projet'!$B$10,Paramètres!$A$1:$I$89,5,0)</f>
        <v>258.03440000000006</v>
      </c>
      <c r="AK39" s="14">
        <f t="shared" si="35"/>
        <v>62.303206596431174</v>
      </c>
      <c r="AL39" s="22">
        <f t="shared" si="4"/>
        <v>557.9213314887844</v>
      </c>
      <c r="AM39" s="62">
        <f t="shared" si="5"/>
        <v>851.25466482211777</v>
      </c>
      <c r="AN39" s="62">
        <f ca="1">AVERAGE(OFFSET($AM$3,0,0,'Données projet'!$E$10+1,1))-AVERAGE(OFFSET($H$3,0,0,'Données projet'!$E$10+1,1))</f>
        <v>443.34220761968419</v>
      </c>
      <c r="AO39" s="62">
        <f t="shared" si="36"/>
        <v>546.58234447298014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7.5460486199400751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3.8460875518103848</v>
      </c>
      <c r="AX39" s="23">
        <f t="shared" si="6"/>
        <v>11.39213617175046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10</v>
      </c>
      <c r="N40" s="14">
        <f>IF('Données projet'!$A$36&gt;35,N39+M40-V39,IF(A40&lt;'Données projet'!$A$36,$K$205^A40,IF(A40='Données projet'!$A$36,'Données projet'!$B$36,N39+M40-V39)))</f>
        <v>319.99999999999989</v>
      </c>
      <c r="O40" s="14">
        <f>N40*VLOOKUP('Données projet'!$B$9,Paramètres!$A$1:$I$89,3,0)*VLOOKUP('Données projet'!$B$9,Paramètres!$A$1:$I$89,5,0)</f>
        <v>149.75999999999996</v>
      </c>
      <c r="P40" s="14">
        <f t="shared" si="33"/>
        <v>38.524039677774766</v>
      </c>
      <c r="Q40" s="22">
        <f t="shared" si="53"/>
        <v>327.9280357721243</v>
      </c>
      <c r="R40" s="62">
        <f t="shared" si="0"/>
        <v>621.26136910545756</v>
      </c>
      <c r="S40" s="62">
        <f ca="1">AVERAGE(OFFSET($R$3,0,0,'Données projet'!$E$9+1,1))-AVERAGE(OFFSET($H$3,0,0,'Données projet'!$E$9+1,1))</f>
        <v>396.92963589781414</v>
      </c>
      <c r="T40" s="62">
        <f t="shared" si="34"/>
        <v>294.38852181137639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25.6</v>
      </c>
      <c r="AI40" s="14">
        <f>IF('Données projet'!$A$62&gt;35,AI39+AH40-AQ39,IF(A40&lt;'Données projet'!$A$62,$AF$205^A40,IF(A40='Données projet'!$A$62,'Données projet'!$B$62,AI39+AH40-AQ39)))</f>
        <v>487.20000000000016</v>
      </c>
      <c r="AJ40" s="14">
        <f>AI40*VLOOKUP('Données projet'!$B$10,Paramètres!$A$1:$I$89,3,0)*VLOOKUP('Données projet'!$B$10,Paramètres!$A$1:$I$89,5,0)</f>
        <v>272.34480000000008</v>
      </c>
      <c r="AK40" s="14">
        <f t="shared" si="35"/>
        <v>65.346644318451709</v>
      </c>
      <c r="AL40" s="22">
        <f t="shared" si="4"/>
        <v>588.14593218797006</v>
      </c>
      <c r="AM40" s="62">
        <f t="shared" si="5"/>
        <v>881.47926552130343</v>
      </c>
      <c r="AN40" s="62">
        <f ca="1">AVERAGE(OFFSET($AM$3,0,0,'Données projet'!$E$10+1,1))-AVERAGE(OFFSET($H$3,0,0,'Données projet'!$E$10+1,1))</f>
        <v>443.34220761968419</v>
      </c>
      <c r="AO40" s="62">
        <f t="shared" si="36"/>
        <v>546.58234447298014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7.398075209138236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2.7195945889222903</v>
      </c>
      <c r="AX40" s="23">
        <f t="shared" si="6"/>
        <v>10.117669798060525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10</v>
      </c>
      <c r="N41" s="14">
        <f>IF('Données projet'!$A$36&gt;35,N40+M41-V40,IF(A41&lt;'Données projet'!$A$36,$K$205^A41,IF(A41='Données projet'!$A$36,'Données projet'!$B$36,N40+M41-V40)))</f>
        <v>329.99999999999989</v>
      </c>
      <c r="O41" s="14">
        <f>N41*VLOOKUP('Données projet'!$B$9,Paramètres!$A$1:$I$89,3,0)*VLOOKUP('Données projet'!$B$9,Paramètres!$A$1:$I$89,5,0)</f>
        <v>154.43999999999994</v>
      </c>
      <c r="P41" s="14">
        <f t="shared" si="33"/>
        <v>39.585872170955454</v>
      </c>
      <c r="Q41" s="22">
        <f t="shared" si="53"/>
        <v>337.92839403108059</v>
      </c>
      <c r="R41" s="62">
        <f t="shared" si="0"/>
        <v>631.2617273644139</v>
      </c>
      <c r="S41" s="62">
        <f ca="1">AVERAGE(OFFSET($R$3,0,0,'Données projet'!$E$9+1,1))-AVERAGE(OFFSET($H$3,0,0,'Données projet'!$E$9+1,1))</f>
        <v>396.92963589781414</v>
      </c>
      <c r="T41" s="62">
        <f t="shared" si="34"/>
        <v>294.38852181137639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25.6</v>
      </c>
      <c r="AI41" s="14">
        <f>IF('Données projet'!$A$62&gt;35,AI40+AH41-AQ40,IF(A41&lt;'Données projet'!$A$62,$AF$205^A41,IF(A41='Données projet'!$A$62,'Données projet'!$B$62,AI40+AH41-AQ40)))</f>
        <v>512.80000000000018</v>
      </c>
      <c r="AJ41" s="14">
        <f>AI41*VLOOKUP('Données projet'!$B$10,Paramètres!$A$1:$I$89,3,0)*VLOOKUP('Données projet'!$B$10,Paramètres!$A$1:$I$89,5,0)</f>
        <v>286.65520000000009</v>
      </c>
      <c r="AK41" s="14">
        <f t="shared" si="35"/>
        <v>68.37151538584105</v>
      </c>
      <c r="AL41" s="22">
        <f t="shared" si="4"/>
        <v>618.33819596367323</v>
      </c>
      <c r="AM41" s="62">
        <f t="shared" si="5"/>
        <v>911.6715292970066</v>
      </c>
      <c r="AN41" s="62">
        <f ca="1">AVERAGE(OFFSET($AM$3,0,0,'Données projet'!$E$10+1,1))-AVERAGE(OFFSET($H$3,0,0,'Données projet'!$E$10+1,1))</f>
        <v>443.34220761968419</v>
      </c>
      <c r="AO41" s="62">
        <f t="shared" si="36"/>
        <v>546.58234447298014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7.2530034666673524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1.9230437759051928</v>
      </c>
      <c r="AX41" s="23">
        <f t="shared" si="6"/>
        <v>9.1760472425725457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10</v>
      </c>
      <c r="N42" s="14">
        <f>IF('Données projet'!$A$36&gt;35,N41+M42-V41,IF(A42&lt;'Données projet'!$A$36,$K$205^A42,IF(A42='Données projet'!$A$36,'Données projet'!$B$36,N41+M42-V41)))</f>
        <v>339.99999999999989</v>
      </c>
      <c r="O42" s="14">
        <f>N42*VLOOKUP('Données projet'!$B$9,Paramètres!$A$1:$I$89,3,0)*VLOOKUP('Données projet'!$B$9,Paramètres!$A$1:$I$89,5,0)</f>
        <v>159.11999999999995</v>
      </c>
      <c r="P42" s="14">
        <f t="shared" si="33"/>
        <v>40.643965284387697</v>
      </c>
      <c r="Q42" s="22">
        <f t="shared" si="53"/>
        <v>347.92223953697516</v>
      </c>
      <c r="R42" s="62">
        <f t="shared" si="0"/>
        <v>641.25557287030847</v>
      </c>
      <c r="S42" s="62">
        <f ca="1">AVERAGE(OFFSET($R$3,0,0,'Données projet'!$E$9+1,1))-AVERAGE(OFFSET($H$3,0,0,'Données projet'!$E$9+1,1))</f>
        <v>396.92963589781414</v>
      </c>
      <c r="T42" s="62">
        <f t="shared" si="34"/>
        <v>294.38852181137639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25.6</v>
      </c>
      <c r="AI42" s="14">
        <f>IF('Données projet'!$A$62&gt;35,AI41+AH42-AQ41,IF(A42&lt;'Données projet'!$A$62,$AF$205^A42,IF(A42='Données projet'!$A$62,'Données projet'!$B$62,AI41+AH42-AQ41)))</f>
        <v>538.4000000000002</v>
      </c>
      <c r="AJ42" s="14">
        <f>AI42*VLOOKUP('Données projet'!$B$10,Paramètres!$A$1:$I$89,3,0)*VLOOKUP('Données projet'!$B$10,Paramètres!$A$1:$I$89,5,0)</f>
        <v>300.96560000000011</v>
      </c>
      <c r="AK42" s="14">
        <f t="shared" si="35"/>
        <v>71.378852450242803</v>
      </c>
      <c r="AL42" s="22">
        <f t="shared" si="4"/>
        <v>648.49992135083971</v>
      </c>
      <c r="AM42" s="62">
        <f t="shared" si="5"/>
        <v>941.83325468417297</v>
      </c>
      <c r="AN42" s="62">
        <f ca="1">AVERAGE(OFFSET($AM$3,0,0,'Données projet'!$E$10+1,1))-AVERAGE(OFFSET($H$3,0,0,'Données projet'!$E$10+1,1))</f>
        <v>443.34220761968419</v>
      </c>
      <c r="AO42" s="62">
        <f t="shared" si="36"/>
        <v>546.58234447298014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7.1107764925812971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1.3597972944611454</v>
      </c>
      <c r="AX42" s="23">
        <f t="shared" si="6"/>
        <v>8.4705737870424418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350</v>
      </c>
      <c r="L43" s="13">
        <f>VLOOKUP(A43,'Données projet'!$A$35:$I$55,9,0)</f>
        <v>10</v>
      </c>
      <c r="M43" s="13">
        <f t="array" ref="M43">INDEX(L:L,MIN(IF(ISNUMBER(L43:L239),ROW(L43:L239),"")))</f>
        <v>10</v>
      </c>
      <c r="N43" s="14">
        <f>IF('Données projet'!$A$36&gt;35,N42+M43-V42,IF(A43&lt;'Données projet'!$A$36,$K$205^A43,IF(A43='Données projet'!$A$36,'Données projet'!$B$36,N42+M43-V42)))</f>
        <v>349.99999999999989</v>
      </c>
      <c r="O43" s="14">
        <f>N43*VLOOKUP('Données projet'!$B$9,Paramètres!$A$1:$I$89,3,0)*VLOOKUP('Données projet'!$B$9,Paramètres!$A$1:$I$89,5,0)</f>
        <v>163.79999999999995</v>
      </c>
      <c r="P43" s="14">
        <f t="shared" si="33"/>
        <v>41.698441627605291</v>
      </c>
      <c r="Q43" s="22">
        <f t="shared" si="53"/>
        <v>357.90978583474572</v>
      </c>
      <c r="R43" s="62">
        <f t="shared" si="0"/>
        <v>651.24311916807903</v>
      </c>
      <c r="S43" s="62">
        <f ca="1">AVERAGE(OFFSET($R$3,0,0,'Données projet'!$E$9+1,1))-AVERAGE(OFFSET($H$3,0,0,'Données projet'!$E$9+1,1))</f>
        <v>396.92963589781414</v>
      </c>
      <c r="T43" s="62">
        <f t="shared" si="34"/>
        <v>294.38852181137639</v>
      </c>
      <c r="U43" s="16">
        <f>IF(ISNA(VLOOKUP(A43,'Données projet'!$A$35:$I$55,3,0)),0,VLOOKUP(A43,'Données projet'!$A$35:$I$55,3,0))</f>
        <v>3</v>
      </c>
      <c r="V43" s="16">
        <f>IF(ISNA(VLOOKUP(A43,'Données projet'!$A$35:$I$55,4,0)),0,VLOOKUP(A43,'Données projet'!$A$35:$I$55,4,0))</f>
        <v>88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564</v>
      </c>
      <c r="AG43" s="13">
        <f>VLOOKUP(A43,'Données projet'!$A$61:$I$81,9,0)</f>
        <v>25.6</v>
      </c>
      <c r="AH43" s="13">
        <f t="array" ref="AH43">INDEX(AG:AG,MIN(IF(ISNUMBER(AG43:AG239),ROW(AG43:AG239),"")))</f>
        <v>25.6</v>
      </c>
      <c r="AI43" s="14">
        <f>IF('Données projet'!$A$62&gt;35,AI42+AH43-AQ42,IF(A43&lt;'Données projet'!$A$62,$AF$205^A43,IF(A43='Données projet'!$A$62,'Données projet'!$B$62,AI42+AH43-AQ42)))</f>
        <v>564.00000000000023</v>
      </c>
      <c r="AJ43" s="14">
        <f>AI43*VLOOKUP('Données projet'!$B$10,Paramètres!$A$1:$I$89,3,0)*VLOOKUP('Données projet'!$B$10,Paramètres!$A$1:$I$89,5,0)</f>
        <v>315.27600000000012</v>
      </c>
      <c r="AK43" s="14">
        <f t="shared" si="35"/>
        <v>74.36958441265493</v>
      </c>
      <c r="AL43" s="22">
        <f t="shared" si="4"/>
        <v>678.63272618537417</v>
      </c>
      <c r="AM43" s="62">
        <f t="shared" si="5"/>
        <v>971.96605951870743</v>
      </c>
      <c r="AN43" s="62">
        <f ca="1">AVERAGE(OFFSET($AM$3,0,0,'Données projet'!$E$10+1,1))-AVERAGE(OFFSET($H$3,0,0,'Données projet'!$E$10+1,1))</f>
        <v>443.34220761968419</v>
      </c>
      <c r="AO43" s="62">
        <f t="shared" si="36"/>
        <v>546.58234447298014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72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6.971338502707181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0.96152188795259652</v>
      </c>
      <c r="AX43" s="23">
        <f t="shared" si="6"/>
        <v>7.9328603906597772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11.5</v>
      </c>
      <c r="N44" s="14">
        <f>IF('Données projet'!$A$36&gt;35,N43+M44-V43,IF(A44&lt;'Données projet'!$A$36,$K$205^A44,IF(A44='Données projet'!$A$36,'Données projet'!$B$36,N43+M44-V43)))</f>
        <v>273.49999999999989</v>
      </c>
      <c r="O44" s="14">
        <f>N44*VLOOKUP('Données projet'!$B$9,Paramètres!$A$1:$I$89,3,0)*VLOOKUP('Données projet'!$B$9,Paramètres!$A$1:$I$89,5,0)</f>
        <v>127.99799999999995</v>
      </c>
      <c r="P44" s="14">
        <f t="shared" si="33"/>
        <v>33.533338894635314</v>
      </c>
      <c r="Q44" s="22">
        <f t="shared" si="53"/>
        <v>281.33374857482306</v>
      </c>
      <c r="R44" s="62">
        <f t="shared" si="0"/>
        <v>574.66708190815643</v>
      </c>
      <c r="S44" s="62">
        <f ca="1">AVERAGE(OFFSET($R$3,0,0,'Données projet'!$E$9+1,1))-AVERAGE(OFFSET($H$3,0,0,'Données projet'!$E$9+1,1))</f>
        <v>396.92963589781414</v>
      </c>
      <c r="T44" s="62">
        <f t="shared" si="34"/>
        <v>294.38852181137639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22.8</v>
      </c>
      <c r="AI44" s="14">
        <f>IF('Données projet'!$A$62&gt;35,AI43+AH44-AQ43,IF(A44&lt;'Données projet'!$A$62,$AF$205^A44,IF(A44='Données projet'!$A$62,'Données projet'!$B$62,AI43+AH44-AQ43)))</f>
        <v>514.80000000000018</v>
      </c>
      <c r="AJ44" s="14">
        <f>AI44*VLOOKUP('Données projet'!$B$10,Paramètres!$A$1:$I$89,3,0)*VLOOKUP('Données projet'!$B$10,Paramètres!$A$1:$I$89,5,0)</f>
        <v>287.77320000000009</v>
      </c>
      <c r="AK44" s="14">
        <f t="shared" si="35"/>
        <v>68.607082381743922</v>
      </c>
      <c r="AL44" s="22">
        <f t="shared" si="4"/>
        <v>620.69565848153741</v>
      </c>
      <c r="AM44" s="62">
        <f t="shared" si="5"/>
        <v>914.02899181487078</v>
      </c>
      <c r="AN44" s="62">
        <f ca="1">AVERAGE(OFFSET($AM$3,0,0,'Données projet'!$E$10+1,1))-AVERAGE(OFFSET($H$3,0,0,'Données projet'!$E$10+1,1))</f>
        <v>443.34220761968419</v>
      </c>
      <c r="AO44" s="62">
        <f t="shared" si="36"/>
        <v>546.58234447298014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6.8346348067657203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0.67989864723057281</v>
      </c>
      <c r="AX44" s="23">
        <f t="shared" si="6"/>
        <v>7.5145334539962931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11.5</v>
      </c>
      <c r="N45" s="14">
        <f>IF('Données projet'!$A$36&gt;35,N44+M45-V44,IF(A45&lt;'Données projet'!$A$36,$K$205^A45,IF(A45='Données projet'!$A$36,'Données projet'!$B$36,N44+M45-V44)))</f>
        <v>284.99999999999989</v>
      </c>
      <c r="O45" s="14">
        <f>N45*VLOOKUP('Données projet'!$B$9,Paramètres!$A$1:$I$89,3,0)*VLOOKUP('Données projet'!$B$9,Paramètres!$A$1:$I$89,5,0)</f>
        <v>133.37999999999994</v>
      </c>
      <c r="P45" s="14">
        <f t="shared" si="33"/>
        <v>34.776207535548991</v>
      </c>
      <c r="Q45" s="22">
        <f t="shared" si="53"/>
        <v>292.87206145774769</v>
      </c>
      <c r="R45" s="62">
        <f t="shared" si="0"/>
        <v>586.20539479108106</v>
      </c>
      <c r="S45" s="62">
        <f ca="1">AVERAGE(OFFSET($R$3,0,0,'Données projet'!$E$9+1,1))-AVERAGE(OFFSET($H$3,0,0,'Données projet'!$E$9+1,1))</f>
        <v>396.92963589781414</v>
      </c>
      <c r="T45" s="62">
        <f t="shared" si="34"/>
        <v>294.38852181137639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22.8</v>
      </c>
      <c r="AI45" s="14">
        <f>IF('Données projet'!$A$62&gt;35,AI44+AH45-AQ44,IF(A45&lt;'Données projet'!$A$62,$AF$205^A45,IF(A45='Données projet'!$A$62,'Données projet'!$B$62,AI44+AH45-AQ44)))</f>
        <v>537.60000000000014</v>
      </c>
      <c r="AJ45" s="14">
        <f>AI45*VLOOKUP('Données projet'!$B$10,Paramètres!$A$1:$I$89,3,0)*VLOOKUP('Données projet'!$B$10,Paramètres!$A$1:$I$89,5,0)</f>
        <v>300.5184000000001</v>
      </c>
      <c r="AK45" s="14">
        <f t="shared" si="35"/>
        <v>71.285129105116411</v>
      </c>
      <c r="AL45" s="22">
        <f t="shared" si="4"/>
        <v>647.55781319141124</v>
      </c>
      <c r="AM45" s="62">
        <f t="shared" si="5"/>
        <v>940.8911465247445</v>
      </c>
      <c r="AN45" s="62">
        <f ca="1">AVERAGE(OFFSET($AM$3,0,0,'Données projet'!$E$10+1,1))-AVERAGE(OFFSET($H$3,0,0,'Données projet'!$E$10+1,1))</f>
        <v>443.34220761968419</v>
      </c>
      <c r="AO45" s="62">
        <f t="shared" si="36"/>
        <v>546.58234447298014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6.7006117869206498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0.48076094397629832</v>
      </c>
      <c r="AX45" s="23">
        <f t="shared" si="6"/>
        <v>7.1813727308969479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11.5</v>
      </c>
      <c r="N46" s="14">
        <f>IF('Données projet'!$A$36&gt;35,N45+M46-V45,IF(A46&lt;'Données projet'!$A$36,$K$205^A46,IF(A46='Données projet'!$A$36,'Données projet'!$B$36,N45+M46-V45)))</f>
        <v>296.49999999999989</v>
      </c>
      <c r="O46" s="14">
        <f>N46*VLOOKUP('Données projet'!$B$9,Paramètres!$A$1:$I$89,3,0)*VLOOKUP('Données projet'!$B$9,Paramètres!$A$1:$I$89,5,0)</f>
        <v>138.76199999999994</v>
      </c>
      <c r="P46" s="14">
        <f t="shared" si="33"/>
        <v>36.01325063671441</v>
      </c>
      <c r="Q46" s="22">
        <f t="shared" si="53"/>
        <v>304.4002281922775</v>
      </c>
      <c r="R46" s="62">
        <f t="shared" si="0"/>
        <v>597.73356152561087</v>
      </c>
      <c r="S46" s="62">
        <f ca="1">AVERAGE(OFFSET($R$3,0,0,'Données projet'!$E$9+1,1))-AVERAGE(OFFSET($H$3,0,0,'Données projet'!$E$9+1,1))</f>
        <v>396.92963589781414</v>
      </c>
      <c r="T46" s="62">
        <f t="shared" si="34"/>
        <v>294.38852181137639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22.8</v>
      </c>
      <c r="AI46" s="14">
        <f>IF('Données projet'!$A$62&gt;35,AI45+AH46-AQ45,IF(A46&lt;'Données projet'!$A$62,$AF$205^A46,IF(A46='Données projet'!$A$62,'Données projet'!$B$62,AI45+AH46-AQ45)))</f>
        <v>560.40000000000009</v>
      </c>
      <c r="AJ46" s="14">
        <f>AI46*VLOOKUP('Données projet'!$B$10,Paramètres!$A$1:$I$89,3,0)*VLOOKUP('Données projet'!$B$10,Paramètres!$A$1:$I$89,5,0)</f>
        <v>313.26360000000005</v>
      </c>
      <c r="AK46" s="14">
        <f t="shared" si="35"/>
        <v>73.949983766039026</v>
      </c>
      <c r="AL46" s="22">
        <f t="shared" si="4"/>
        <v>674.39699172585131</v>
      </c>
      <c r="AM46" s="62">
        <f t="shared" si="5"/>
        <v>967.73032505918468</v>
      </c>
      <c r="AN46" s="62">
        <f ca="1">AVERAGE(OFFSET($AM$3,0,0,'Données projet'!$E$10+1,1))-AVERAGE(OFFSET($H$3,0,0,'Données projet'!$E$10+1,1))</f>
        <v>443.34220761968419</v>
      </c>
      <c r="AO46" s="62">
        <f t="shared" si="36"/>
        <v>546.58234447298014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6.5692168767487713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0.3399493236152864</v>
      </c>
      <c r="AX46" s="23">
        <f t="shared" si="6"/>
        <v>6.9091662003640577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11.5</v>
      </c>
      <c r="N47" s="14">
        <f>IF('Données projet'!$A$36&gt;35,N46+M47-V46,IF(A47&lt;'Données projet'!$A$36,$K$205^A47,IF(A47='Données projet'!$A$36,'Données projet'!$B$36,N46+M47-V46)))</f>
        <v>307.99999999999989</v>
      </c>
      <c r="O47" s="14">
        <f>N47*VLOOKUP('Données projet'!$B$9,Paramètres!$A$1:$I$89,3,0)*VLOOKUP('Données projet'!$B$9,Paramètres!$A$1:$I$89,5,0)</f>
        <v>144.14399999999995</v>
      </c>
      <c r="P47" s="14">
        <f t="shared" si="33"/>
        <v>37.244720006976216</v>
      </c>
      <c r="Q47" s="22">
        <f t="shared" si="53"/>
        <v>315.91868734548348</v>
      </c>
      <c r="R47" s="62">
        <f t="shared" si="0"/>
        <v>609.25202067881673</v>
      </c>
      <c r="S47" s="62">
        <f ca="1">AVERAGE(OFFSET($R$3,0,0,'Données projet'!$E$9+1,1))-AVERAGE(OFFSET($H$3,0,0,'Données projet'!$E$9+1,1))</f>
        <v>396.92963589781414</v>
      </c>
      <c r="T47" s="62">
        <f t="shared" si="34"/>
        <v>294.38852181137639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22.8</v>
      </c>
      <c r="AI47" s="14">
        <f>IF('Données projet'!$A$62&gt;35,AI46+AH47-AQ46,IF(A47&lt;'Données projet'!$A$62,$AF$205^A47,IF(A47='Données projet'!$A$62,'Données projet'!$B$62,AI46+AH47-AQ46)))</f>
        <v>583.20000000000005</v>
      </c>
      <c r="AJ47" s="14">
        <f>AI47*VLOOKUP('Données projet'!$B$10,Paramètres!$A$1:$I$89,3,0)*VLOOKUP('Données projet'!$B$10,Paramètres!$A$1:$I$89,5,0)</f>
        <v>326.00880000000001</v>
      </c>
      <c r="AK47" s="14">
        <f t="shared" si="35"/>
        <v>76.602244480772981</v>
      </c>
      <c r="AL47" s="22">
        <f t="shared" si="4"/>
        <v>701.2142358040129</v>
      </c>
      <c r="AM47" s="62">
        <f t="shared" si="5"/>
        <v>994.54756913734627</v>
      </c>
      <c r="AN47" s="62">
        <f ca="1">AVERAGE(OFFSET($AM$3,0,0,'Données projet'!$E$10+1,1))-AVERAGE(OFFSET($H$3,0,0,'Données projet'!$E$10+1,1))</f>
        <v>443.34220761968419</v>
      </c>
      <c r="AO47" s="62">
        <f t="shared" si="36"/>
        <v>546.58234447298014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6.4403985406223816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0.24038047198814916</v>
      </c>
      <c r="AX47" s="23">
        <f t="shared" si="6"/>
        <v>6.6807790126105306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11.5</v>
      </c>
      <c r="N48" s="14">
        <f>IF('Données projet'!$A$36&gt;35,N47+M48-V47,IF(A48&lt;'Données projet'!$A$36,$K$205^A48,IF(A48='Données projet'!$A$36,'Données projet'!$B$36,N47+M48-V47)))</f>
        <v>319.49999999999989</v>
      </c>
      <c r="O48" s="14">
        <f>N48*VLOOKUP('Données projet'!$B$9,Paramètres!$A$1:$I$89,3,0)*VLOOKUP('Données projet'!$B$9,Paramètres!$A$1:$I$89,5,0)</f>
        <v>149.52599999999995</v>
      </c>
      <c r="P48" s="14">
        <f t="shared" si="33"/>
        <v>38.470847585964201</v>
      </c>
      <c r="Q48" s="22">
        <f t="shared" si="53"/>
        <v>327.42784287888759</v>
      </c>
      <c r="R48" s="62">
        <f t="shared" si="0"/>
        <v>620.7611762122209</v>
      </c>
      <c r="S48" s="62">
        <f ca="1">AVERAGE(OFFSET($R$3,0,0,'Données projet'!$E$9+1,1))-AVERAGE(OFFSET($H$3,0,0,'Données projet'!$E$9+1,1))</f>
        <v>396.92963589781414</v>
      </c>
      <c r="T48" s="62">
        <f t="shared" si="34"/>
        <v>294.38852181137639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606</v>
      </c>
      <c r="AG48" s="13">
        <f>VLOOKUP(A48,'Données projet'!$A$61:$I$81,9,0)</f>
        <v>22.8</v>
      </c>
      <c r="AH48" s="13">
        <f t="array" ref="AH48">INDEX(AG:AG,MIN(IF(ISNUMBER(AG48:AG244),ROW(AG48:AG244),"")))</f>
        <v>22.8</v>
      </c>
      <c r="AI48" s="14">
        <f>IF('Données projet'!$A$62&gt;35,AI47+AH48-AQ47,IF(A48&lt;'Données projet'!$A$62,$AF$205^A48,IF(A48='Données projet'!$A$62,'Données projet'!$B$62,AI47+AH48-AQ47)))</f>
        <v>606</v>
      </c>
      <c r="AJ48" s="14">
        <f>AI48*VLOOKUP('Données projet'!$B$10,Paramètres!$A$1:$I$89,3,0)*VLOOKUP('Données projet'!$B$10,Paramètres!$A$1:$I$89,5,0)</f>
        <v>338.75400000000002</v>
      </c>
      <c r="AK48" s="14">
        <f t="shared" si="35"/>
        <v>79.242459951408904</v>
      </c>
      <c r="AL48" s="22">
        <f t="shared" si="4"/>
        <v>728.01050108203719</v>
      </c>
      <c r="AM48" s="62">
        <f t="shared" si="5"/>
        <v>1021.3438344153706</v>
      </c>
      <c r="AN48" s="62">
        <f ca="1">AVERAGE(OFFSET($AM$3,0,0,'Données projet'!$E$10+1,1))-AVERAGE(OFFSET($H$3,0,0,'Données projet'!$E$10+1,1))</f>
        <v>443.34220761968419</v>
      </c>
      <c r="AO48" s="62">
        <f t="shared" si="36"/>
        <v>546.58234447298014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66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6.3141062534960035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0.1699746618076432</v>
      </c>
      <c r="AX48" s="23">
        <f t="shared" si="6"/>
        <v>6.4840809153036467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11.5</v>
      </c>
      <c r="N49" s="14">
        <f>IF('Données projet'!$A$36&gt;35,N48+M49-V48,IF(A49&lt;'Données projet'!$A$36,$K$205^A49,IF(A49='Données projet'!$A$36,'Données projet'!$B$36,N48+M49-V48)))</f>
        <v>330.99999999999989</v>
      </c>
      <c r="O49" s="14">
        <f>N49*VLOOKUP('Données projet'!$B$9,Paramètres!$A$1:$I$89,3,0)*VLOOKUP('Données projet'!$B$9,Paramètres!$A$1:$I$89,5,0)</f>
        <v>154.90799999999996</v>
      </c>
      <c r="P49" s="14">
        <f t="shared" si="33"/>
        <v>39.691847670151873</v>
      </c>
      <c r="Q49" s="22">
        <f t="shared" si="53"/>
        <v>338.92806802551439</v>
      </c>
      <c r="R49" s="62">
        <f t="shared" si="0"/>
        <v>632.26140135884771</v>
      </c>
      <c r="S49" s="62">
        <f ca="1">AVERAGE(OFFSET($R$3,0,0,'Données projet'!$E$9+1,1))-AVERAGE(OFFSET($H$3,0,0,'Données projet'!$E$9+1,1))</f>
        <v>396.92963589781414</v>
      </c>
      <c r="T49" s="62">
        <f t="shared" si="34"/>
        <v>294.38852181137639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17.8</v>
      </c>
      <c r="AI49" s="14">
        <f>IF('Données projet'!$A$62&gt;35,AI48+AH49-AQ48,IF(A49&lt;'Données projet'!$A$62,$AF$205^A49,IF(A49='Données projet'!$A$62,'Données projet'!$B$62,AI48+AH49-AQ48)))</f>
        <v>557.79999999999995</v>
      </c>
      <c r="AJ49" s="14">
        <f>AI49*VLOOKUP('Données projet'!$B$10,Paramètres!$A$1:$I$89,3,0)*VLOOKUP('Données projet'!$B$10,Paramètres!$A$1:$I$89,5,0)</f>
        <v>311.81020000000001</v>
      </c>
      <c r="AK49" s="14">
        <f t="shared" si="35"/>
        <v>73.646743780370684</v>
      </c>
      <c r="AL49" s="22">
        <f t="shared" si="4"/>
        <v>671.33751041747894</v>
      </c>
      <c r="AM49" s="62">
        <f t="shared" si="5"/>
        <v>964.67084375081231</v>
      </c>
      <c r="AN49" s="62">
        <f ca="1">AVERAGE(OFFSET($AM$3,0,0,'Données projet'!$E$10+1,1))-AVERAGE(OFFSET($H$3,0,0,'Données projet'!$E$10+1,1))</f>
        <v>443.34220761968419</v>
      </c>
      <c r="AO49" s="62">
        <f t="shared" si="36"/>
        <v>546.58234447298014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6.1902904810894848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0.12019023599407458</v>
      </c>
      <c r="AX49" s="23">
        <f t="shared" si="6"/>
        <v>6.3104807170835597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11.5</v>
      </c>
      <c r="N50" s="14">
        <f>IF('Données projet'!$A$36&gt;35,N49+M50-V49,IF(A50&lt;'Données projet'!$A$36,$K$205^A50,IF(A50='Données projet'!$A$36,'Données projet'!$B$36,N49+M50-V49)))</f>
        <v>342.49999999999989</v>
      </c>
      <c r="O50" s="14">
        <f>N50*VLOOKUP('Données projet'!$B$9,Paramètres!$A$1:$I$89,3,0)*VLOOKUP('Données projet'!$B$9,Paramètres!$A$1:$I$89,5,0)</f>
        <v>160.28999999999994</v>
      </c>
      <c r="P50" s="14">
        <f t="shared" si="33"/>
        <v>40.907918820862015</v>
      </c>
      <c r="Q50" s="22">
        <f t="shared" si="53"/>
        <v>350.41970861300121</v>
      </c>
      <c r="R50" s="62">
        <f t="shared" si="0"/>
        <v>643.75304194633452</v>
      </c>
      <c r="S50" s="62">
        <f ca="1">AVERAGE(OFFSET($R$3,0,0,'Données projet'!$E$9+1,1))-AVERAGE(OFFSET($H$3,0,0,'Données projet'!$E$9+1,1))</f>
        <v>396.92963589781414</v>
      </c>
      <c r="T50" s="62">
        <f t="shared" si="34"/>
        <v>294.38852181137639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17.8</v>
      </c>
      <c r="AI50" s="14">
        <f>IF('Données projet'!$A$62&gt;35,AI49+AH50-AQ49,IF(A50&lt;'Données projet'!$A$62,$AF$205^A50,IF(A50='Données projet'!$A$62,'Données projet'!$B$62,AI49+AH50-AQ49)))</f>
        <v>575.59999999999991</v>
      </c>
      <c r="AJ50" s="14">
        <f>AI50*VLOOKUP('Données projet'!$B$10,Paramètres!$A$1:$I$89,3,0)*VLOOKUP('Données projet'!$B$10,Paramètres!$A$1:$I$89,5,0)</f>
        <v>321.76039999999995</v>
      </c>
      <c r="AK50" s="14">
        <f t="shared" si="35"/>
        <v>75.719522083505169</v>
      </c>
      <c r="AL50" s="22">
        <f t="shared" si="4"/>
        <v>692.27753096210472</v>
      </c>
      <c r="AM50" s="62">
        <f t="shared" si="5"/>
        <v>985.61086429543798</v>
      </c>
      <c r="AN50" s="62">
        <f ca="1">AVERAGE(OFFSET($AM$3,0,0,'Données projet'!$E$10+1,1))-AVERAGE(OFFSET($H$3,0,0,'Données projet'!$E$10+1,1))</f>
        <v>443.34220761968419</v>
      </c>
      <c r="AO50" s="62">
        <f t="shared" si="36"/>
        <v>546.58234447298014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6.0689026604596936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8.4987330903821601E-2</v>
      </c>
      <c r="AX50" s="23">
        <f t="shared" si="6"/>
        <v>6.1538899913635152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11.5</v>
      </c>
      <c r="N51" s="14">
        <f>IF('Données projet'!$A$36&gt;35,N50+M51-V50,IF(A51&lt;'Données projet'!$A$36,$K$205^A51,IF(A51='Données projet'!$A$36,'Données projet'!$B$36,N50+M51-V50)))</f>
        <v>353.99999999999989</v>
      </c>
      <c r="O51" s="14">
        <f>N51*VLOOKUP('Données projet'!$B$9,Paramètres!$A$1:$I$89,3,0)*VLOOKUP('Données projet'!$B$9,Paramètres!$A$1:$I$89,5,0)</f>
        <v>165.67199999999994</v>
      </c>
      <c r="P51" s="14">
        <f t="shared" si="33"/>
        <v>42.119245508815517</v>
      </c>
      <c r="Q51" s="22">
        <f t="shared" si="53"/>
        <v>361.90308592785351</v>
      </c>
      <c r="R51" s="62">
        <f t="shared" si="0"/>
        <v>655.23641926118682</v>
      </c>
      <c r="S51" s="62">
        <f ca="1">AVERAGE(OFFSET($R$3,0,0,'Données projet'!$E$9+1,1))-AVERAGE(OFFSET($H$3,0,0,'Données projet'!$E$9+1,1))</f>
        <v>396.92963589781414</v>
      </c>
      <c r="T51" s="62">
        <f t="shared" si="34"/>
        <v>294.38852181137639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17.8</v>
      </c>
      <c r="AI51" s="14">
        <f>IF('Données projet'!$A$62&gt;35,AI50+AH51-AQ50,IF(A51&lt;'Données projet'!$A$62,$AF$205^A51,IF(A51='Données projet'!$A$62,'Données projet'!$B$62,AI50+AH51-AQ50)))</f>
        <v>593.39999999999986</v>
      </c>
      <c r="AJ51" s="14">
        <f>AI51*VLOOKUP('Données projet'!$B$10,Paramètres!$A$1:$I$89,3,0)*VLOOKUP('Données projet'!$B$10,Paramètres!$A$1:$I$89,5,0)</f>
        <v>331.71059999999994</v>
      </c>
      <c r="AK51" s="14">
        <f t="shared" si="35"/>
        <v>77.784851407016433</v>
      </c>
      <c r="AL51" s="22">
        <f t="shared" si="4"/>
        <v>713.20457786722011</v>
      </c>
      <c r="AM51" s="62">
        <f t="shared" si="5"/>
        <v>1006.5379112005535</v>
      </c>
      <c r="AN51" s="62">
        <f ca="1">AVERAGE(OFFSET($AM$3,0,0,'Données projet'!$E$10+1,1))-AVERAGE(OFFSET($H$3,0,0,'Données projet'!$E$10+1,1))</f>
        <v>443.34220761968419</v>
      </c>
      <c r="AO51" s="62">
        <f t="shared" si="36"/>
        <v>546.58234447298014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5.9498951809531926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6.009511799703729E-2</v>
      </c>
      <c r="AX51" s="23">
        <f t="shared" si="6"/>
        <v>6.0099902989502301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11.5</v>
      </c>
      <c r="N52" s="14">
        <f>IF('Données projet'!$A$36&gt;35,N51+M52-V51,IF(A52&lt;'Données projet'!$A$36,$K$205^A52,IF(A52='Données projet'!$A$36,'Données projet'!$B$36,N51+M52-V51)))</f>
        <v>365.49999999999989</v>
      </c>
      <c r="O52" s="14">
        <f>N52*VLOOKUP('Données projet'!$B$9,Paramètres!$A$1:$I$89,3,0)*VLOOKUP('Données projet'!$B$9,Paramètres!$A$1:$I$89,5,0)</f>
        <v>171.05399999999995</v>
      </c>
      <c r="P52" s="14">
        <f t="shared" si="33"/>
        <v>43.32599953897904</v>
      </c>
      <c r="Q52" s="22">
        <f t="shared" si="53"/>
        <v>373.37849919705508</v>
      </c>
      <c r="R52" s="62">
        <f t="shared" si="0"/>
        <v>666.71183253038839</v>
      </c>
      <c r="S52" s="62">
        <f ca="1">AVERAGE(OFFSET($R$3,0,0,'Données projet'!$E$9+1,1))-AVERAGE(OFFSET($H$3,0,0,'Données projet'!$E$9+1,1))</f>
        <v>396.92963589781414</v>
      </c>
      <c r="T52" s="62">
        <f t="shared" si="34"/>
        <v>294.38852181137639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17.8</v>
      </c>
      <c r="AI52" s="14">
        <f>IF('Données projet'!$A$62&gt;35,AI51+AH52-AQ51,IF(A52&lt;'Données projet'!$A$62,$AF$205^A52,IF(A52='Données projet'!$A$62,'Données projet'!$B$62,AI51+AH52-AQ51)))</f>
        <v>611.19999999999982</v>
      </c>
      <c r="AJ52" s="14">
        <f>AI52*VLOOKUP('Données projet'!$B$10,Paramètres!$A$1:$I$89,3,0)*VLOOKUP('Données projet'!$B$10,Paramètres!$A$1:$I$89,5,0)</f>
        <v>341.66079999999988</v>
      </c>
      <c r="AK52" s="14">
        <f t="shared" si="35"/>
        <v>79.842980844864144</v>
      </c>
      <c r="AL52" s="22">
        <f t="shared" si="4"/>
        <v>734.11908497147158</v>
      </c>
      <c r="AM52" s="62">
        <f t="shared" si="5"/>
        <v>1027.452418304805</v>
      </c>
      <c r="AN52" s="62">
        <f ca="1">AVERAGE(OFFSET($AM$3,0,0,'Données projet'!$E$10+1,1))-AVERAGE(OFFSET($H$3,0,0,'Données projet'!$E$10+1,1))</f>
        <v>443.34220761968419</v>
      </c>
      <c r="AO52" s="62">
        <f t="shared" si="36"/>
        <v>546.58234447298014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5.8332213655324194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4.24936654519108E-2</v>
      </c>
      <c r="AX52" s="23">
        <f t="shared" si="6"/>
        <v>5.8757150309843302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377</v>
      </c>
      <c r="L53" s="13">
        <f>VLOOKUP(A53,'Données projet'!$A$35:$I$55,9,0)</f>
        <v>11.5</v>
      </c>
      <c r="M53" s="13">
        <f t="array" ref="M53">INDEX(L:L,MIN(IF(ISNUMBER(L53:L249),ROW(L53:L249),"")))</f>
        <v>11.5</v>
      </c>
      <c r="N53" s="14">
        <f>IF('Données projet'!$A$36&gt;35,N52+M53-V52,IF(A53&lt;'Données projet'!$A$36,$K$205^A53,IF(A53='Données projet'!$A$36,'Données projet'!$B$36,N52+M53-V52)))</f>
        <v>376.99999999999989</v>
      </c>
      <c r="O53" s="14">
        <f>N53*VLOOKUP('Données projet'!$B$9,Paramètres!$A$1:$I$89,3,0)*VLOOKUP('Données projet'!$B$9,Paramètres!$A$1:$I$89,5,0)</f>
        <v>176.43599999999992</v>
      </c>
      <c r="P53" s="14">
        <f t="shared" si="33"/>
        <v>44.52834129105058</v>
      </c>
      <c r="Q53" s="22">
        <f t="shared" si="53"/>
        <v>384.84622774857962</v>
      </c>
      <c r="R53" s="62">
        <f t="shared" si="0"/>
        <v>678.17956108191288</v>
      </c>
      <c r="S53" s="62">
        <f ca="1">AVERAGE(OFFSET($R$3,0,0,'Données projet'!$E$9+1,1))-AVERAGE(OFFSET($H$3,0,0,'Données projet'!$E$9+1,1))</f>
        <v>396.92963589781414</v>
      </c>
      <c r="T53" s="62">
        <f t="shared" si="34"/>
        <v>294.38852181137639</v>
      </c>
      <c r="U53" s="16">
        <f>IF(ISNA(VLOOKUP(A53,'Données projet'!$A$35:$I$55,3,0)),0,VLOOKUP(A53,'Données projet'!$A$35:$I$55,3,0))</f>
        <v>4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629</v>
      </c>
      <c r="AG53" s="13">
        <f>VLOOKUP(A53,'Données projet'!$A$61:$I$81,9,0)</f>
        <v>17.8</v>
      </c>
      <c r="AH53" s="13">
        <f t="array" ref="AH53">INDEX(AG:AG,MIN(IF(ISNUMBER(AG53:AG249),ROW(AG53:AG249),"")))</f>
        <v>17.8</v>
      </c>
      <c r="AI53" s="14">
        <f>IF('Données projet'!$A$62&gt;35,AI52+AH53-AQ52,IF(A53&lt;'Données projet'!$A$62,$AF$205^A53,IF(A53='Données projet'!$A$62,'Données projet'!$B$62,AI52+AH53-AQ52)))</f>
        <v>628.99999999999977</v>
      </c>
      <c r="AJ53" s="14">
        <f>AI53*VLOOKUP('Données projet'!$B$10,Paramètres!$A$1:$I$89,3,0)*VLOOKUP('Données projet'!$B$10,Paramètres!$A$1:$I$89,5,0)</f>
        <v>351.61099999999988</v>
      </c>
      <c r="AK53" s="14">
        <f t="shared" si="35"/>
        <v>81.89414415728541</v>
      </c>
      <c r="AL53" s="22">
        <f t="shared" si="4"/>
        <v>755.02145940727178</v>
      </c>
      <c r="AM53" s="62">
        <f t="shared" si="5"/>
        <v>1048.354792740605</v>
      </c>
      <c r="AN53" s="62">
        <f ca="1">AVERAGE(OFFSET($AM$3,0,0,'Données projet'!$E$10+1,1))-AVERAGE(OFFSET($H$3,0,0,'Données projet'!$E$10+1,1))</f>
        <v>443.34220761968419</v>
      </c>
      <c r="AO53" s="62">
        <f t="shared" si="36"/>
        <v>546.58234447298014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48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5.7188354524680465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3.0047558998518645E-2</v>
      </c>
      <c r="AX53" s="23">
        <f t="shared" si="6"/>
        <v>5.7488830114665648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13.5</v>
      </c>
      <c r="N54" s="14">
        <f>IF('Données projet'!$A$36&gt;35,N53+M54-V53,IF(A54&lt;'Données projet'!$A$36,$K$205^A54,IF(A54='Données projet'!$A$36,'Données projet'!$B$36,N53+M54-V53)))</f>
        <v>390.49999999999989</v>
      </c>
      <c r="O54" s="14">
        <f>N54*VLOOKUP('Données projet'!$B$9,Paramètres!$A$1:$I$89,3,0)*VLOOKUP('Données projet'!$B$9,Paramètres!$A$1:$I$89,5,0)</f>
        <v>182.75399999999996</v>
      </c>
      <c r="P54" s="14">
        <f t="shared" si="33"/>
        <v>45.934357911110212</v>
      </c>
      <c r="Q54" s="22">
        <f t="shared" si="53"/>
        <v>398.29889002851684</v>
      </c>
      <c r="R54" s="62">
        <f t="shared" si="0"/>
        <v>691.63222336185015</v>
      </c>
      <c r="S54" s="62">
        <f ca="1">AVERAGE(OFFSET($R$3,0,0,'Données projet'!$E$9+1,1))-AVERAGE(OFFSET($H$3,0,0,'Données projet'!$E$9+1,1))</f>
        <v>396.92963589781414</v>
      </c>
      <c r="T54" s="62">
        <f t="shared" si="34"/>
        <v>294.38852181137639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13.8</v>
      </c>
      <c r="AI54" s="14">
        <f>IF('Données projet'!$A$62&gt;35,AI53+AH54-AQ53,IF(A54&lt;'Données projet'!$A$62,$AF$205^A54,IF(A54='Données projet'!$A$62,'Données projet'!$B$62,AI53+AH54-AQ53)))</f>
        <v>594.79999999999973</v>
      </c>
      <c r="AJ54" s="14">
        <f>AI54*VLOOKUP('Données projet'!$B$10,Paramètres!$A$1:$I$89,3,0)*VLOOKUP('Données projet'!$B$10,Paramètres!$A$1:$I$89,5,0)</f>
        <v>332.49319999999983</v>
      </c>
      <c r="AK54" s="14">
        <f t="shared" si="35"/>
        <v>77.946984490524827</v>
      </c>
      <c r="AL54" s="22">
        <f t="shared" si="4"/>
        <v>714.84998798766367</v>
      </c>
      <c r="AM54" s="62">
        <f t="shared" si="5"/>
        <v>1008.183321320997</v>
      </c>
      <c r="AN54" s="62">
        <f ca="1">AVERAGE(OFFSET($AM$3,0,0,'Données projet'!$E$10+1,1))-AVERAGE(OFFSET($H$3,0,0,'Données projet'!$E$10+1,1))</f>
        <v>443.34220761968419</v>
      </c>
      <c r="AO54" s="62">
        <f t="shared" si="36"/>
        <v>546.58234447298014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5.6066925773903487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2.12468327259554E-2</v>
      </c>
      <c r="AX54" s="23">
        <f t="shared" si="6"/>
        <v>5.6279394101163041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13.5</v>
      </c>
      <c r="N55" s="14">
        <f>IF('Données projet'!$A$36&gt;35,N54+M55-V54,IF(A55&lt;'Données projet'!$A$36,$K$205^A55,IF(A55='Données projet'!$A$36,'Données projet'!$B$36,N54+M55-V54)))</f>
        <v>403.99999999999989</v>
      </c>
      <c r="O55" s="14">
        <f>N55*VLOOKUP('Données projet'!$B$9,Paramètres!$A$1:$I$89,3,0)*VLOOKUP('Données projet'!$B$9,Paramètres!$A$1:$I$89,5,0)</f>
        <v>189.07199999999992</v>
      </c>
      <c r="P55" s="14">
        <f t="shared" si="33"/>
        <v>47.33472679972779</v>
      </c>
      <c r="Q55" s="22">
        <f t="shared" si="53"/>
        <v>411.74171584285909</v>
      </c>
      <c r="R55" s="62">
        <f t="shared" si="0"/>
        <v>705.07504917619235</v>
      </c>
      <c r="S55" s="62">
        <f ca="1">AVERAGE(OFFSET($R$3,0,0,'Données projet'!$E$9+1,1))-AVERAGE(OFFSET($H$3,0,0,'Données projet'!$E$9+1,1))</f>
        <v>396.92963589781414</v>
      </c>
      <c r="T55" s="62">
        <f t="shared" si="34"/>
        <v>294.38852181137639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13.8</v>
      </c>
      <c r="AI55" s="14">
        <f>IF('Données projet'!$A$62&gt;35,AI54+AH55-AQ54,IF(A55&lt;'Données projet'!$A$62,$AF$205^A55,IF(A55='Données projet'!$A$62,'Données projet'!$B$62,AI54+AH55-AQ54)))</f>
        <v>608.59999999999968</v>
      </c>
      <c r="AJ55" s="14">
        <f>AI55*VLOOKUP('Données projet'!$B$10,Paramètres!$A$1:$I$89,3,0)*VLOOKUP('Données projet'!$B$10,Paramètres!$A$1:$I$89,5,0)</f>
        <v>340.20739999999984</v>
      </c>
      <c r="AK55" s="14">
        <f t="shared" si="35"/>
        <v>79.542795053996059</v>
      </c>
      <c r="AL55" s="22">
        <f t="shared" si="4"/>
        <v>731.06492305237623</v>
      </c>
      <c r="AM55" s="62">
        <f t="shared" si="5"/>
        <v>1024.3982563857096</v>
      </c>
      <c r="AN55" s="62">
        <f ca="1">AVERAGE(OFFSET($AM$3,0,0,'Données projet'!$E$10+1,1))-AVERAGE(OFFSET($H$3,0,0,'Données projet'!$E$10+1,1))</f>
        <v>443.34220761968419</v>
      </c>
      <c r="AO55" s="62">
        <f t="shared" si="36"/>
        <v>546.58234447298014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5.4967487556925247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1.5023779499259322E-2</v>
      </c>
      <c r="AX55" s="23">
        <f t="shared" si="6"/>
        <v>5.5117725351917839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13.5</v>
      </c>
      <c r="N56" s="14">
        <f>IF('Données projet'!$A$36&gt;35,N55+M56-V55,IF(A56&lt;'Données projet'!$A$36,$K$205^A56,IF(A56='Données projet'!$A$36,'Données projet'!$B$36,N55+M56-V55)))</f>
        <v>417.49999999999989</v>
      </c>
      <c r="O56" s="14">
        <f>N56*VLOOKUP('Données projet'!$B$9,Paramètres!$A$1:$I$89,3,0)*VLOOKUP('Données projet'!$B$9,Paramètres!$A$1:$I$89,5,0)</f>
        <v>195.38999999999996</v>
      </c>
      <c r="P56" s="14">
        <f t="shared" si="33"/>
        <v>48.729658318340213</v>
      </c>
      <c r="Q56" s="22">
        <f t="shared" si="53"/>
        <v>425.17507157110907</v>
      </c>
      <c r="R56" s="62">
        <f t="shared" si="0"/>
        <v>718.50840490444239</v>
      </c>
      <c r="S56" s="62">
        <f ca="1">AVERAGE(OFFSET($R$3,0,0,'Données projet'!$E$9+1,1))-AVERAGE(OFFSET($H$3,0,0,'Données projet'!$E$9+1,1))</f>
        <v>396.92963589781414</v>
      </c>
      <c r="T56" s="62">
        <f t="shared" si="34"/>
        <v>294.38852181137639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13.8</v>
      </c>
      <c r="AI56" s="14">
        <f>IF('Données projet'!$A$62&gt;35,AI55+AH56-AQ55,IF(A56&lt;'Données projet'!$A$62,$AF$205^A56,IF(A56='Données projet'!$A$62,'Données projet'!$B$62,AI55+AH56-AQ55)))</f>
        <v>622.39999999999964</v>
      </c>
      <c r="AJ56" s="14">
        <f>AI56*VLOOKUP('Données projet'!$B$10,Paramètres!$A$1:$I$89,3,0)*VLOOKUP('Données projet'!$B$10,Paramètres!$A$1:$I$89,5,0)</f>
        <v>347.92159999999978</v>
      </c>
      <c r="AK56" s="14">
        <f t="shared" si="35"/>
        <v>81.134398856989449</v>
      </c>
      <c r="AL56" s="22">
        <f t="shared" si="4"/>
        <v>747.27253134258956</v>
      </c>
      <c r="AM56" s="62">
        <f t="shared" si="5"/>
        <v>1040.6058646759229</v>
      </c>
      <c r="AN56" s="62">
        <f ca="1">AVERAGE(OFFSET($AM$3,0,0,'Données projet'!$E$10+1,1))-AVERAGE(OFFSET($H$3,0,0,'Données projet'!$E$10+1,1))</f>
        <v>443.34220761968419</v>
      </c>
      <c r="AO56" s="62">
        <f t="shared" si="36"/>
        <v>546.58234447298014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5.3889608652790848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1.06234163629777E-2</v>
      </c>
      <c r="AX56" s="23">
        <f t="shared" si="6"/>
        <v>5.3995842816420625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13.5</v>
      </c>
      <c r="N57" s="14">
        <f>IF('Données projet'!$A$36&gt;35,N56+M57-V56,IF(A57&lt;'Données projet'!$A$36,$K$205^A57,IF(A57='Données projet'!$A$36,'Données projet'!$B$36,N56+M57-V56)))</f>
        <v>430.99999999999989</v>
      </c>
      <c r="O57" s="14">
        <f>N57*VLOOKUP('Données projet'!$B$9,Paramètres!$A$1:$I$89,3,0)*VLOOKUP('Données projet'!$B$9,Paramètres!$A$1:$I$89,5,0)</f>
        <v>201.70799999999994</v>
      </c>
      <c r="P57" s="14">
        <f t="shared" si="33"/>
        <v>50.119348451854243</v>
      </c>
      <c r="Q57" s="22">
        <f t="shared" si="53"/>
        <v>438.59929855364607</v>
      </c>
      <c r="R57" s="62">
        <f t="shared" si="0"/>
        <v>731.93263188697938</v>
      </c>
      <c r="S57" s="62">
        <f ca="1">AVERAGE(OFFSET($R$3,0,0,'Données projet'!$E$9+1,1))-AVERAGE(OFFSET($H$3,0,0,'Données projet'!$E$9+1,1))</f>
        <v>396.92963589781414</v>
      </c>
      <c r="T57" s="62">
        <f t="shared" si="34"/>
        <v>294.38852181137639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13.8</v>
      </c>
      <c r="AI57" s="14">
        <f>IF('Données projet'!$A$62&gt;35,AI56+AH57-AQ56,IF(A57&lt;'Données projet'!$A$62,$AF$205^A57,IF(A57='Données projet'!$A$62,'Données projet'!$B$62,AI56+AH57-AQ56)))</f>
        <v>636.19999999999959</v>
      </c>
      <c r="AJ57" s="14">
        <f>AI57*VLOOKUP('Données projet'!$B$10,Paramètres!$A$1:$I$89,3,0)*VLOOKUP('Données projet'!$B$10,Paramètres!$A$1:$I$89,5,0)</f>
        <v>355.63579999999973</v>
      </c>
      <c r="AK57" s="14">
        <f t="shared" si="35"/>
        <v>82.721899912765039</v>
      </c>
      <c r="AL57" s="22">
        <f t="shared" si="4"/>
        <v>763.47299401473185</v>
      </c>
      <c r="AM57" s="62">
        <f t="shared" si="5"/>
        <v>1056.8063273480652</v>
      </c>
      <c r="AN57" s="62">
        <f ca="1">AVERAGE(OFFSET($AM$3,0,0,'Données projet'!$E$10+1,1))-AVERAGE(OFFSET($H$3,0,0,'Données projet'!$E$10+1,1))</f>
        <v>443.34220761968419</v>
      </c>
      <c r="AO57" s="62">
        <f t="shared" si="36"/>
        <v>546.58234447298014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5.2832866296525314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7.5118897496296612E-3</v>
      </c>
      <c r="AX57" s="23">
        <f t="shared" si="6"/>
        <v>5.2907985194021609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13.5</v>
      </c>
      <c r="N58" s="14">
        <f>IF('Données projet'!$A$36&gt;35,N57+M58-V57,IF(A58&lt;'Données projet'!$A$36,$K$205^A58,IF(A58='Données projet'!$A$36,'Données projet'!$B$36,N57+M58-V57)))</f>
        <v>444.49999999999989</v>
      </c>
      <c r="O58" s="14">
        <f>N58*VLOOKUP('Données projet'!$B$9,Paramètres!$A$1:$I$89,3,0)*VLOOKUP('Données projet'!$B$9,Paramètres!$A$1:$I$89,5,0)</f>
        <v>208.02599999999995</v>
      </c>
      <c r="P58" s="14">
        <f t="shared" si="33"/>
        <v>51.503980210368603</v>
      </c>
      <c r="Q58" s="22">
        <f t="shared" si="53"/>
        <v>452.01471553305851</v>
      </c>
      <c r="R58" s="62">
        <f t="shared" si="0"/>
        <v>745.34804886639176</v>
      </c>
      <c r="S58" s="62">
        <f ca="1">AVERAGE(OFFSET($R$3,0,0,'Données projet'!$E$9+1,1))-AVERAGE(OFFSET($H$3,0,0,'Données projet'!$E$9+1,1))</f>
        <v>396.92963589781414</v>
      </c>
      <c r="T58" s="62">
        <f t="shared" si="34"/>
        <v>294.38852181137639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650</v>
      </c>
      <c r="AG58" s="13">
        <f>VLOOKUP(A58,'Données projet'!$A$61:$I$81,9,0)</f>
        <v>13.8</v>
      </c>
      <c r="AH58" s="13">
        <f t="array" ref="AH58">INDEX(AG:AG,MIN(IF(ISNUMBER(AG58:AG254),ROW(AG58:AG254),"")))</f>
        <v>13.8</v>
      </c>
      <c r="AI58" s="14">
        <f>IF('Données projet'!$A$62&gt;35,AI57+AH58-AQ57,IF(A58&lt;'Données projet'!$A$62,$AF$205^A58,IF(A58='Données projet'!$A$62,'Données projet'!$B$62,AI57+AH58-AQ57)))</f>
        <v>649.99999999999955</v>
      </c>
      <c r="AJ58" s="14">
        <f>AI58*VLOOKUP('Données projet'!$B$10,Paramètres!$A$1:$I$89,3,0)*VLOOKUP('Données projet'!$B$10,Paramètres!$A$1:$I$89,5,0)</f>
        <v>363.34999999999974</v>
      </c>
      <c r="AK58" s="14">
        <f t="shared" si="35"/>
        <v>84.305397464498199</v>
      </c>
      <c r="AL58" s="22">
        <f t="shared" si="4"/>
        <v>779.66648391733395</v>
      </c>
      <c r="AM58" s="62">
        <f t="shared" si="5"/>
        <v>1072.9998172506673</v>
      </c>
      <c r="AN58" s="62">
        <f ca="1">AVERAGE(OFFSET($AM$3,0,0,'Données projet'!$E$10+1,1))-AVERAGE(OFFSET($H$3,0,0,'Données projet'!$E$10+1,1))</f>
        <v>443.34220761968419</v>
      </c>
      <c r="AO58" s="62">
        <f t="shared" si="36"/>
        <v>546.58234447298014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35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5.1796846013316955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5.31170818148885E-3</v>
      </c>
      <c r="AX58" s="23">
        <f t="shared" si="6"/>
        <v>5.1849963095131848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13.5</v>
      </c>
      <c r="N59" s="14">
        <f>IF('Données projet'!$A$36&gt;35,N58+M59-V58,IF(A59&lt;'Données projet'!$A$36,$K$205^A59,IF(A59='Données projet'!$A$36,'Données projet'!$B$36,N58+M59-V58)))</f>
        <v>457.99999999999989</v>
      </c>
      <c r="O59" s="14">
        <f>N59*VLOOKUP('Données projet'!$B$9,Paramètres!$A$1:$I$89,3,0)*VLOOKUP('Données projet'!$B$9,Paramètres!$A$1:$I$89,5,0)</f>
        <v>214.34399999999997</v>
      </c>
      <c r="P59" s="14">
        <f t="shared" si="33"/>
        <v>52.883724855822585</v>
      </c>
      <c r="Q59" s="22">
        <f t="shared" si="53"/>
        <v>465.4216207905576</v>
      </c>
      <c r="R59" s="62">
        <f t="shared" si="0"/>
        <v>758.75495412389091</v>
      </c>
      <c r="S59" s="62">
        <f ca="1">AVERAGE(OFFSET($R$3,0,0,'Données projet'!$E$9+1,1))-AVERAGE(OFFSET($H$3,0,0,'Données projet'!$E$9+1,1))</f>
        <v>396.92963589781414</v>
      </c>
      <c r="T59" s="62">
        <f t="shared" si="34"/>
        <v>294.38852181137639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10.199999999999999</v>
      </c>
      <c r="AI59" s="14">
        <f>IF('Données projet'!$A$62&gt;35,AI58+AH59-AQ58,IF(A59&lt;'Données projet'!$A$62,$AF$205^A59,IF(A59='Données projet'!$A$62,'Données projet'!$B$62,AI58+AH59-AQ58)))</f>
        <v>625.19999999999959</v>
      </c>
      <c r="AJ59" s="14">
        <f>AI59*VLOOKUP('Données projet'!$B$10,Paramètres!$A$1:$I$89,3,0)*VLOOKUP('Données projet'!$B$10,Paramètres!$A$1:$I$89,5,0)</f>
        <v>349.48679999999979</v>
      </c>
      <c r="AK59" s="14">
        <f t="shared" si="35"/>
        <v>81.45682900536228</v>
      </c>
      <c r="AL59" s="22">
        <f t="shared" si="4"/>
        <v>750.56015385100557</v>
      </c>
      <c r="AM59" s="62">
        <f t="shared" si="5"/>
        <v>1043.8934871843389</v>
      </c>
      <c r="AN59" s="62">
        <f ca="1">AVERAGE(OFFSET($AM$3,0,0,'Données projet'!$E$10+1,1))-AVERAGE(OFFSET($H$3,0,0,'Données projet'!$E$10+1,1))</f>
        <v>443.34220761968419</v>
      </c>
      <c r="AO59" s="62">
        <f t="shared" si="36"/>
        <v>546.58234447298014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5.078114145595233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3.7559448748148306E-3</v>
      </c>
      <c r="AX59" s="23">
        <f t="shared" si="6"/>
        <v>5.0818700904700478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13.5</v>
      </c>
      <c r="N60" s="14">
        <f>IF('Données projet'!$A$36&gt;35,N59+M60-V59,IF(A60&lt;'Données projet'!$A$36,$K$205^A60,IF(A60='Données projet'!$A$36,'Données projet'!$B$36,N59+M60-V59)))</f>
        <v>471.49999999999989</v>
      </c>
      <c r="O60" s="14">
        <f>N60*VLOOKUP('Données projet'!$B$9,Paramètres!$A$1:$I$89,3,0)*VLOOKUP('Données projet'!$B$9,Paramètres!$A$1:$I$89,5,0)</f>
        <v>220.66199999999995</v>
      </c>
      <c r="P60" s="14">
        <f t="shared" si="33"/>
        <v>54.258742979954953</v>
      </c>
      <c r="Q60" s="22">
        <f t="shared" si="53"/>
        <v>478.82029402342147</v>
      </c>
      <c r="R60" s="62">
        <f t="shared" si="0"/>
        <v>772.15362735675478</v>
      </c>
      <c r="S60" s="62">
        <f ca="1">AVERAGE(OFFSET($R$3,0,0,'Données projet'!$E$9+1,1))-AVERAGE(OFFSET($H$3,0,0,'Données projet'!$E$9+1,1))</f>
        <v>396.92963589781414</v>
      </c>
      <c r="T60" s="62">
        <f t="shared" si="34"/>
        <v>294.38852181137639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10.199999999999999</v>
      </c>
      <c r="AI60" s="14">
        <f>IF('Données projet'!$A$62&gt;35,AI59+AH60-AQ59,IF(A60&lt;'Données projet'!$A$62,$AF$205^A60,IF(A60='Données projet'!$A$62,'Données projet'!$B$62,AI59+AH60-AQ59)))</f>
        <v>635.39999999999964</v>
      </c>
      <c r="AJ60" s="14">
        <f>AI60*VLOOKUP('Données projet'!$B$10,Paramètres!$A$1:$I$89,3,0)*VLOOKUP('Données projet'!$B$10,Paramètres!$A$1:$I$89,5,0)</f>
        <v>355.18859999999984</v>
      </c>
      <c r="AK60" s="14">
        <f t="shared" si="35"/>
        <v>82.629981116726043</v>
      </c>
      <c r="AL60" s="22">
        <f t="shared" si="4"/>
        <v>762.53402877829774</v>
      </c>
      <c r="AM60" s="62">
        <f t="shared" si="5"/>
        <v>1055.8673621116311</v>
      </c>
      <c r="AN60" s="62">
        <f ca="1">AVERAGE(OFFSET($AM$3,0,0,'Données projet'!$E$10+1,1))-AVERAGE(OFFSET($H$3,0,0,'Données projet'!$E$10+1,1))</f>
        <v>443.34220761968419</v>
      </c>
      <c r="AO60" s="62">
        <f t="shared" si="36"/>
        <v>546.58234447298014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4.9785354245439022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2.655854090744425E-3</v>
      </c>
      <c r="AX60" s="23">
        <f t="shared" si="6"/>
        <v>4.9811912786346468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13.5</v>
      </c>
      <c r="N61" s="14">
        <f>IF('Données projet'!$A$36&gt;35,N60+M61-V60,IF(A61&lt;'Données projet'!$A$36,$K$205^A61,IF(A61='Données projet'!$A$36,'Données projet'!$B$36,N60+M61-V60)))</f>
        <v>484.99999999999989</v>
      </c>
      <c r="O61" s="14">
        <f>N61*VLOOKUP('Données projet'!$B$9,Paramètres!$A$1:$I$89,3,0)*VLOOKUP('Données projet'!$B$9,Paramètres!$A$1:$I$89,5,0)</f>
        <v>226.97999999999996</v>
      </c>
      <c r="P61" s="14">
        <f t="shared" si="33"/>
        <v>55.629185455335929</v>
      </c>
      <c r="Q61" s="22">
        <f t="shared" si="53"/>
        <v>492.21099800137659</v>
      </c>
      <c r="R61" s="62">
        <f t="shared" si="0"/>
        <v>785.54433133470991</v>
      </c>
      <c r="S61" s="62">
        <f ca="1">AVERAGE(OFFSET($R$3,0,0,'Données projet'!$E$9+1,1))-AVERAGE(OFFSET($H$3,0,0,'Données projet'!$E$9+1,1))</f>
        <v>396.92963589781414</v>
      </c>
      <c r="T61" s="62">
        <f t="shared" si="34"/>
        <v>294.38852181137639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10.199999999999999</v>
      </c>
      <c r="AI61" s="14">
        <f>IF('Données projet'!$A$62&gt;35,AI60+AH61-AQ60,IF(A61&lt;'Données projet'!$A$62,$AF$205^A61,IF(A61='Données projet'!$A$62,'Données projet'!$B$62,AI60+AH61-AQ60)))</f>
        <v>645.59999999999968</v>
      </c>
      <c r="AJ61" s="14">
        <f>AI61*VLOOKUP('Données projet'!$B$10,Paramètres!$A$1:$I$89,3,0)*VLOOKUP('Données projet'!$B$10,Paramètres!$A$1:$I$89,5,0)</f>
        <v>360.89039999999977</v>
      </c>
      <c r="AK61" s="14">
        <f t="shared" si="35"/>
        <v>83.800943075865291</v>
      </c>
      <c r="AL61" s="22">
        <f t="shared" si="4"/>
        <v>774.50408919046504</v>
      </c>
      <c r="AM61" s="62">
        <f t="shared" si="5"/>
        <v>1067.8374225237983</v>
      </c>
      <c r="AN61" s="62">
        <f ca="1">AVERAGE(OFFSET($AM$3,0,0,'Données projet'!$E$10+1,1))-AVERAGE(OFFSET($H$3,0,0,'Données projet'!$E$10+1,1))</f>
        <v>443.34220761968419</v>
      </c>
      <c r="AO61" s="62">
        <f t="shared" si="36"/>
        <v>546.58234447298014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4.880909381475365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1.8779724374074153E-3</v>
      </c>
      <c r="AX61" s="23">
        <f t="shared" si="6"/>
        <v>4.8827873539127724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13.5</v>
      </c>
      <c r="N62" s="14">
        <f>IF('Données projet'!$A$36&gt;35,N61+M62-V61,IF(A62&lt;'Données projet'!$A$36,$K$205^A62,IF(A62='Données projet'!$A$36,'Données projet'!$B$36,N61+M62-V61)))</f>
        <v>498.49999999999989</v>
      </c>
      <c r="O62" s="14">
        <f>N62*VLOOKUP('Données projet'!$B$9,Paramètres!$A$1:$I$89,3,0)*VLOOKUP('Données projet'!$B$9,Paramètres!$A$1:$I$89,5,0)</f>
        <v>233.29799999999994</v>
      </c>
      <c r="P62" s="14">
        <f t="shared" si="33"/>
        <v>56.995194277534011</v>
      </c>
      <c r="Q62" s="22">
        <f t="shared" si="53"/>
        <v>505.59398003337168</v>
      </c>
      <c r="R62" s="62">
        <f t="shared" si="0"/>
        <v>798.92731336670499</v>
      </c>
      <c r="S62" s="62">
        <f ca="1">AVERAGE(OFFSET($R$3,0,0,'Données projet'!$E$9+1,1))-AVERAGE(OFFSET($H$3,0,0,'Données projet'!$E$9+1,1))</f>
        <v>396.92963589781414</v>
      </c>
      <c r="T62" s="62">
        <f t="shared" si="34"/>
        <v>294.38852181137639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10.199999999999999</v>
      </c>
      <c r="AI62" s="14">
        <f>IF('Données projet'!$A$62&gt;35,AI61+AH62-AQ61,IF(A62&lt;'Données projet'!$A$62,$AF$205^A62,IF(A62='Données projet'!$A$62,'Données projet'!$B$62,AI61+AH62-AQ61)))</f>
        <v>655.79999999999973</v>
      </c>
      <c r="AJ62" s="14">
        <f>AI62*VLOOKUP('Données projet'!$B$10,Paramètres!$A$1:$I$89,3,0)*VLOOKUP('Données projet'!$B$10,Paramètres!$A$1:$I$89,5,0)</f>
        <v>366.59219999999982</v>
      </c>
      <c r="AK62" s="14">
        <f t="shared" si="35"/>
        <v>84.969753481055022</v>
      </c>
      <c r="AL62" s="22">
        <f t="shared" si="4"/>
        <v>786.47040231283711</v>
      </c>
      <c r="AM62" s="62">
        <f t="shared" si="5"/>
        <v>1079.8037356461705</v>
      </c>
      <c r="AN62" s="62">
        <f ca="1">AVERAGE(OFFSET($AM$3,0,0,'Données projet'!$E$10+1,1))-AVERAGE(OFFSET($H$3,0,0,'Données projet'!$E$10+1,1))</f>
        <v>443.34220761968419</v>
      </c>
      <c r="AO62" s="62">
        <f t="shared" si="36"/>
        <v>546.58234447298014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4.7851977255653955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1.3279270453722125E-3</v>
      </c>
      <c r="AX62" s="23">
        <f t="shared" si="6"/>
        <v>4.7865256526107673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512</v>
      </c>
      <c r="L63" s="13">
        <f>VLOOKUP(A63,'Données projet'!$A$35:$I$55,9,0)</f>
        <v>13.5</v>
      </c>
      <c r="M63" s="13">
        <f t="array" ref="M63">INDEX(L:L,MIN(IF(ISNUMBER(L63:L259),ROW(L63:L259),"")))</f>
        <v>13.5</v>
      </c>
      <c r="N63" s="14">
        <f>IF('Données projet'!$A$36&gt;35,N62+M63-V62,IF(A63&lt;'Données projet'!$A$36,$K$205^A63,IF(A63='Données projet'!$A$36,'Données projet'!$B$36,N62+M63-V62)))</f>
        <v>511.99999999999989</v>
      </c>
      <c r="O63" s="14">
        <f>N63*VLOOKUP('Données projet'!$B$9,Paramètres!$A$1:$I$89,3,0)*VLOOKUP('Données projet'!$B$9,Paramètres!$A$1:$I$89,5,0)</f>
        <v>239.61599999999996</v>
      </c>
      <c r="P63" s="14">
        <f t="shared" si="33"/>
        <v>58.356903313490157</v>
      </c>
      <c r="Q63" s="22">
        <f t="shared" si="53"/>
        <v>518.96947327099531</v>
      </c>
      <c r="R63" s="62">
        <f t="shared" si="0"/>
        <v>812.30280660432868</v>
      </c>
      <c r="S63" s="62">
        <f ca="1">AVERAGE(OFFSET($R$3,0,0,'Données projet'!$E$9+1,1))-AVERAGE(OFFSET($H$3,0,0,'Données projet'!$E$9+1,1))</f>
        <v>396.92963589781414</v>
      </c>
      <c r="T63" s="62">
        <f t="shared" si="34"/>
        <v>294.38852181137639</v>
      </c>
      <c r="U63" s="16">
        <f>IF(ISNA(VLOOKUP(A63,'Données projet'!$A$35:$I$55,3,0)),0,VLOOKUP(A63,'Données projet'!$A$35:$I$55,3,0))</f>
        <v>5</v>
      </c>
      <c r="V63" s="16">
        <f>IF(ISNA(VLOOKUP(A63,'Données projet'!$A$35:$I$55,4,0)),0,VLOOKUP(A63,'Données projet'!$A$35:$I$55,4,0))</f>
        <v>102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666</v>
      </c>
      <c r="AG63" s="13">
        <f>VLOOKUP(A63,'Données projet'!$A$61:$I$81,9,0)</f>
        <v>10.199999999999999</v>
      </c>
      <c r="AH63" s="13">
        <f t="array" ref="AH63">INDEX(AG:AG,MIN(IF(ISNUMBER(AG63:AG259),ROW(AG63:AG259),"")))</f>
        <v>10.199999999999999</v>
      </c>
      <c r="AI63" s="14">
        <f>IF('Données projet'!$A$62&gt;35,AI62+AH63-AQ62,IF(A63&lt;'Données projet'!$A$62,$AF$205^A63,IF(A63='Données projet'!$A$62,'Données projet'!$B$62,AI62+AH63-AQ62)))</f>
        <v>665.99999999999977</v>
      </c>
      <c r="AJ63" s="14">
        <f>AI63*VLOOKUP('Données projet'!$B$10,Paramètres!$A$1:$I$89,3,0)*VLOOKUP('Données projet'!$B$10,Paramètres!$A$1:$I$89,5,0)</f>
        <v>372.29399999999987</v>
      </c>
      <c r="AK63" s="14">
        <f t="shared" si="35"/>
        <v>86.136449661008839</v>
      </c>
      <c r="AL63" s="22">
        <f t="shared" si="4"/>
        <v>798.43303315959008</v>
      </c>
      <c r="AM63" s="62">
        <f t="shared" si="5"/>
        <v>1091.7663664929235</v>
      </c>
      <c r="AN63" s="62">
        <f ca="1">AVERAGE(OFFSET($AM$3,0,0,'Données projet'!$E$10+1,1))-AVERAGE(OFFSET($H$3,0,0,'Données projet'!$E$10+1,1))</f>
        <v>443.34220761968419</v>
      </c>
      <c r="AO63" s="62">
        <f t="shared" si="36"/>
        <v>546.58234447298014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656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4.6913629168494744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9.3898621870370765E-4</v>
      </c>
      <c r="AX63" s="23">
        <f t="shared" si="6"/>
        <v>4.6923019030681781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15.5</v>
      </c>
      <c r="N64" s="14">
        <f>IF('Données projet'!$A$36&gt;35,N63+M64-V63,IF(A64&lt;'Données projet'!$A$36,$K$205^A64,IF(A64='Données projet'!$A$36,'Données projet'!$B$36,N63+M64-V63)))</f>
        <v>425.49999999999989</v>
      </c>
      <c r="O64" s="14">
        <f>N64*VLOOKUP('Données projet'!$B$9,Paramètres!$A$1:$I$89,3,0)*VLOOKUP('Données projet'!$B$9,Paramètres!$A$1:$I$89,5,0)</f>
        <v>199.13399999999993</v>
      </c>
      <c r="P64" s="14">
        <f t="shared" si="33"/>
        <v>49.553799097205186</v>
      </c>
      <c r="Q64" s="22">
        <f t="shared" si="53"/>
        <v>433.13125009429888</v>
      </c>
      <c r="R64" s="62">
        <f t="shared" si="0"/>
        <v>726.46458342763219</v>
      </c>
      <c r="S64" s="62">
        <f ca="1">AVERAGE(OFFSET($R$3,0,0,'Données projet'!$E$9+1,1))-AVERAGE(OFFSET($H$3,0,0,'Données projet'!$E$9+1,1))</f>
        <v>396.92963589781414</v>
      </c>
      <c r="T64" s="62">
        <f t="shared" si="34"/>
        <v>294.38852181137639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9.9999999999997726</v>
      </c>
      <c r="AJ64" s="14">
        <f>AI64*VLOOKUP('Données projet'!$B$10,Paramètres!$A$1:$I$89,3,0)*VLOOKUP('Données projet'!$B$10,Paramètres!$A$1:$I$89,5,0)</f>
        <v>5.5899999999998728</v>
      </c>
      <c r="AK64" s="14">
        <f t="shared" si="35"/>
        <v>2.1084588929503409</v>
      </c>
      <c r="AL64" s="22">
        <f t="shared" si="4"/>
        <v>13.408149238554955</v>
      </c>
      <c r="AM64" s="62">
        <f t="shared" si="5"/>
        <v>306.74148257188824</v>
      </c>
      <c r="AN64" s="62">
        <f ca="1">AVERAGE(OFFSET($AM$3,0,0,'Données projet'!$E$10+1,1))-AVERAGE(OFFSET($H$3,0,0,'Données projet'!$E$10+1,1))</f>
        <v>443.34220761968419</v>
      </c>
      <c r="AO64" s="62">
        <f t="shared" si="36"/>
        <v>546.58234447298014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4.5993681514988909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6.6396352268610626E-4</v>
      </c>
      <c r="AX64" s="23">
        <f t="shared" si="6"/>
        <v>4.6000321150215768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15.5</v>
      </c>
      <c r="N65" s="14">
        <f>IF('Données projet'!$A$36&gt;35,N64+M65-V64,IF(A65&lt;'Données projet'!$A$36,$K$205^A65,IF(A65='Données projet'!$A$36,'Données projet'!$B$36,N64+M65-V64)))</f>
        <v>440.99999999999989</v>
      </c>
      <c r="O65" s="14">
        <f>N65*VLOOKUP('Données projet'!$B$9,Paramètres!$A$1:$I$89,3,0)*VLOOKUP('Données projet'!$B$9,Paramètres!$A$1:$I$89,5,0)</f>
        <v>206.38799999999995</v>
      </c>
      <c r="P65" s="14">
        <f t="shared" si="33"/>
        <v>51.145477584014834</v>
      </c>
      <c r="Q65" s="22">
        <f t="shared" si="53"/>
        <v>448.53747345882579</v>
      </c>
      <c r="R65" s="62">
        <f t="shared" si="0"/>
        <v>741.8708067921591</v>
      </c>
      <c r="S65" s="62">
        <f ca="1">AVERAGE(OFFSET($R$3,0,0,'Données projet'!$E$9+1,1))-AVERAGE(OFFSET($H$3,0,0,'Données projet'!$E$9+1,1))</f>
        <v>396.92963589781414</v>
      </c>
      <c r="T65" s="62">
        <f t="shared" si="34"/>
        <v>294.38852181137639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9.9999999999997726</v>
      </c>
      <c r="AJ65" s="14">
        <f>AI65*VLOOKUP('Données projet'!$B$10,Paramètres!$A$1:$I$89,3,0)*VLOOKUP('Données projet'!$B$10,Paramètres!$A$1:$I$89,5,0)</f>
        <v>5.5899999999998728</v>
      </c>
      <c r="AK65" s="14">
        <f t="shared" si="35"/>
        <v>2.1084588929503409</v>
      </c>
      <c r="AL65" s="22">
        <f t="shared" si="4"/>
        <v>13.408149238554955</v>
      </c>
      <c r="AM65" s="62">
        <f t="shared" si="5"/>
        <v>306.74148257188824</v>
      </c>
      <c r="AN65" s="62">
        <f ca="1">AVERAGE(OFFSET($AM$3,0,0,'Données projet'!$E$10+1,1))-AVERAGE(OFFSET($H$3,0,0,'Données projet'!$E$10+1,1))</f>
        <v>443.34220761968419</v>
      </c>
      <c r="AO65" s="62">
        <f t="shared" si="36"/>
        <v>546.58234447298014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4.5091773473855659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4.6949310935185382E-4</v>
      </c>
      <c r="AX65" s="23">
        <f t="shared" si="6"/>
        <v>4.5096468404949182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15.5</v>
      </c>
      <c r="N66" s="14">
        <f>IF('Données projet'!$A$36&gt;35,N65+M66-V65,IF(A66&lt;'Données projet'!$A$36,$K$205^A66,IF(A66='Données projet'!$A$36,'Données projet'!$B$36,N65+M66-V65)))</f>
        <v>456.49999999999989</v>
      </c>
      <c r="O66" s="14">
        <f>N66*VLOOKUP('Données projet'!$B$9,Paramètres!$A$1:$I$89,3,0)*VLOOKUP('Données projet'!$B$9,Paramètres!$A$1:$I$89,5,0)</f>
        <v>213.64199999999994</v>
      </c>
      <c r="P66" s="14">
        <f t="shared" si="33"/>
        <v>52.730656153675348</v>
      </c>
      <c r="Q66" s="22">
        <f t="shared" si="53"/>
        <v>463.93237613431779</v>
      </c>
      <c r="R66" s="62">
        <f t="shared" si="0"/>
        <v>757.26570946765105</v>
      </c>
      <c r="S66" s="62">
        <f ca="1">AVERAGE(OFFSET($R$3,0,0,'Données projet'!$E$9+1,1))-AVERAGE(OFFSET($H$3,0,0,'Données projet'!$E$9+1,1))</f>
        <v>396.92963589781414</v>
      </c>
      <c r="T66" s="62">
        <f t="shared" si="34"/>
        <v>294.38852181137639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9.9999999999997726</v>
      </c>
      <c r="AJ66" s="14">
        <f>AI66*VLOOKUP('Données projet'!$B$10,Paramètres!$A$1:$I$89,3,0)*VLOOKUP('Données projet'!$B$10,Paramètres!$A$1:$I$89,5,0)</f>
        <v>5.5899999999998728</v>
      </c>
      <c r="AK66" s="14">
        <f t="shared" si="35"/>
        <v>2.1084588929503409</v>
      </c>
      <c r="AL66" s="22">
        <f t="shared" si="4"/>
        <v>13.408149238554955</v>
      </c>
      <c r="AM66" s="62">
        <f t="shared" si="5"/>
        <v>306.74148257188824</v>
      </c>
      <c r="AN66" s="62">
        <f ca="1">AVERAGE(OFFSET($AM$3,0,0,'Données projet'!$E$10+1,1))-AVERAGE(OFFSET($H$3,0,0,'Données projet'!$E$10+1,1))</f>
        <v>443.34220761968419</v>
      </c>
      <c r="AO66" s="62">
        <f t="shared" si="36"/>
        <v>546.58234447298014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4.4207551299299448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3.3198176134305313E-4</v>
      </c>
      <c r="AX66" s="23">
        <f t="shared" si="6"/>
        <v>4.4210871116912882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15.5</v>
      </c>
      <c r="N67" s="14">
        <f>IF('Données projet'!$A$36&gt;35,N66+M67-V66,IF(A67&lt;'Données projet'!$A$36,$K$205^A67,IF(A67='Données projet'!$A$36,'Données projet'!$B$36,N66+M67-V66)))</f>
        <v>471.99999999999989</v>
      </c>
      <c r="O67" s="14">
        <f>N67*VLOOKUP('Données projet'!$B$9,Paramètres!$A$1:$I$89,3,0)*VLOOKUP('Données projet'!$B$9,Paramètres!$A$1:$I$89,5,0)</f>
        <v>220.89599999999996</v>
      </c>
      <c r="P67" s="14">
        <f t="shared" si="33"/>
        <v>54.309580803412281</v>
      </c>
      <c r="Q67" s="22">
        <f t="shared" ref="Q67:Q98" si="54">(O67+P67)*0.475*44/12</f>
        <v>479.31638656594299</v>
      </c>
      <c r="R67" s="62">
        <f t="shared" ref="R67:R130" si="55">Q67+(I67+J67)*44/12</f>
        <v>772.64971989927631</v>
      </c>
      <c r="S67" s="62">
        <f ca="1">AVERAGE(OFFSET($R$3,0,0,'Données projet'!$E$9+1,1))-AVERAGE(OFFSET($H$3,0,0,'Données projet'!$E$9+1,1))</f>
        <v>396.92963589781414</v>
      </c>
      <c r="T67" s="62">
        <f t="shared" si="34"/>
        <v>294.38852181137639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9.9999999999997726</v>
      </c>
      <c r="AJ67" s="14">
        <f>AI67*VLOOKUP('Données projet'!$B$10,Paramètres!$A$1:$I$89,3,0)*VLOOKUP('Données projet'!$B$10,Paramètres!$A$1:$I$89,5,0)</f>
        <v>5.5899999999998728</v>
      </c>
      <c r="AK67" s="14">
        <f t="shared" si="35"/>
        <v>2.1084588929503409</v>
      </c>
      <c r="AL67" s="22">
        <f t="shared" si="4"/>
        <v>13.408149238554955</v>
      </c>
      <c r="AM67" s="62">
        <f t="shared" si="5"/>
        <v>306.74148257188824</v>
      </c>
      <c r="AN67" s="62">
        <f ca="1">AVERAGE(OFFSET($AM$3,0,0,'Données projet'!$E$10+1,1))-AVERAGE(OFFSET($H$3,0,0,'Données projet'!$E$10+1,1))</f>
        <v>443.34220761968419</v>
      </c>
      <c r="AO67" s="62">
        <f t="shared" si="36"/>
        <v>546.58234447298014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4.3340668182264013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2.3474655467592691E-4</v>
      </c>
      <c r="AX67" s="23">
        <f t="shared" si="6"/>
        <v>4.334301564781077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15.5</v>
      </c>
      <c r="N68" s="14">
        <f>IF('Données projet'!$A$36&gt;35,N67+M68-V67,IF(A68&lt;'Données projet'!$A$36,$K$205^A68,IF(A68='Données projet'!$A$36,'Données projet'!$B$36,N67+M68-V67)))</f>
        <v>487.49999999999989</v>
      </c>
      <c r="O68" s="14">
        <f>N68*VLOOKUP('Données projet'!$B$9,Paramètres!$A$1:$I$89,3,0)*VLOOKUP('Données projet'!$B$9,Paramètres!$A$1:$I$89,5,0)</f>
        <v>228.14999999999992</v>
      </c>
      <c r="P68" s="14">
        <f t="shared" si="33"/>
        <v>55.882480456847652</v>
      </c>
      <c r="Q68" s="22">
        <f t="shared" si="54"/>
        <v>494.68990346234278</v>
      </c>
      <c r="R68" s="62">
        <f t="shared" si="55"/>
        <v>788.0232367956761</v>
      </c>
      <c r="S68" s="62">
        <f ca="1">AVERAGE(OFFSET($R$3,0,0,'Données projet'!$E$9+1,1))-AVERAGE(OFFSET($H$3,0,0,'Données projet'!$E$9+1,1))</f>
        <v>396.92963589781414</v>
      </c>
      <c r="T68" s="62">
        <f t="shared" si="34"/>
        <v>294.38852181137639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9.9999999999997726</v>
      </c>
      <c r="AJ68" s="14">
        <f>AI68*VLOOKUP('Données projet'!$B$10,Paramètres!$A$1:$I$89,3,0)*VLOOKUP('Données projet'!$B$10,Paramètres!$A$1:$I$89,5,0)</f>
        <v>5.5899999999998728</v>
      </c>
      <c r="AK68" s="14">
        <f t="shared" si="35"/>
        <v>2.1084588929503409</v>
      </c>
      <c r="AL68" s="22">
        <f t="shared" ref="AL68:AL131" si="58">(AJ68+AK68)*0.475*44/12</f>
        <v>13.408149238554955</v>
      </c>
      <c r="AM68" s="62">
        <f t="shared" ref="AM68:AM131" si="59">AL68+(AD68+AE68)*44/12</f>
        <v>306.74148257188824</v>
      </c>
      <c r="AN68" s="62">
        <f ca="1">AVERAGE(OFFSET($AM$3,0,0,'Données projet'!$E$10+1,1))-AVERAGE(OFFSET($H$3,0,0,'Données projet'!$E$10+1,1))</f>
        <v>443.34220761968419</v>
      </c>
      <c r="AO68" s="62">
        <f t="shared" si="36"/>
        <v>546.58234447298014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4.2490784114407152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1.6599088067152656E-4</v>
      </c>
      <c r="AX68" s="23">
        <f t="shared" ref="AX68:AX131" si="60">SUM(AU68:AW68)</f>
        <v>4.2492444023213869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15.5</v>
      </c>
      <c r="N69" s="14">
        <f>IF('Données projet'!$A$36&gt;35,N68+M69-V68,IF(A69&lt;'Données projet'!$A$36,$K$205^A69,IF(A69='Données projet'!$A$36,'Données projet'!$B$36,N68+M69-V68)))</f>
        <v>502.99999999999989</v>
      </c>
      <c r="O69" s="14">
        <f>N69*VLOOKUP('Données projet'!$B$9,Paramètres!$A$1:$I$89,3,0)*VLOOKUP('Données projet'!$B$9,Paramètres!$A$1:$I$89,5,0)</f>
        <v>235.40399999999994</v>
      </c>
      <c r="P69" s="14">
        <f t="shared" ref="P69:P132" si="87">EXP(-1.0587+0.8836*LN(O69)+0.284)</f>
        <v>57.449568653781753</v>
      </c>
      <c r="Q69" s="22">
        <f t="shared" si="54"/>
        <v>510.05329873866975</v>
      </c>
      <c r="R69" s="62">
        <f t="shared" si="55"/>
        <v>803.38663207200307</v>
      </c>
      <c r="S69" s="62">
        <f ca="1">AVERAGE(OFFSET($R$3,0,0,'Données projet'!$E$9+1,1))-AVERAGE(OFFSET($H$3,0,0,'Données projet'!$E$9+1,1))</f>
        <v>396.92963589781414</v>
      </c>
      <c r="T69" s="62">
        <f t="shared" ref="T69:T132" si="88">$T$3</f>
        <v>294.38852181137639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9.9999999999997726</v>
      </c>
      <c r="AJ69" s="14">
        <f>AI69*VLOOKUP('Données projet'!$B$10,Paramètres!$A$1:$I$89,3,0)*VLOOKUP('Données projet'!$B$10,Paramètres!$A$1:$I$89,5,0)</f>
        <v>5.5899999999998728</v>
      </c>
      <c r="AK69" s="14">
        <f t="shared" ref="AK69:AK132" si="89">EXP(-1.0587+0.8836*LN(AJ69)+0.284)</f>
        <v>2.1084588929503409</v>
      </c>
      <c r="AL69" s="22">
        <f t="shared" si="58"/>
        <v>13.408149238554955</v>
      </c>
      <c r="AM69" s="62">
        <f t="shared" si="59"/>
        <v>306.74148257188824</v>
      </c>
      <c r="AN69" s="62">
        <f ca="1">AVERAGE(OFFSET($AM$3,0,0,'Données projet'!$E$10+1,1))-AVERAGE(OFFSET($H$3,0,0,'Données projet'!$E$10+1,1))</f>
        <v>443.34220761968419</v>
      </c>
      <c r="AO69" s="62">
        <f t="shared" ref="AO69:AO132" si="90">$AO$3</f>
        <v>546.58234447298014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4.165756575474286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1.1737327733796346E-4</v>
      </c>
      <c r="AX69" s="23">
        <f t="shared" si="60"/>
        <v>4.1658739487516243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15.5</v>
      </c>
      <c r="N70" s="14">
        <f>IF('Données projet'!$A$36&gt;35,N69+M70-V69,IF(A70&lt;'Données projet'!$A$36,$K$205^A70,IF(A70='Données projet'!$A$36,'Données projet'!$B$36,N69+M70-V69)))</f>
        <v>518.49999999999989</v>
      </c>
      <c r="O70" s="14">
        <f>N70*VLOOKUP('Données projet'!$B$9,Paramètres!$A$1:$I$89,3,0)*VLOOKUP('Données projet'!$B$9,Paramètres!$A$1:$I$89,5,0)</f>
        <v>242.65799999999993</v>
      </c>
      <c r="P70" s="14">
        <f t="shared" si="87"/>
        <v>59.011045025839607</v>
      </c>
      <c r="Q70" s="22">
        <f t="shared" si="54"/>
        <v>525.40692008667054</v>
      </c>
      <c r="R70" s="62">
        <f t="shared" si="55"/>
        <v>818.74025342000391</v>
      </c>
      <c r="S70" s="62">
        <f ca="1">AVERAGE(OFFSET($R$3,0,0,'Données projet'!$E$9+1,1))-AVERAGE(OFFSET($H$3,0,0,'Données projet'!$E$9+1,1))</f>
        <v>396.92963589781414</v>
      </c>
      <c r="T70" s="62">
        <f t="shared" si="88"/>
        <v>294.38852181137639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9.9999999999997726</v>
      </c>
      <c r="AJ70" s="14">
        <f>AI70*VLOOKUP('Données projet'!$B$10,Paramètres!$A$1:$I$89,3,0)*VLOOKUP('Données projet'!$B$10,Paramètres!$A$1:$I$89,5,0)</f>
        <v>5.5899999999998728</v>
      </c>
      <c r="AK70" s="14">
        <f t="shared" si="89"/>
        <v>2.1084588929503409</v>
      </c>
      <c r="AL70" s="22">
        <f t="shared" si="58"/>
        <v>13.408149238554955</v>
      </c>
      <c r="AM70" s="62">
        <f t="shared" si="59"/>
        <v>306.74148257188824</v>
      </c>
      <c r="AN70" s="62">
        <f ca="1">AVERAGE(OFFSET($AM$3,0,0,'Données projet'!$E$10+1,1))-AVERAGE(OFFSET($H$3,0,0,'Données projet'!$E$10+1,1))</f>
        <v>443.34220761968419</v>
      </c>
      <c r="AO70" s="62">
        <f t="shared" si="90"/>
        <v>546.58234447298014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4.084068629889857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8.2995440335763282E-5</v>
      </c>
      <c r="AX70" s="23">
        <f t="shared" si="60"/>
        <v>4.0841516253301924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15.5</v>
      </c>
      <c r="N71" s="14">
        <f>IF('Données projet'!$A$36&gt;35,N70+M71-V70,IF(A71&lt;'Données projet'!$A$36,$K$205^A71,IF(A71='Données projet'!$A$36,'Données projet'!$B$36,N70+M71-V70)))</f>
        <v>533.99999999999989</v>
      </c>
      <c r="O71" s="14">
        <f>N71*VLOOKUP('Données projet'!$B$9,Paramètres!$A$1:$I$89,3,0)*VLOOKUP('Données projet'!$B$9,Paramètres!$A$1:$I$89,5,0)</f>
        <v>249.91199999999995</v>
      </c>
      <c r="P71" s="14">
        <f t="shared" si="87"/>
        <v>60.56709659070836</v>
      </c>
      <c r="Q71" s="22">
        <f t="shared" si="54"/>
        <v>540.7510932288169</v>
      </c>
      <c r="R71" s="62">
        <f t="shared" si="55"/>
        <v>834.08442656215016</v>
      </c>
      <c r="S71" s="62">
        <f ca="1">AVERAGE(OFFSET($R$3,0,0,'Données projet'!$E$9+1,1))-AVERAGE(OFFSET($H$3,0,0,'Données projet'!$E$9+1,1))</f>
        <v>396.92963589781414</v>
      </c>
      <c r="T71" s="62">
        <f t="shared" si="88"/>
        <v>294.38852181137639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9.9999999999997726</v>
      </c>
      <c r="AJ71" s="14">
        <f>AI71*VLOOKUP('Données projet'!$B$10,Paramètres!$A$1:$I$89,3,0)*VLOOKUP('Données projet'!$B$10,Paramètres!$A$1:$I$89,5,0)</f>
        <v>5.5899999999998728</v>
      </c>
      <c r="AK71" s="14">
        <f t="shared" si="89"/>
        <v>2.1084588929503409</v>
      </c>
      <c r="AL71" s="22">
        <f t="shared" si="58"/>
        <v>13.408149238554955</v>
      </c>
      <c r="AM71" s="62">
        <f t="shared" si="59"/>
        <v>306.74148257188824</v>
      </c>
      <c r="AN71" s="62">
        <f ca="1">AVERAGE(OFFSET($AM$3,0,0,'Données projet'!$E$10+1,1))-AVERAGE(OFFSET($H$3,0,0,'Données projet'!$E$10+1,1))</f>
        <v>443.34220761968419</v>
      </c>
      <c r="AO71" s="62">
        <f t="shared" si="90"/>
        <v>546.58234447298014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4.0039825350936118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5.8686638668981728E-5</v>
      </c>
      <c r="AX71" s="23">
        <f t="shared" si="60"/>
        <v>4.0040412217322805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15.5</v>
      </c>
      <c r="N72" s="14">
        <f>IF('Données projet'!$A$36&gt;35,N71+M72-V71,IF(A72&lt;'Données projet'!$A$36,$K$205^A72,IF(A72='Données projet'!$A$36,'Données projet'!$B$36,N71+M72-V71)))</f>
        <v>549.49999999999989</v>
      </c>
      <c r="O72" s="14">
        <f>N72*VLOOKUP('Données projet'!$B$9,Paramètres!$A$1:$I$89,3,0)*VLOOKUP('Données projet'!$B$9,Paramètres!$A$1:$I$89,5,0)</f>
        <v>257.16599999999994</v>
      </c>
      <c r="P72" s="14">
        <f t="shared" si="87"/>
        <v>62.117898891884423</v>
      </c>
      <c r="Q72" s="22">
        <f t="shared" si="54"/>
        <v>556.08612390336521</v>
      </c>
      <c r="R72" s="62">
        <f t="shared" si="55"/>
        <v>849.41945723669846</v>
      </c>
      <c r="S72" s="62">
        <f ca="1">AVERAGE(OFFSET($R$3,0,0,'Données projet'!$E$9+1,1))-AVERAGE(OFFSET($H$3,0,0,'Données projet'!$E$9+1,1))</f>
        <v>396.92963589781414</v>
      </c>
      <c r="T72" s="62">
        <f t="shared" si="88"/>
        <v>294.38852181137639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9.9999999999997726</v>
      </c>
      <c r="AJ72" s="14">
        <f>AI72*VLOOKUP('Données projet'!$B$10,Paramètres!$A$1:$I$89,3,0)*VLOOKUP('Données projet'!$B$10,Paramètres!$A$1:$I$89,5,0)</f>
        <v>5.5899999999998728</v>
      </c>
      <c r="AK72" s="14">
        <f t="shared" si="89"/>
        <v>2.1084588929503409</v>
      </c>
      <c r="AL72" s="22">
        <f t="shared" si="58"/>
        <v>13.408149238554955</v>
      </c>
      <c r="AM72" s="62">
        <f t="shared" si="59"/>
        <v>306.74148257188824</v>
      </c>
      <c r="AN72" s="62">
        <f ca="1">AVERAGE(OFFSET($AM$3,0,0,'Données projet'!$E$10+1,1))-AVERAGE(OFFSET($H$3,0,0,'Données projet'!$E$10+1,1))</f>
        <v>443.34220761968419</v>
      </c>
      <c r="AO72" s="62">
        <f t="shared" si="90"/>
        <v>546.58234447298014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3.9254668797686265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4.1497720167881641E-5</v>
      </c>
      <c r="AX72" s="23">
        <f t="shared" si="60"/>
        <v>3.9255083774887942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565</v>
      </c>
      <c r="L73" s="13">
        <f>VLOOKUP(A73,'Données projet'!$A$35:$I$55,9,0)</f>
        <v>15.5</v>
      </c>
      <c r="M73" s="13">
        <f t="array" ref="M73">INDEX(L:L,MIN(IF(ISNUMBER(L73:L269),ROW(L73:L269),"")))</f>
        <v>15.5</v>
      </c>
      <c r="N73" s="14">
        <f>IF('Données projet'!$A$36&gt;35,N72+M73-V72,IF(A73&lt;'Données projet'!$A$36,$K$205^A73,IF(A73='Données projet'!$A$36,'Données projet'!$B$36,N72+M73-V72)))</f>
        <v>564.99999999999989</v>
      </c>
      <c r="O73" s="14">
        <f>N73*VLOOKUP('Données projet'!$B$9,Paramètres!$A$1:$I$89,3,0)*VLOOKUP('Données projet'!$B$9,Paramètres!$A$1:$I$89,5,0)</f>
        <v>264.41999999999996</v>
      </c>
      <c r="P73" s="14">
        <f t="shared" si="87"/>
        <v>63.663617006208391</v>
      </c>
      <c r="Q73" s="22">
        <f t="shared" si="54"/>
        <v>571.41229961914621</v>
      </c>
      <c r="R73" s="62">
        <f t="shared" si="55"/>
        <v>864.74563295247958</v>
      </c>
      <c r="S73" s="62">
        <f ca="1">AVERAGE(OFFSET($R$3,0,0,'Données projet'!$E$9+1,1))-AVERAGE(OFFSET($H$3,0,0,'Données projet'!$E$9+1,1))</f>
        <v>396.92963589781414</v>
      </c>
      <c r="T73" s="62">
        <f t="shared" si="88"/>
        <v>294.38852181137639</v>
      </c>
      <c r="U73" s="16">
        <f>IF(ISNA(VLOOKUP(A73,'Données projet'!$A$35:$I$55,3,0)),0,VLOOKUP(A73,'Données projet'!$A$35:$I$55,3,0))</f>
        <v>6</v>
      </c>
      <c r="V73" s="16">
        <f>IF(ISNA(VLOOKUP(A73,'Données projet'!$A$35:$I$55,4,0)),0,VLOOKUP(A73,'Données projet'!$A$35:$I$55,4,0))</f>
        <v>113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9.9999999999997726</v>
      </c>
      <c r="AJ73" s="14">
        <f>AI73*VLOOKUP('Données projet'!$B$10,Paramètres!$A$1:$I$89,3,0)*VLOOKUP('Données projet'!$B$10,Paramètres!$A$1:$I$89,5,0)</f>
        <v>5.5899999999998728</v>
      </c>
      <c r="AK73" s="14">
        <f t="shared" si="89"/>
        <v>2.1084588929503409</v>
      </c>
      <c r="AL73" s="22">
        <f t="shared" si="58"/>
        <v>13.408149238554955</v>
      </c>
      <c r="AM73" s="62">
        <f t="shared" si="59"/>
        <v>306.74148257188824</v>
      </c>
      <c r="AN73" s="62">
        <f ca="1">AVERAGE(OFFSET($AM$3,0,0,'Données projet'!$E$10+1,1))-AVERAGE(OFFSET($H$3,0,0,'Données projet'!$E$10+1,1))</f>
        <v>443.34220761968419</v>
      </c>
      <c r="AO73" s="62">
        <f t="shared" si="90"/>
        <v>546.58234447298014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3.8484908685547432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2.9343319334490864E-5</v>
      </c>
      <c r="AX73" s="23">
        <f t="shared" si="60"/>
        <v>3.8485202118740776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17</v>
      </c>
      <c r="N74" s="14">
        <f>IF('Données projet'!$A$36&gt;35,N73+M74-V73,IF(A74&lt;'Données projet'!$A$36,$K$205^A74,IF(A74='Données projet'!$A$36,'Données projet'!$B$36,N73+M74-V73)))</f>
        <v>468.99999999999989</v>
      </c>
      <c r="O74" s="14">
        <f>N74*VLOOKUP('Données projet'!$B$9,Paramètres!$A$1:$I$89,3,0)*VLOOKUP('Données projet'!$B$9,Paramètres!$A$1:$I$89,5,0)</f>
        <v>219.49199999999993</v>
      </c>
      <c r="P74" s="14">
        <f t="shared" si="87"/>
        <v>54.004459579686618</v>
      </c>
      <c r="Q74" s="22">
        <f t="shared" si="54"/>
        <v>476.33966710128726</v>
      </c>
      <c r="R74" s="62">
        <f t="shared" si="55"/>
        <v>769.67300043462058</v>
      </c>
      <c r="S74" s="62">
        <f ca="1">AVERAGE(OFFSET($R$3,0,0,'Données projet'!$E$9+1,1))-AVERAGE(OFFSET($H$3,0,0,'Données projet'!$E$9+1,1))</f>
        <v>396.92963589781414</v>
      </c>
      <c r="T74" s="62">
        <f t="shared" si="88"/>
        <v>294.38852181137639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9.9999999999997726</v>
      </c>
      <c r="AJ74" s="14">
        <f>AI74*VLOOKUP('Données projet'!$B$10,Paramètres!$A$1:$I$89,3,0)*VLOOKUP('Données projet'!$B$10,Paramètres!$A$1:$I$89,5,0)</f>
        <v>5.5899999999998728</v>
      </c>
      <c r="AK74" s="14">
        <f t="shared" si="89"/>
        <v>2.1084588929503409</v>
      </c>
      <c r="AL74" s="22">
        <f t="shared" si="58"/>
        <v>13.408149238554955</v>
      </c>
      <c r="AM74" s="62">
        <f t="shared" si="59"/>
        <v>306.74148257188824</v>
      </c>
      <c r="AN74" s="62">
        <f ca="1">AVERAGE(OFFSET($AM$3,0,0,'Données projet'!$E$10+1,1))-AVERAGE(OFFSET($H$3,0,0,'Données projet'!$E$10+1,1))</f>
        <v>443.34220761968419</v>
      </c>
      <c r="AO74" s="62">
        <f t="shared" si="90"/>
        <v>546.58234447298014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3.7730243099700331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2.074886008394082E-5</v>
      </c>
      <c r="AX74" s="23">
        <f t="shared" si="60"/>
        <v>3.773045058830117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17</v>
      </c>
      <c r="N75" s="14">
        <f>IF('Données projet'!$A$36&gt;35,N74+M75-V74,IF(A75&lt;'Données projet'!$A$36,$K$205^A75,IF(A75='Données projet'!$A$36,'Données projet'!$B$36,N74+M75-V74)))</f>
        <v>485.99999999999989</v>
      </c>
      <c r="O75" s="14">
        <f>N75*VLOOKUP('Données projet'!$B$9,Paramètres!$A$1:$I$89,3,0)*VLOOKUP('Données projet'!$B$9,Paramètres!$A$1:$I$89,5,0)</f>
        <v>227.44799999999995</v>
      </c>
      <c r="P75" s="14">
        <f t="shared" si="87"/>
        <v>55.730521649800686</v>
      </c>
      <c r="Q75" s="22">
        <f t="shared" si="54"/>
        <v>493.20259187340275</v>
      </c>
      <c r="R75" s="62">
        <f t="shared" si="55"/>
        <v>786.53592520673601</v>
      </c>
      <c r="S75" s="62">
        <f ca="1">AVERAGE(OFFSET($R$3,0,0,'Données projet'!$E$9+1,1))-AVERAGE(OFFSET($H$3,0,0,'Données projet'!$E$9+1,1))</f>
        <v>396.92963589781414</v>
      </c>
      <c r="T75" s="62">
        <f t="shared" si="88"/>
        <v>294.38852181137639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9.9999999999997726</v>
      </c>
      <c r="AJ75" s="14">
        <f>AI75*VLOOKUP('Données projet'!$B$10,Paramètres!$A$1:$I$89,3,0)*VLOOKUP('Données projet'!$B$10,Paramètres!$A$1:$I$89,5,0)</f>
        <v>5.5899999999998728</v>
      </c>
      <c r="AK75" s="14">
        <f t="shared" si="89"/>
        <v>2.1084588929503409</v>
      </c>
      <c r="AL75" s="22">
        <f t="shared" si="58"/>
        <v>13.408149238554955</v>
      </c>
      <c r="AM75" s="62">
        <f t="shared" si="59"/>
        <v>306.74148257188824</v>
      </c>
      <c r="AN75" s="62">
        <f ca="1">AVERAGE(OFFSET($AM$3,0,0,'Données projet'!$E$10+1,1))-AVERAGE(OFFSET($H$3,0,0,'Données projet'!$E$10+1,1))</f>
        <v>443.34220761968419</v>
      </c>
      <c r="AO75" s="62">
        <f t="shared" si="90"/>
        <v>546.58234447298014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3.6990376045691136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1.4671659667245432E-5</v>
      </c>
      <c r="AX75" s="23">
        <f t="shared" si="60"/>
        <v>3.6990522762287807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17</v>
      </c>
      <c r="N76" s="14">
        <f>IF('Données projet'!$A$36&gt;35,N75+M76-V75,IF(A76&lt;'Données projet'!$A$36,$K$205^A76,IF(A76='Données projet'!$A$36,'Données projet'!$B$36,N75+M76-V75)))</f>
        <v>502.99999999999989</v>
      </c>
      <c r="O76" s="14">
        <f>N76*VLOOKUP('Données projet'!$B$9,Paramètres!$A$1:$I$89,3,0)*VLOOKUP('Données projet'!$B$9,Paramètres!$A$1:$I$89,5,0)</f>
        <v>235.40399999999994</v>
      </c>
      <c r="P76" s="14">
        <f t="shared" si="87"/>
        <v>57.449568653781753</v>
      </c>
      <c r="Q76" s="22">
        <f t="shared" si="54"/>
        <v>510.05329873866975</v>
      </c>
      <c r="R76" s="62">
        <f t="shared" si="55"/>
        <v>803.38663207200307</v>
      </c>
      <c r="S76" s="62">
        <f ca="1">AVERAGE(OFFSET($R$3,0,0,'Données projet'!$E$9+1,1))-AVERAGE(OFFSET($H$3,0,0,'Données projet'!$E$9+1,1))</f>
        <v>396.92963589781414</v>
      </c>
      <c r="T76" s="62">
        <f t="shared" si="88"/>
        <v>294.38852181137639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9.9999999999997726</v>
      </c>
      <c r="AJ76" s="14">
        <f>AI76*VLOOKUP('Données projet'!$B$10,Paramètres!$A$1:$I$89,3,0)*VLOOKUP('Données projet'!$B$10,Paramètres!$A$1:$I$89,5,0)</f>
        <v>5.5899999999998728</v>
      </c>
      <c r="AK76" s="14">
        <f t="shared" si="89"/>
        <v>2.1084588929503409</v>
      </c>
      <c r="AL76" s="22">
        <f t="shared" si="58"/>
        <v>13.408149238554955</v>
      </c>
      <c r="AM76" s="62">
        <f t="shared" si="59"/>
        <v>306.74148257188824</v>
      </c>
      <c r="AN76" s="62">
        <f ca="1">AVERAGE(OFFSET($AM$3,0,0,'Données projet'!$E$10+1,1))-AVERAGE(OFFSET($H$3,0,0,'Données projet'!$E$10+1,1))</f>
        <v>443.34220761968419</v>
      </c>
      <c r="AO76" s="62">
        <f t="shared" si="90"/>
        <v>546.58234447298014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3.6265017333336718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1.037443004197041E-5</v>
      </c>
      <c r="AX76" s="23">
        <f t="shared" si="60"/>
        <v>3.6265121077637139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17</v>
      </c>
      <c r="N77" s="14">
        <f>IF('Données projet'!$A$36&gt;35,N76+M77-V76,IF(A77&lt;'Données projet'!$A$36,$K$205^A77,IF(A77='Données projet'!$A$36,'Données projet'!$B$36,N76+M77-V76)))</f>
        <v>519.99999999999989</v>
      </c>
      <c r="O77" s="14">
        <f>N77*VLOOKUP('Données projet'!$B$9,Paramètres!$A$1:$I$89,3,0)*VLOOKUP('Données projet'!$B$9,Paramètres!$A$1:$I$89,5,0)</f>
        <v>243.35999999999996</v>
      </c>
      <c r="P77" s="14">
        <f t="shared" si="87"/>
        <v>59.161864860837127</v>
      </c>
      <c r="Q77" s="22">
        <f t="shared" si="54"/>
        <v>526.89224796595784</v>
      </c>
      <c r="R77" s="62">
        <f t="shared" si="55"/>
        <v>820.22558129929121</v>
      </c>
      <c r="S77" s="62">
        <f ca="1">AVERAGE(OFFSET($R$3,0,0,'Données projet'!$E$9+1,1))-AVERAGE(OFFSET($H$3,0,0,'Données projet'!$E$9+1,1))</f>
        <v>396.92963589781414</v>
      </c>
      <c r="T77" s="62">
        <f t="shared" si="88"/>
        <v>294.38852181137639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9.9999999999997726</v>
      </c>
      <c r="AJ77" s="14">
        <f>AI77*VLOOKUP('Données projet'!$B$10,Paramètres!$A$1:$I$89,3,0)*VLOOKUP('Données projet'!$B$10,Paramètres!$A$1:$I$89,5,0)</f>
        <v>5.5899999999998728</v>
      </c>
      <c r="AK77" s="14">
        <f t="shared" si="89"/>
        <v>2.1084588929503409</v>
      </c>
      <c r="AL77" s="22">
        <f t="shared" si="58"/>
        <v>13.408149238554955</v>
      </c>
      <c r="AM77" s="62">
        <f t="shared" si="59"/>
        <v>306.74148257188824</v>
      </c>
      <c r="AN77" s="62">
        <f ca="1">AVERAGE(OFFSET($AM$3,0,0,'Données projet'!$E$10+1,1))-AVERAGE(OFFSET($H$3,0,0,'Données projet'!$E$10+1,1))</f>
        <v>443.34220761968419</v>
      </c>
      <c r="AO77" s="62">
        <f t="shared" si="90"/>
        <v>546.58234447298014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3.5553882462906441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7.335829833622716E-6</v>
      </c>
      <c r="AX77" s="23">
        <f t="shared" si="60"/>
        <v>3.5553955821204779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17</v>
      </c>
      <c r="N78" s="14">
        <f>IF('Données projet'!$A$36&gt;35,N77+M78-V77,IF(A78&lt;'Données projet'!$A$36,$K$205^A78,IF(A78='Données projet'!$A$36,'Données projet'!$B$36,N77+M78-V77)))</f>
        <v>536.99999999999989</v>
      </c>
      <c r="O78" s="14">
        <f>N78*VLOOKUP('Données projet'!$B$9,Paramètres!$A$1:$I$89,3,0)*VLOOKUP('Données projet'!$B$9,Paramètres!$A$1:$I$89,5,0)</f>
        <v>251.31599999999997</v>
      </c>
      <c r="P78" s="14">
        <f t="shared" si="87"/>
        <v>60.86765628024984</v>
      </c>
      <c r="Q78" s="22">
        <f t="shared" si="54"/>
        <v>543.71986802143499</v>
      </c>
      <c r="R78" s="62">
        <f t="shared" si="55"/>
        <v>837.05320135476836</v>
      </c>
      <c r="S78" s="62">
        <f ca="1">AVERAGE(OFFSET($R$3,0,0,'Données projet'!$E$9+1,1))-AVERAGE(OFFSET($H$3,0,0,'Données projet'!$E$9+1,1))</f>
        <v>396.92963589781414</v>
      </c>
      <c r="T78" s="62">
        <f t="shared" si="88"/>
        <v>294.38852181137639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9.9999999999997726</v>
      </c>
      <c r="AJ78" s="14">
        <f>AI78*VLOOKUP('Données projet'!$B$10,Paramètres!$A$1:$I$89,3,0)*VLOOKUP('Données projet'!$B$10,Paramètres!$A$1:$I$89,5,0)</f>
        <v>5.5899999999998728</v>
      </c>
      <c r="AK78" s="14">
        <f t="shared" si="89"/>
        <v>2.1084588929503409</v>
      </c>
      <c r="AL78" s="22">
        <f t="shared" si="58"/>
        <v>13.408149238554955</v>
      </c>
      <c r="AM78" s="62">
        <f t="shared" si="59"/>
        <v>306.74148257188824</v>
      </c>
      <c r="AN78" s="62">
        <f ca="1">AVERAGE(OFFSET($AM$3,0,0,'Données projet'!$E$10+1,1))-AVERAGE(OFFSET($H$3,0,0,'Données projet'!$E$10+1,1))</f>
        <v>443.34220761968419</v>
      </c>
      <c r="AO78" s="62">
        <f t="shared" si="90"/>
        <v>546.58234447298014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3.4856692513535861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5.1872150209852051E-6</v>
      </c>
      <c r="AX78" s="23">
        <f t="shared" si="60"/>
        <v>3.4856744385686071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17</v>
      </c>
      <c r="N79" s="14">
        <f>IF('Données projet'!$A$36&gt;35,N78+M79-V78,IF(A79&lt;'Données projet'!$A$36,$K$205^A79,IF(A79='Données projet'!$A$36,'Données projet'!$B$36,N78+M79-V78)))</f>
        <v>553.99999999999989</v>
      </c>
      <c r="O79" s="14">
        <f>N79*VLOOKUP('Données projet'!$B$9,Paramètres!$A$1:$I$89,3,0)*VLOOKUP('Données projet'!$B$9,Paramètres!$A$1:$I$89,5,0)</f>
        <v>259.27199999999993</v>
      </c>
      <c r="P79" s="14">
        <f t="shared" si="87"/>
        <v>62.567172460757938</v>
      </c>
      <c r="Q79" s="22">
        <f t="shared" si="54"/>
        <v>560.53655870248667</v>
      </c>
      <c r="R79" s="62">
        <f t="shared" si="55"/>
        <v>853.86989203581993</v>
      </c>
      <c r="S79" s="62">
        <f ca="1">AVERAGE(OFFSET($R$3,0,0,'Données projet'!$E$9+1,1))-AVERAGE(OFFSET($H$3,0,0,'Données projet'!$E$9+1,1))</f>
        <v>396.92963589781414</v>
      </c>
      <c r="T79" s="62">
        <f t="shared" si="88"/>
        <v>294.38852181137639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9.9999999999997726</v>
      </c>
      <c r="AJ79" s="14">
        <f>AI79*VLOOKUP('Données projet'!$B$10,Paramètres!$A$1:$I$89,3,0)*VLOOKUP('Données projet'!$B$10,Paramètres!$A$1:$I$89,5,0)</f>
        <v>5.5899999999998728</v>
      </c>
      <c r="AK79" s="14">
        <f t="shared" si="89"/>
        <v>2.1084588929503409</v>
      </c>
      <c r="AL79" s="22">
        <f t="shared" si="58"/>
        <v>13.408149238554955</v>
      </c>
      <c r="AM79" s="62">
        <f t="shared" si="59"/>
        <v>306.74148257188824</v>
      </c>
      <c r="AN79" s="62">
        <f ca="1">AVERAGE(OFFSET($AM$3,0,0,'Données projet'!$E$10+1,1))-AVERAGE(OFFSET($H$3,0,0,'Données projet'!$E$10+1,1))</f>
        <v>443.34220761968419</v>
      </c>
      <c r="AO79" s="62">
        <f t="shared" si="90"/>
        <v>546.58234447298014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3.4173174033828557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3.667914916811358E-6</v>
      </c>
      <c r="AX79" s="23">
        <f t="shared" si="60"/>
        <v>3.4173210712977724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17</v>
      </c>
      <c r="N80" s="14">
        <f>IF('Données projet'!$A$36&gt;35,N79+M80-V79,IF(A80&lt;'Données projet'!$A$36,$K$205^A80,IF(A80='Données projet'!$A$36,'Données projet'!$B$36,N79+M80-V79)))</f>
        <v>570.99999999999989</v>
      </c>
      <c r="O80" s="14">
        <f>N80*VLOOKUP('Données projet'!$B$9,Paramètres!$A$1:$I$89,3,0)*VLOOKUP('Données projet'!$B$9,Paramètres!$A$1:$I$89,5,0)</f>
        <v>267.22799999999995</v>
      </c>
      <c r="P80" s="14">
        <f t="shared" si="87"/>
        <v>64.260628062866161</v>
      </c>
      <c r="Q80" s="22">
        <f t="shared" si="54"/>
        <v>577.34269387615848</v>
      </c>
      <c r="R80" s="62">
        <f t="shared" si="55"/>
        <v>870.67602720949185</v>
      </c>
      <c r="S80" s="62">
        <f ca="1">AVERAGE(OFFSET($R$3,0,0,'Données projet'!$E$9+1,1))-AVERAGE(OFFSET($H$3,0,0,'Données projet'!$E$9+1,1))</f>
        <v>396.92963589781414</v>
      </c>
      <c r="T80" s="62">
        <f t="shared" si="88"/>
        <v>294.38852181137639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9.9999999999997726</v>
      </c>
      <c r="AJ80" s="14">
        <f>AI80*VLOOKUP('Données projet'!$B$10,Paramètres!$A$1:$I$89,3,0)*VLOOKUP('Données projet'!$B$10,Paramètres!$A$1:$I$89,5,0)</f>
        <v>5.5899999999998728</v>
      </c>
      <c r="AK80" s="14">
        <f t="shared" si="89"/>
        <v>2.1084588929503409</v>
      </c>
      <c r="AL80" s="22">
        <f t="shared" si="58"/>
        <v>13.408149238554955</v>
      </c>
      <c r="AM80" s="62">
        <f t="shared" si="59"/>
        <v>306.74148257188824</v>
      </c>
      <c r="AN80" s="62">
        <f ca="1">AVERAGE(OFFSET($AM$3,0,0,'Données projet'!$E$10+1,1))-AVERAGE(OFFSET($H$3,0,0,'Données projet'!$E$10+1,1))</f>
        <v>443.34220761968419</v>
      </c>
      <c r="AO80" s="62">
        <f t="shared" si="90"/>
        <v>546.58234447298014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3.3503058934603209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2.5936075104926026E-6</v>
      </c>
      <c r="AX80" s="23">
        <f t="shared" si="60"/>
        <v>3.3503084870678315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17</v>
      </c>
      <c r="N81" s="14">
        <f>IF('Données projet'!$A$36&gt;35,N80+M81-V80,IF(A81&lt;'Données projet'!$A$36,$K$205^A81,IF(A81='Données projet'!$A$36,'Données projet'!$B$36,N80+M81-V80)))</f>
        <v>587.99999999999989</v>
      </c>
      <c r="O81" s="14">
        <f>N81*VLOOKUP('Données projet'!$B$9,Paramètres!$A$1:$I$89,3,0)*VLOOKUP('Données projet'!$B$9,Paramètres!$A$1:$I$89,5,0)</f>
        <v>275.18399999999997</v>
      </c>
      <c r="P81" s="14">
        <f t="shared" si="87"/>
        <v>65.948224238651079</v>
      </c>
      <c r="Q81" s="22">
        <f t="shared" si="54"/>
        <v>594.13862388231712</v>
      </c>
      <c r="R81" s="62">
        <f t="shared" si="55"/>
        <v>887.47195721565049</v>
      </c>
      <c r="S81" s="62">
        <f ca="1">AVERAGE(OFFSET($R$3,0,0,'Données projet'!$E$9+1,1))-AVERAGE(OFFSET($H$3,0,0,'Données projet'!$E$9+1,1))</f>
        <v>396.92963589781414</v>
      </c>
      <c r="T81" s="62">
        <f t="shared" si="88"/>
        <v>294.38852181137639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9.9999999999997726</v>
      </c>
      <c r="AJ81" s="14">
        <f>AI81*VLOOKUP('Données projet'!$B$10,Paramètres!$A$1:$I$89,3,0)*VLOOKUP('Données projet'!$B$10,Paramètres!$A$1:$I$89,5,0)</f>
        <v>5.5899999999998728</v>
      </c>
      <c r="AK81" s="14">
        <f t="shared" si="89"/>
        <v>2.1084588929503409</v>
      </c>
      <c r="AL81" s="22">
        <f t="shared" si="58"/>
        <v>13.408149238554955</v>
      </c>
      <c r="AM81" s="62">
        <f t="shared" si="59"/>
        <v>306.74148257188824</v>
      </c>
      <c r="AN81" s="62">
        <f ca="1">AVERAGE(OFFSET($AM$3,0,0,'Données projet'!$E$10+1,1))-AVERAGE(OFFSET($H$3,0,0,'Données projet'!$E$10+1,1))</f>
        <v>443.34220761968419</v>
      </c>
      <c r="AO81" s="62">
        <f t="shared" si="90"/>
        <v>546.58234447298014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3.2846084383743817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1.833957458405679E-6</v>
      </c>
      <c r="AX81" s="23">
        <f t="shared" si="60"/>
        <v>3.28461027233184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17</v>
      </c>
      <c r="N82" s="14">
        <f>IF('Données projet'!$A$36&gt;35,N81+M82-V81,IF(A82&lt;'Données projet'!$A$36,$K$205^A82,IF(A82='Données projet'!$A$36,'Données projet'!$B$36,N81+M82-V81)))</f>
        <v>604.99999999999989</v>
      </c>
      <c r="O82" s="14">
        <f>N82*VLOOKUP('Données projet'!$B$9,Paramètres!$A$1:$I$89,3,0)*VLOOKUP('Données projet'!$B$9,Paramètres!$A$1:$I$89,5,0)</f>
        <v>283.13999999999993</v>
      </c>
      <c r="P82" s="14">
        <f t="shared" si="87"/>
        <v>67.630149847511944</v>
      </c>
      <c r="Q82" s="22">
        <f t="shared" si="54"/>
        <v>610.92467765108313</v>
      </c>
      <c r="R82" s="62">
        <f t="shared" si="55"/>
        <v>904.25801098441639</v>
      </c>
      <c r="S82" s="62">
        <f ca="1">AVERAGE(OFFSET($R$3,0,0,'Données projet'!$E$9+1,1))-AVERAGE(OFFSET($H$3,0,0,'Données projet'!$E$9+1,1))</f>
        <v>396.92963589781414</v>
      </c>
      <c r="T82" s="62">
        <f t="shared" si="88"/>
        <v>294.38852181137639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9.9999999999997726</v>
      </c>
      <c r="AJ82" s="14">
        <f>AI82*VLOOKUP('Données projet'!$B$10,Paramètres!$A$1:$I$89,3,0)*VLOOKUP('Données projet'!$B$10,Paramètres!$A$1:$I$89,5,0)</f>
        <v>5.5899999999998728</v>
      </c>
      <c r="AK82" s="14">
        <f t="shared" si="89"/>
        <v>2.1084588929503409</v>
      </c>
      <c r="AL82" s="22">
        <f t="shared" si="58"/>
        <v>13.408149238554955</v>
      </c>
      <c r="AM82" s="62">
        <f t="shared" si="59"/>
        <v>306.74148257188824</v>
      </c>
      <c r="AN82" s="62">
        <f ca="1">AVERAGE(OFFSET($AM$3,0,0,'Données projet'!$E$10+1,1))-AVERAGE(OFFSET($H$3,0,0,'Données projet'!$E$10+1,1))</f>
        <v>443.34220761968419</v>
      </c>
      <c r="AO82" s="62">
        <f t="shared" si="90"/>
        <v>546.58234447298014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3.2201992703111868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1.2968037552463013E-6</v>
      </c>
      <c r="AX82" s="23">
        <f t="shared" si="60"/>
        <v>3.2202005671149418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622</v>
      </c>
      <c r="L83" s="13">
        <f>VLOOKUP(A83,'Données projet'!$A$35:$I$55,9,0)</f>
        <v>17</v>
      </c>
      <c r="M83" s="13">
        <f t="array" ref="M83">INDEX(L:L,MIN(IF(ISNUMBER(L83:L279),ROW(L83:L279),"")))</f>
        <v>17</v>
      </c>
      <c r="N83" s="14">
        <f>IF('Données projet'!$A$36&gt;35,N82+M83-V82,IF(A83&lt;'Données projet'!$A$36,$K$205^A83,IF(A83='Données projet'!$A$36,'Données projet'!$B$36,N82+M83-V82)))</f>
        <v>621.99999999999989</v>
      </c>
      <c r="O83" s="14">
        <f>N83*VLOOKUP('Données projet'!$B$9,Paramètres!$A$1:$I$89,3,0)*VLOOKUP('Données projet'!$B$9,Paramètres!$A$1:$I$89,5,0)</f>
        <v>291.09599999999995</v>
      </c>
      <c r="P83" s="14">
        <f t="shared" si="87"/>
        <v>69.306582531434373</v>
      </c>
      <c r="Q83" s="22">
        <f t="shared" si="54"/>
        <v>627.7011645755814</v>
      </c>
      <c r="R83" s="62">
        <f t="shared" si="55"/>
        <v>921.03449790891477</v>
      </c>
      <c r="S83" s="62">
        <f ca="1">AVERAGE(OFFSET($R$3,0,0,'Données projet'!$E$9+1,1))-AVERAGE(OFFSET($H$3,0,0,'Données projet'!$E$9+1,1))</f>
        <v>396.92963589781414</v>
      </c>
      <c r="T83" s="62">
        <f t="shared" si="88"/>
        <v>294.38852181137639</v>
      </c>
      <c r="U83" s="16">
        <f>IF(ISNA(VLOOKUP(A83,'Données projet'!$A$35:$I$55,3,0)),0,VLOOKUP(A83,'Données projet'!$A$35:$I$55,3,0))</f>
        <v>7</v>
      </c>
      <c r="V83" s="16">
        <f>IF(ISNA(VLOOKUP(A83,'Données projet'!$A$35:$I$55,4,0)),0,VLOOKUP(A83,'Données projet'!$A$35:$I$55,4,0))</f>
        <v>124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9.9999999999997726</v>
      </c>
      <c r="AJ83" s="14">
        <f>AI83*VLOOKUP('Données projet'!$B$10,Paramètres!$A$1:$I$89,3,0)*VLOOKUP('Données projet'!$B$10,Paramètres!$A$1:$I$89,5,0)</f>
        <v>5.5899999999998728</v>
      </c>
      <c r="AK83" s="14">
        <f t="shared" si="89"/>
        <v>2.1084588929503409</v>
      </c>
      <c r="AL83" s="22">
        <f t="shared" si="58"/>
        <v>13.408149238554955</v>
      </c>
      <c r="AM83" s="62">
        <f t="shared" si="59"/>
        <v>306.74148257188824</v>
      </c>
      <c r="AN83" s="62">
        <f ca="1">AVERAGE(OFFSET($AM$3,0,0,'Données projet'!$E$10+1,1))-AVERAGE(OFFSET($H$3,0,0,'Données projet'!$E$10+1,1))</f>
        <v>443.34220761968419</v>
      </c>
      <c r="AO83" s="62">
        <f t="shared" si="90"/>
        <v>546.58234447298014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3.1570531267479978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9.169787292028395E-7</v>
      </c>
      <c r="AX83" s="23">
        <f t="shared" si="60"/>
        <v>3.1570540437267272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17.5</v>
      </c>
      <c r="N84" s="14">
        <f>IF('Données projet'!$A$36&gt;35,N83+M84-V83,IF(A84&lt;'Données projet'!$A$36,$K$205^A84,IF(A84='Données projet'!$A$36,'Données projet'!$B$36,N83+M84-V83)))</f>
        <v>515.49999999999989</v>
      </c>
      <c r="O84" s="14">
        <f>N84*VLOOKUP('Données projet'!$B$9,Paramètres!$A$1:$I$89,3,0)*VLOOKUP('Données projet'!$B$9,Paramètres!$A$1:$I$89,5,0)</f>
        <v>241.25399999999996</v>
      </c>
      <c r="P84" s="14">
        <f t="shared" si="87"/>
        <v>58.70925280391986</v>
      </c>
      <c r="Q84" s="22">
        <f t="shared" si="54"/>
        <v>522.43599863349357</v>
      </c>
      <c r="R84" s="62">
        <f t="shared" si="55"/>
        <v>815.76933196682694</v>
      </c>
      <c r="S84" s="62">
        <f ca="1">AVERAGE(OFFSET($R$3,0,0,'Données projet'!$E$9+1,1))-AVERAGE(OFFSET($H$3,0,0,'Données projet'!$E$9+1,1))</f>
        <v>396.92963589781414</v>
      </c>
      <c r="T84" s="62">
        <f t="shared" si="88"/>
        <v>294.38852181137639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9.9999999999997726</v>
      </c>
      <c r="AJ84" s="14">
        <f>AI84*VLOOKUP('Données projet'!$B$10,Paramètres!$A$1:$I$89,3,0)*VLOOKUP('Données projet'!$B$10,Paramètres!$A$1:$I$89,5,0)</f>
        <v>5.5899999999998728</v>
      </c>
      <c r="AK84" s="14">
        <f t="shared" si="89"/>
        <v>2.1084588929503409</v>
      </c>
      <c r="AL84" s="22">
        <f t="shared" si="58"/>
        <v>13.408149238554955</v>
      </c>
      <c r="AM84" s="62">
        <f t="shared" si="59"/>
        <v>306.74148257188824</v>
      </c>
      <c r="AN84" s="62">
        <f ca="1">AVERAGE(OFFSET($AM$3,0,0,'Données projet'!$E$10+1,1))-AVERAGE(OFFSET($H$3,0,0,'Données projet'!$E$10+1,1))</f>
        <v>443.34220761968419</v>
      </c>
      <c r="AO84" s="62">
        <f t="shared" si="90"/>
        <v>546.58234447298014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3.0951452405447384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6.4840187762315064E-7</v>
      </c>
      <c r="AX84" s="23">
        <f t="shared" si="60"/>
        <v>3.0951458889466159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17.5</v>
      </c>
      <c r="N85" s="14">
        <f>IF('Données projet'!$A$36&gt;35,N84+M85-V84,IF(A85&lt;'Données projet'!$A$36,$K$205^A85,IF(A85='Données projet'!$A$36,'Données projet'!$B$36,N84+M85-V84)))</f>
        <v>532.99999999999989</v>
      </c>
      <c r="O85" s="14">
        <f>N85*VLOOKUP('Données projet'!$B$9,Paramètres!$A$1:$I$89,3,0)*VLOOKUP('Données projet'!$B$9,Paramètres!$A$1:$I$89,5,0)</f>
        <v>249.44399999999993</v>
      </c>
      <c r="P85" s="14">
        <f t="shared" si="87"/>
        <v>60.466866397117599</v>
      </c>
      <c r="Q85" s="22">
        <f t="shared" si="54"/>
        <v>539.76142564164627</v>
      </c>
      <c r="R85" s="62">
        <f t="shared" si="55"/>
        <v>833.09475897497964</v>
      </c>
      <c r="S85" s="62">
        <f ca="1">AVERAGE(OFFSET($R$3,0,0,'Données projet'!$E$9+1,1))-AVERAGE(OFFSET($H$3,0,0,'Données projet'!$E$9+1,1))</f>
        <v>396.92963589781414</v>
      </c>
      <c r="T85" s="62">
        <f t="shared" si="88"/>
        <v>294.38852181137639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9.9999999999997726</v>
      </c>
      <c r="AJ85" s="14">
        <f>AI85*VLOOKUP('Données projet'!$B$10,Paramètres!$A$1:$I$89,3,0)*VLOOKUP('Données projet'!$B$10,Paramètres!$A$1:$I$89,5,0)</f>
        <v>5.5899999999998728</v>
      </c>
      <c r="AK85" s="14">
        <f t="shared" si="89"/>
        <v>2.1084588929503409</v>
      </c>
      <c r="AL85" s="22">
        <f t="shared" si="58"/>
        <v>13.408149238554955</v>
      </c>
      <c r="AM85" s="62">
        <f t="shared" si="59"/>
        <v>306.74148257188824</v>
      </c>
      <c r="AN85" s="62">
        <f ca="1">AVERAGE(OFFSET($AM$3,0,0,'Données projet'!$E$10+1,1))-AVERAGE(OFFSET($H$3,0,0,'Données projet'!$E$10+1,1))</f>
        <v>443.34220761968419</v>
      </c>
      <c r="AO85" s="62">
        <f t="shared" si="90"/>
        <v>546.58234447298014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3.0344513302298428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4.5848936460141975E-7</v>
      </c>
      <c r="AX85" s="23">
        <f t="shared" si="60"/>
        <v>3.0344517887192075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17.5</v>
      </c>
      <c r="N86" s="14">
        <f>IF('Données projet'!$A$36&gt;35,N85+M86-V85,IF(A86&lt;'Données projet'!$A$36,$K$205^A86,IF(A86='Données projet'!$A$36,'Données projet'!$B$36,N85+M86-V85)))</f>
        <v>550.49999999999989</v>
      </c>
      <c r="O86" s="14">
        <f>N86*VLOOKUP('Données projet'!$B$9,Paramètres!$A$1:$I$89,3,0)*VLOOKUP('Données projet'!$B$9,Paramètres!$A$1:$I$89,5,0)</f>
        <v>257.63399999999996</v>
      </c>
      <c r="P86" s="14">
        <f t="shared" si="87"/>
        <v>62.217774353261795</v>
      </c>
      <c r="Q86" s="22">
        <f t="shared" si="54"/>
        <v>557.07517366526417</v>
      </c>
      <c r="R86" s="62">
        <f t="shared" si="55"/>
        <v>850.40850699859743</v>
      </c>
      <c r="S86" s="62">
        <f ca="1">AVERAGE(OFFSET($R$3,0,0,'Données projet'!$E$9+1,1))-AVERAGE(OFFSET($H$3,0,0,'Données projet'!$E$9+1,1))</f>
        <v>396.92963589781414</v>
      </c>
      <c r="T86" s="62">
        <f t="shared" si="88"/>
        <v>294.38852181137639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9.9999999999997726</v>
      </c>
      <c r="AJ86" s="14">
        <f>AI86*VLOOKUP('Données projet'!$B$10,Paramètres!$A$1:$I$89,3,0)*VLOOKUP('Données projet'!$B$10,Paramètres!$A$1:$I$89,5,0)</f>
        <v>5.5899999999998728</v>
      </c>
      <c r="AK86" s="14">
        <f t="shared" si="89"/>
        <v>2.1084588929503409</v>
      </c>
      <c r="AL86" s="22">
        <f t="shared" si="58"/>
        <v>13.408149238554955</v>
      </c>
      <c r="AM86" s="62">
        <f t="shared" si="59"/>
        <v>306.74148257188824</v>
      </c>
      <c r="AN86" s="62">
        <f ca="1">AVERAGE(OFFSET($AM$3,0,0,'Données projet'!$E$10+1,1))-AVERAGE(OFFSET($H$3,0,0,'Données projet'!$E$10+1,1))</f>
        <v>443.34220761968419</v>
      </c>
      <c r="AO86" s="62">
        <f t="shared" si="90"/>
        <v>546.58234447298014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2.9749475904765923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3.2420093881157532E-7</v>
      </c>
      <c r="AX86" s="23">
        <f t="shared" si="60"/>
        <v>2.9749479146775313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17.5</v>
      </c>
      <c r="N87" s="14">
        <f>IF('Données projet'!$A$36&gt;35,N86+M87-V86,IF(A87&lt;'Données projet'!$A$36,$K$205^A87,IF(A87='Données projet'!$A$36,'Données projet'!$B$36,N86+M87-V86)))</f>
        <v>567.99999999999989</v>
      </c>
      <c r="O87" s="14">
        <f>N87*VLOOKUP('Données projet'!$B$9,Paramètres!$A$1:$I$89,3,0)*VLOOKUP('Données projet'!$B$9,Paramètres!$A$1:$I$89,5,0)</f>
        <v>265.82399999999996</v>
      </c>
      <c r="P87" s="14">
        <f t="shared" si="87"/>
        <v>63.962214293903529</v>
      </c>
      <c r="Q87" s="22">
        <f t="shared" si="54"/>
        <v>574.37765656188185</v>
      </c>
      <c r="R87" s="62">
        <f t="shared" si="55"/>
        <v>867.71098989521511</v>
      </c>
      <c r="S87" s="62">
        <f ca="1">AVERAGE(OFFSET($R$3,0,0,'Données projet'!$E$9+1,1))-AVERAGE(OFFSET($H$3,0,0,'Données projet'!$E$9+1,1))</f>
        <v>396.92963589781414</v>
      </c>
      <c r="T87" s="62">
        <f t="shared" si="88"/>
        <v>294.38852181137639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9.9999999999997726</v>
      </c>
      <c r="AJ87" s="14">
        <f>AI87*VLOOKUP('Données projet'!$B$10,Paramètres!$A$1:$I$89,3,0)*VLOOKUP('Données projet'!$B$10,Paramètres!$A$1:$I$89,5,0)</f>
        <v>5.5899999999998728</v>
      </c>
      <c r="AK87" s="14">
        <f t="shared" si="89"/>
        <v>2.1084588929503409</v>
      </c>
      <c r="AL87" s="22">
        <f t="shared" si="58"/>
        <v>13.408149238554955</v>
      </c>
      <c r="AM87" s="62">
        <f t="shared" si="59"/>
        <v>306.74148257188824</v>
      </c>
      <c r="AN87" s="62">
        <f ca="1">AVERAGE(OFFSET($AM$3,0,0,'Données projet'!$E$10+1,1))-AVERAGE(OFFSET($H$3,0,0,'Données projet'!$E$10+1,1))</f>
        <v>443.34220761968419</v>
      </c>
      <c r="AO87" s="62">
        <f t="shared" si="90"/>
        <v>546.58234447298014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2.9166106827662057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2.2924468230070988E-7</v>
      </c>
      <c r="AX87" s="23">
        <f t="shared" si="60"/>
        <v>2.9166109120108881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17.5</v>
      </c>
      <c r="N88" s="14">
        <f>IF('Données projet'!$A$36&gt;35,N87+M88-V87,IF(A88&lt;'Données projet'!$A$36,$K$205^A88,IF(A88='Données projet'!$A$36,'Données projet'!$B$36,N87+M88-V87)))</f>
        <v>585.49999999999989</v>
      </c>
      <c r="O88" s="14">
        <f>N88*VLOOKUP('Données projet'!$B$9,Paramètres!$A$1:$I$89,3,0)*VLOOKUP('Données projet'!$B$9,Paramètres!$A$1:$I$89,5,0)</f>
        <v>274.01399999999995</v>
      </c>
      <c r="P88" s="14">
        <f t="shared" si="87"/>
        <v>65.700408366571935</v>
      </c>
      <c r="Q88" s="22">
        <f t="shared" si="54"/>
        <v>591.66926123844598</v>
      </c>
      <c r="R88" s="62">
        <f t="shared" si="55"/>
        <v>885.00259457177935</v>
      </c>
      <c r="S88" s="62">
        <f ca="1">AVERAGE(OFFSET($R$3,0,0,'Données projet'!$E$9+1,1))-AVERAGE(OFFSET($H$3,0,0,'Données projet'!$E$9+1,1))</f>
        <v>396.92963589781414</v>
      </c>
      <c r="T88" s="62">
        <f t="shared" si="88"/>
        <v>294.38852181137639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9.9999999999997726</v>
      </c>
      <c r="AJ88" s="14">
        <f>AI88*VLOOKUP('Données projet'!$B$10,Paramètres!$A$1:$I$89,3,0)*VLOOKUP('Données projet'!$B$10,Paramètres!$A$1:$I$89,5,0)</f>
        <v>5.5899999999998728</v>
      </c>
      <c r="AK88" s="14">
        <f t="shared" si="89"/>
        <v>2.1084588929503409</v>
      </c>
      <c r="AL88" s="22">
        <f t="shared" si="58"/>
        <v>13.408149238554955</v>
      </c>
      <c r="AM88" s="62">
        <f t="shared" si="59"/>
        <v>306.74148257188824</v>
      </c>
      <c r="AN88" s="62">
        <f ca="1">AVERAGE(OFFSET($AM$3,0,0,'Données projet'!$E$10+1,1))-AVERAGE(OFFSET($H$3,0,0,'Données projet'!$E$10+1,1))</f>
        <v>443.34220761968419</v>
      </c>
      <c r="AO88" s="62">
        <f t="shared" si="90"/>
        <v>546.58234447298014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2.8594177262340197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1.6210046940578766E-7</v>
      </c>
      <c r="AX88" s="23">
        <f t="shared" si="60"/>
        <v>2.8594178883344892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17.5</v>
      </c>
      <c r="N89" s="14">
        <f>IF('Données projet'!$A$36&gt;35,N88+M89-V88,IF(A89&lt;'Données projet'!$A$36,$K$205^A89,IF(A89='Données projet'!$A$36,'Données projet'!$B$36,N88+M89-V88)))</f>
        <v>602.99999999999989</v>
      </c>
      <c r="O89" s="14">
        <f>N89*VLOOKUP('Données projet'!$B$9,Paramètres!$A$1:$I$89,3,0)*VLOOKUP('Données projet'!$B$9,Paramètres!$A$1:$I$89,5,0)</f>
        <v>282.20399999999995</v>
      </c>
      <c r="P89" s="14">
        <f t="shared" si="87"/>
        <v>67.432564684485186</v>
      </c>
      <c r="Q89" s="22">
        <f t="shared" si="54"/>
        <v>608.9503501588116</v>
      </c>
      <c r="R89" s="62">
        <f t="shared" si="55"/>
        <v>902.28368349214497</v>
      </c>
      <c r="S89" s="62">
        <f ca="1">AVERAGE(OFFSET($R$3,0,0,'Données projet'!$E$9+1,1))-AVERAGE(OFFSET($H$3,0,0,'Données projet'!$E$9+1,1))</f>
        <v>396.92963589781414</v>
      </c>
      <c r="T89" s="62">
        <f t="shared" si="88"/>
        <v>294.38852181137639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9.9999999999997726</v>
      </c>
      <c r="AJ89" s="14">
        <f>AI89*VLOOKUP('Données projet'!$B$10,Paramètres!$A$1:$I$89,3,0)*VLOOKUP('Données projet'!$B$10,Paramètres!$A$1:$I$89,5,0)</f>
        <v>5.5899999999998728</v>
      </c>
      <c r="AK89" s="14">
        <f t="shared" si="89"/>
        <v>2.1084588929503409</v>
      </c>
      <c r="AL89" s="22">
        <f t="shared" si="58"/>
        <v>13.408149238554955</v>
      </c>
      <c r="AM89" s="62">
        <f t="shared" si="59"/>
        <v>306.74148257188824</v>
      </c>
      <c r="AN89" s="62">
        <f ca="1">AVERAGE(OFFSET($AM$3,0,0,'Données projet'!$E$10+1,1))-AVERAGE(OFFSET($H$3,0,0,'Données projet'!$E$10+1,1))</f>
        <v>443.34220761968419</v>
      </c>
      <c r="AO89" s="62">
        <f t="shared" si="90"/>
        <v>546.58234447298014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2.8033462886951708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1.1462234115035494E-7</v>
      </c>
      <c r="AX89" s="23">
        <f t="shared" si="60"/>
        <v>2.8033464033175117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17.5</v>
      </c>
      <c r="N90" s="14">
        <f>IF('Données projet'!$A$36&gt;35,N89+M90-V89,IF(A90&lt;'Données projet'!$A$36,$K$205^A90,IF(A90='Données projet'!$A$36,'Données projet'!$B$36,N89+M90-V89)))</f>
        <v>620.49999999999989</v>
      </c>
      <c r="O90" s="14">
        <f>N90*VLOOKUP('Données projet'!$B$9,Paramètres!$A$1:$I$89,3,0)*VLOOKUP('Données projet'!$B$9,Paramètres!$A$1:$I$89,5,0)</f>
        <v>290.39399999999995</v>
      </c>
      <c r="P90" s="14">
        <f t="shared" si="87"/>
        <v>69.158878594433091</v>
      </c>
      <c r="Q90" s="22">
        <f t="shared" si="54"/>
        <v>626.22126355197076</v>
      </c>
      <c r="R90" s="62">
        <f t="shared" si="55"/>
        <v>919.55459688530414</v>
      </c>
      <c r="S90" s="62">
        <f ca="1">AVERAGE(OFFSET($R$3,0,0,'Données projet'!$E$9+1,1))-AVERAGE(OFFSET($H$3,0,0,'Données projet'!$E$9+1,1))</f>
        <v>396.92963589781414</v>
      </c>
      <c r="T90" s="62">
        <f t="shared" si="88"/>
        <v>294.38852181137639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9.9999999999997726</v>
      </c>
      <c r="AJ90" s="14">
        <f>AI90*VLOOKUP('Données projet'!$B$10,Paramètres!$A$1:$I$89,3,0)*VLOOKUP('Données projet'!$B$10,Paramètres!$A$1:$I$89,5,0)</f>
        <v>5.5899999999998728</v>
      </c>
      <c r="AK90" s="14">
        <f t="shared" si="89"/>
        <v>2.1084588929503409</v>
      </c>
      <c r="AL90" s="22">
        <f t="shared" si="58"/>
        <v>13.408149238554955</v>
      </c>
      <c r="AM90" s="62">
        <f t="shared" si="59"/>
        <v>306.74148257188824</v>
      </c>
      <c r="AN90" s="62">
        <f ca="1">AVERAGE(OFFSET($AM$3,0,0,'Données projet'!$E$10+1,1))-AVERAGE(OFFSET($H$3,0,0,'Données projet'!$E$10+1,1))</f>
        <v>443.34220761968419</v>
      </c>
      <c r="AO90" s="62">
        <f t="shared" si="90"/>
        <v>546.58234447298014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2.7483743778462588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8.105023470289383E-8</v>
      </c>
      <c r="AX90" s="23">
        <f t="shared" si="60"/>
        <v>2.7483744588964933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17.5</v>
      </c>
      <c r="N91" s="14">
        <f>IF('Données projet'!$A$36&gt;35,N90+M91-V90,IF(A91&lt;'Données projet'!$A$36,$K$205^A91,IF(A91='Données projet'!$A$36,'Données projet'!$B$36,N90+M91-V90)))</f>
        <v>637.99999999999989</v>
      </c>
      <c r="O91" s="14">
        <f>N91*VLOOKUP('Données projet'!$B$9,Paramètres!$A$1:$I$89,3,0)*VLOOKUP('Données projet'!$B$9,Paramètres!$A$1:$I$89,5,0)</f>
        <v>298.58399999999995</v>
      </c>
      <c r="P91" s="14">
        <f t="shared" si="87"/>
        <v>70.879533797607607</v>
      </c>
      <c r="Q91" s="22">
        <f t="shared" si="54"/>
        <v>643.48232136416652</v>
      </c>
      <c r="R91" s="62">
        <f t="shared" si="55"/>
        <v>936.81565469749989</v>
      </c>
      <c r="S91" s="62">
        <f ca="1">AVERAGE(OFFSET($R$3,0,0,'Données projet'!$E$9+1,1))-AVERAGE(OFFSET($H$3,0,0,'Données projet'!$E$9+1,1))</f>
        <v>396.92963589781414</v>
      </c>
      <c r="T91" s="62">
        <f t="shared" si="88"/>
        <v>294.38852181137639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9.9999999999997726</v>
      </c>
      <c r="AJ91" s="14">
        <f>AI91*VLOOKUP('Données projet'!$B$10,Paramètres!$A$1:$I$89,3,0)*VLOOKUP('Données projet'!$B$10,Paramètres!$A$1:$I$89,5,0)</f>
        <v>5.5899999999998728</v>
      </c>
      <c r="AK91" s="14">
        <f t="shared" si="89"/>
        <v>2.1084588929503409</v>
      </c>
      <c r="AL91" s="22">
        <f t="shared" si="58"/>
        <v>13.408149238554955</v>
      </c>
      <c r="AM91" s="62">
        <f t="shared" si="59"/>
        <v>306.74148257188824</v>
      </c>
      <c r="AN91" s="62">
        <f ca="1">AVERAGE(OFFSET($AM$3,0,0,'Données projet'!$E$10+1,1))-AVERAGE(OFFSET($H$3,0,0,'Données projet'!$E$10+1,1))</f>
        <v>443.34220761968419</v>
      </c>
      <c r="AO91" s="62">
        <f t="shared" si="90"/>
        <v>546.58234447298014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2.6944804326395388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5.7311170575177469E-8</v>
      </c>
      <c r="AX91" s="23">
        <f t="shared" si="60"/>
        <v>2.6944804899507093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17.5</v>
      </c>
      <c r="N92" s="14">
        <f>IF('Données projet'!$A$36&gt;35,N91+M92-V91,IF(A92&lt;'Données projet'!$A$36,$K$205^A92,IF(A92='Données projet'!$A$36,'Données projet'!$B$36,N91+M92-V91)))</f>
        <v>655.49999999999989</v>
      </c>
      <c r="O92" s="14">
        <f>N92*VLOOKUP('Données projet'!$B$9,Paramètres!$A$1:$I$89,3,0)*VLOOKUP('Données projet'!$B$9,Paramètres!$A$1:$I$89,5,0)</f>
        <v>306.77399999999994</v>
      </c>
      <c r="P92" s="14">
        <f t="shared" si="87"/>
        <v>72.594703343999058</v>
      </c>
      <c r="Q92" s="22">
        <f t="shared" si="54"/>
        <v>660.73382499079833</v>
      </c>
      <c r="R92" s="62">
        <f t="shared" si="55"/>
        <v>954.0671583241317</v>
      </c>
      <c r="S92" s="62">
        <f ca="1">AVERAGE(OFFSET($R$3,0,0,'Données projet'!$E$9+1,1))-AVERAGE(OFFSET($H$3,0,0,'Données projet'!$E$9+1,1))</f>
        <v>396.92963589781414</v>
      </c>
      <c r="T92" s="62">
        <f t="shared" si="88"/>
        <v>294.38852181137639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9.9999999999997726</v>
      </c>
      <c r="AJ92" s="14">
        <f>AI92*VLOOKUP('Données projet'!$B$10,Paramètres!$A$1:$I$89,3,0)*VLOOKUP('Données projet'!$B$10,Paramètres!$A$1:$I$89,5,0)</f>
        <v>5.5899999999998728</v>
      </c>
      <c r="AK92" s="14">
        <f t="shared" si="89"/>
        <v>2.1084588929503409</v>
      </c>
      <c r="AL92" s="22">
        <f t="shared" si="58"/>
        <v>13.408149238554955</v>
      </c>
      <c r="AM92" s="62">
        <f t="shared" si="59"/>
        <v>306.74148257188824</v>
      </c>
      <c r="AN92" s="62">
        <f ca="1">AVERAGE(OFFSET($AM$3,0,0,'Données projet'!$E$10+1,1))-AVERAGE(OFFSET($H$3,0,0,'Données projet'!$E$10+1,1))</f>
        <v>443.34220761968419</v>
      </c>
      <c r="AO92" s="62">
        <f t="shared" si="90"/>
        <v>546.58234447298014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2.6416433148262621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4.0525117351446915E-8</v>
      </c>
      <c r="AX92" s="23">
        <f t="shared" si="60"/>
        <v>2.6416433553513796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673</v>
      </c>
      <c r="L93" s="13">
        <f>VLOOKUP(A93,'Données projet'!$A$35:$I$55,9,0)</f>
        <v>17.5</v>
      </c>
      <c r="M93" s="13">
        <f t="array" ref="M93">INDEX(L:L,MIN(IF(ISNUMBER(L93:L289),ROW(L93:L289),"")))</f>
        <v>17.5</v>
      </c>
      <c r="N93" s="14">
        <f>IF('Données projet'!$A$36&gt;35,N92+M93-V92,IF(A93&lt;'Données projet'!$A$36,$K$205^A93,IF(A93='Données projet'!$A$36,'Données projet'!$B$36,N92+M93-V92)))</f>
        <v>672.99999999999989</v>
      </c>
      <c r="O93" s="14">
        <f>N93*VLOOKUP('Données projet'!$B$9,Paramètres!$A$1:$I$89,3,0)*VLOOKUP('Données projet'!$B$9,Paramètres!$A$1:$I$89,5,0)</f>
        <v>314.96399999999994</v>
      </c>
      <c r="P93" s="14">
        <f t="shared" si="87"/>
        <v>74.304550517616548</v>
      </c>
      <c r="Q93" s="22">
        <f t="shared" si="54"/>
        <v>677.97605881818208</v>
      </c>
      <c r="R93" s="62">
        <f t="shared" si="55"/>
        <v>971.30939215151534</v>
      </c>
      <c r="S93" s="62">
        <f ca="1">AVERAGE(OFFSET($R$3,0,0,'Données projet'!$E$9+1,1))-AVERAGE(OFFSET($H$3,0,0,'Données projet'!$E$9+1,1))</f>
        <v>396.92963589781414</v>
      </c>
      <c r="T93" s="62">
        <f t="shared" si="88"/>
        <v>294.38852181137639</v>
      </c>
      <c r="U93" s="16">
        <f>IF(ISNA(VLOOKUP(A93,'Données projet'!$A$35:$I$55,3,0)),0,VLOOKUP(A93,'Données projet'!$A$35:$I$55,3,0))</f>
        <v>8</v>
      </c>
      <c r="V93" s="16">
        <f>IF(ISNA(VLOOKUP(A93,'Données projet'!$A$35:$I$55,4,0)),0,VLOOKUP(A93,'Données projet'!$A$35:$I$55,4,0))</f>
        <v>135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9.9999999999997726</v>
      </c>
      <c r="AJ93" s="14">
        <f>AI93*VLOOKUP('Données projet'!$B$10,Paramètres!$A$1:$I$89,3,0)*VLOOKUP('Données projet'!$B$10,Paramètres!$A$1:$I$89,5,0)</f>
        <v>5.5899999999998728</v>
      </c>
      <c r="AK93" s="14">
        <f t="shared" si="89"/>
        <v>2.1084588929503409</v>
      </c>
      <c r="AL93" s="22">
        <f t="shared" si="58"/>
        <v>13.408149238554955</v>
      </c>
      <c r="AM93" s="62">
        <f t="shared" si="59"/>
        <v>306.74148257188824</v>
      </c>
      <c r="AN93" s="62">
        <f ca="1">AVERAGE(OFFSET($AM$3,0,0,'Données projet'!$E$10+1,1))-AVERAGE(OFFSET($H$3,0,0,'Données projet'!$E$10+1,1))</f>
        <v>443.34220761968419</v>
      </c>
      <c r="AO93" s="62">
        <f t="shared" si="90"/>
        <v>546.58234447298014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2.5898423006658442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2.8655585287588734E-8</v>
      </c>
      <c r="AX93" s="23">
        <f t="shared" si="60"/>
        <v>2.5898423293214297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18.5</v>
      </c>
      <c r="N94" s="14">
        <f>IF('Données projet'!$A$36&gt;35,N93+M94-V93,IF(A94&lt;'Données projet'!$A$36,$K$205^A94,IF(A94='Données projet'!$A$36,'Données projet'!$B$36,N93+M94-V93)))</f>
        <v>556.49999999999989</v>
      </c>
      <c r="O94" s="14">
        <f>N94*VLOOKUP('Données projet'!$B$9,Paramètres!$A$1:$I$89,3,0)*VLOOKUP('Données projet'!$B$9,Paramètres!$A$1:$I$89,5,0)</f>
        <v>260.44199999999995</v>
      </c>
      <c r="P94" s="14">
        <f t="shared" si="87"/>
        <v>62.816585178645781</v>
      </c>
      <c r="Q94" s="22">
        <f t="shared" si="54"/>
        <v>563.00870251947458</v>
      </c>
      <c r="R94" s="62">
        <f t="shared" si="55"/>
        <v>856.34203585280784</v>
      </c>
      <c r="S94" s="62">
        <f ca="1">AVERAGE(OFFSET($R$3,0,0,'Données projet'!$E$9+1,1))-AVERAGE(OFFSET($H$3,0,0,'Données projet'!$E$9+1,1))</f>
        <v>396.92963589781414</v>
      </c>
      <c r="T94" s="62">
        <f t="shared" si="88"/>
        <v>294.38852181137639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9.9999999999997726</v>
      </c>
      <c r="AJ94" s="14">
        <f>AI94*VLOOKUP('Données projet'!$B$10,Paramètres!$A$1:$I$89,3,0)*VLOOKUP('Données projet'!$B$10,Paramètres!$A$1:$I$89,5,0)</f>
        <v>5.5899999999998728</v>
      </c>
      <c r="AK94" s="14">
        <f t="shared" si="89"/>
        <v>2.1084588929503409</v>
      </c>
      <c r="AL94" s="22">
        <f t="shared" si="58"/>
        <v>13.408149238554955</v>
      </c>
      <c r="AM94" s="62">
        <f t="shared" si="59"/>
        <v>306.74148257188824</v>
      </c>
      <c r="AN94" s="62">
        <f ca="1">AVERAGE(OFFSET($AM$3,0,0,'Données projet'!$E$10+1,1))-AVERAGE(OFFSET($H$3,0,0,'Données projet'!$E$10+1,1))</f>
        <v>443.34220761968419</v>
      </c>
      <c r="AO94" s="62">
        <f t="shared" si="90"/>
        <v>546.58234447298014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2.5390570727976129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2.0262558675723458E-8</v>
      </c>
      <c r="AX94" s="23">
        <f t="shared" si="60"/>
        <v>2.5390570930601717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18.5</v>
      </c>
      <c r="N95" s="14">
        <f>IF('Données projet'!$A$36&gt;35,N94+M95-V94,IF(A95&lt;'Données projet'!$A$36,$K$205^A95,IF(A95='Données projet'!$A$36,'Données projet'!$B$36,N94+M95-V94)))</f>
        <v>574.99999999999989</v>
      </c>
      <c r="O95" s="14">
        <f>N95*VLOOKUP('Données projet'!$B$9,Paramètres!$A$1:$I$89,3,0)*VLOOKUP('Données projet'!$B$9,Paramètres!$A$1:$I$89,5,0)</f>
        <v>269.09999999999991</v>
      </c>
      <c r="P95" s="14">
        <f t="shared" si="87"/>
        <v>64.658229472790993</v>
      </c>
      <c r="Q95" s="22">
        <f t="shared" si="54"/>
        <v>581.29558299844405</v>
      </c>
      <c r="R95" s="62">
        <f t="shared" si="55"/>
        <v>874.62891633177742</v>
      </c>
      <c r="S95" s="62">
        <f ca="1">AVERAGE(OFFSET($R$3,0,0,'Données projet'!$E$9+1,1))-AVERAGE(OFFSET($H$3,0,0,'Données projet'!$E$9+1,1))</f>
        <v>396.92963589781414</v>
      </c>
      <c r="T95" s="62">
        <f t="shared" si="88"/>
        <v>294.38852181137639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9.9999999999997726</v>
      </c>
      <c r="AJ95" s="14">
        <f>AI95*VLOOKUP('Données projet'!$B$10,Paramètres!$A$1:$I$89,3,0)*VLOOKUP('Données projet'!$B$10,Paramètres!$A$1:$I$89,5,0)</f>
        <v>5.5899999999998728</v>
      </c>
      <c r="AK95" s="14">
        <f t="shared" si="89"/>
        <v>2.1084588929503409</v>
      </c>
      <c r="AL95" s="22">
        <f t="shared" si="58"/>
        <v>13.408149238554955</v>
      </c>
      <c r="AM95" s="62">
        <f t="shared" si="59"/>
        <v>306.74148257188824</v>
      </c>
      <c r="AN95" s="62">
        <f ca="1">AVERAGE(OFFSET($AM$3,0,0,'Données projet'!$E$10+1,1))-AVERAGE(OFFSET($H$3,0,0,'Données projet'!$E$10+1,1))</f>
        <v>443.34220761968419</v>
      </c>
      <c r="AO95" s="62">
        <f t="shared" si="90"/>
        <v>546.58234447298014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2.4892677122719475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1.4327792643794367E-8</v>
      </c>
      <c r="AX95" s="23">
        <f t="shared" si="60"/>
        <v>2.4892677265997403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18.5</v>
      </c>
      <c r="N96" s="14">
        <f>IF('Données projet'!$A$36&gt;35,N95+M96-V95,IF(A96&lt;'Données projet'!$A$36,$K$205^A96,IF(A96='Données projet'!$A$36,'Données projet'!$B$36,N95+M96-V95)))</f>
        <v>593.49999999999989</v>
      </c>
      <c r="O96" s="14">
        <f>N96*VLOOKUP('Données projet'!$B$9,Paramètres!$A$1:$I$89,3,0)*VLOOKUP('Données projet'!$B$9,Paramètres!$A$1:$I$89,5,0)</f>
        <v>277.75799999999992</v>
      </c>
      <c r="P96" s="14">
        <f t="shared" si="87"/>
        <v>66.492988372715388</v>
      </c>
      <c r="Q96" s="22">
        <f t="shared" si="54"/>
        <v>599.57047141581245</v>
      </c>
      <c r="R96" s="62">
        <f t="shared" si="55"/>
        <v>892.90380474914582</v>
      </c>
      <c r="S96" s="62">
        <f ca="1">AVERAGE(OFFSET($R$3,0,0,'Données projet'!$E$9+1,1))-AVERAGE(OFFSET($H$3,0,0,'Données projet'!$E$9+1,1))</f>
        <v>396.92963589781414</v>
      </c>
      <c r="T96" s="62">
        <f t="shared" si="88"/>
        <v>294.38852181137639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9.9999999999997726</v>
      </c>
      <c r="AJ96" s="14">
        <f>AI96*VLOOKUP('Données projet'!$B$10,Paramètres!$A$1:$I$89,3,0)*VLOOKUP('Données projet'!$B$10,Paramètres!$A$1:$I$89,5,0)</f>
        <v>5.5899999999998728</v>
      </c>
      <c r="AK96" s="14">
        <f t="shared" si="89"/>
        <v>2.1084588929503409</v>
      </c>
      <c r="AL96" s="22">
        <f t="shared" si="58"/>
        <v>13.408149238554955</v>
      </c>
      <c r="AM96" s="62">
        <f t="shared" si="59"/>
        <v>306.74148257188824</v>
      </c>
      <c r="AN96" s="62">
        <f ca="1">AVERAGE(OFFSET($AM$3,0,0,'Données projet'!$E$10+1,1))-AVERAGE(OFFSET($H$3,0,0,'Données projet'!$E$10+1,1))</f>
        <v>443.34220761968419</v>
      </c>
      <c r="AO96" s="62">
        <f t="shared" si="90"/>
        <v>546.58234447298014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2.440454690737679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1.0131279337861729E-8</v>
      </c>
      <c r="AX96" s="23">
        <f t="shared" si="60"/>
        <v>2.4404547008689583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18.5</v>
      </c>
      <c r="N97" s="14">
        <f>IF('Données projet'!$A$36&gt;35,N96+M97-V96,IF(A97&lt;'Données projet'!$A$36,$K$205^A97,IF(A97='Données projet'!$A$36,'Données projet'!$B$36,N96+M97-V96)))</f>
        <v>611.99999999999989</v>
      </c>
      <c r="O97" s="14">
        <f>N97*VLOOKUP('Données projet'!$B$9,Paramètres!$A$1:$I$89,3,0)*VLOOKUP('Données projet'!$B$9,Paramètres!$A$1:$I$89,5,0)</f>
        <v>286.41599999999994</v>
      </c>
      <c r="P97" s="14">
        <f t="shared" si="87"/>
        <v>68.321101129951188</v>
      </c>
      <c r="Q97" s="22">
        <f t="shared" si="54"/>
        <v>617.83378446799827</v>
      </c>
      <c r="R97" s="62">
        <f t="shared" si="55"/>
        <v>911.16711780133164</v>
      </c>
      <c r="S97" s="62">
        <f ca="1">AVERAGE(OFFSET($R$3,0,0,'Données projet'!$E$9+1,1))-AVERAGE(OFFSET($H$3,0,0,'Données projet'!$E$9+1,1))</f>
        <v>396.92963589781414</v>
      </c>
      <c r="T97" s="62">
        <f t="shared" si="88"/>
        <v>294.38852181137639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9.9999999999997726</v>
      </c>
      <c r="AJ97" s="14">
        <f>AI97*VLOOKUP('Données projet'!$B$10,Paramètres!$A$1:$I$89,3,0)*VLOOKUP('Données projet'!$B$10,Paramètres!$A$1:$I$89,5,0)</f>
        <v>5.5899999999998728</v>
      </c>
      <c r="AK97" s="14">
        <f t="shared" si="89"/>
        <v>2.1084588929503409</v>
      </c>
      <c r="AL97" s="22">
        <f t="shared" si="58"/>
        <v>13.408149238554955</v>
      </c>
      <c r="AM97" s="62">
        <f t="shared" si="59"/>
        <v>306.74148257188824</v>
      </c>
      <c r="AN97" s="62">
        <f ca="1">AVERAGE(OFFSET($AM$3,0,0,'Données projet'!$E$10+1,1))-AVERAGE(OFFSET($H$3,0,0,'Données projet'!$E$10+1,1))</f>
        <v>443.34220761968419</v>
      </c>
      <c r="AO97" s="62">
        <f t="shared" si="90"/>
        <v>546.58234447298014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2.3925988627826942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7.1638963218971836E-9</v>
      </c>
      <c r="AX97" s="23">
        <f t="shared" si="60"/>
        <v>2.3925988699465903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18.5</v>
      </c>
      <c r="N98" s="14">
        <f>IF('Données projet'!$A$36&gt;35,N97+M98-V97,IF(A98&lt;'Données projet'!$A$36,$K$205^A98,IF(A98='Données projet'!$A$36,'Données projet'!$B$36,N97+M98-V97)))</f>
        <v>630.49999999999989</v>
      </c>
      <c r="O98" s="14">
        <f>N98*VLOOKUP('Données projet'!$B$9,Paramètres!$A$1:$I$89,3,0)*VLOOKUP('Données projet'!$B$9,Paramètres!$A$1:$I$89,5,0)</f>
        <v>295.07399999999996</v>
      </c>
      <c r="P98" s="14">
        <f t="shared" si="87"/>
        <v>70.142791709481173</v>
      </c>
      <c r="Q98" s="22">
        <f t="shared" si="54"/>
        <v>636.08591222734628</v>
      </c>
      <c r="R98" s="62">
        <f t="shared" si="55"/>
        <v>929.41924556067966</v>
      </c>
      <c r="S98" s="62">
        <f ca="1">AVERAGE(OFFSET($R$3,0,0,'Données projet'!$E$9+1,1))-AVERAGE(OFFSET($H$3,0,0,'Données projet'!$E$9+1,1))</f>
        <v>396.92963589781414</v>
      </c>
      <c r="T98" s="62">
        <f t="shared" si="88"/>
        <v>294.38852181137639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9.9999999999997726</v>
      </c>
      <c r="AJ98" s="14">
        <f>AI98*VLOOKUP('Données projet'!$B$10,Paramètres!$A$1:$I$89,3,0)*VLOOKUP('Données projet'!$B$10,Paramètres!$A$1:$I$89,5,0)</f>
        <v>5.5899999999998728</v>
      </c>
      <c r="AK98" s="14">
        <f t="shared" si="89"/>
        <v>2.1084588929503409</v>
      </c>
      <c r="AL98" s="22">
        <f t="shared" si="58"/>
        <v>13.408149238554955</v>
      </c>
      <c r="AM98" s="62">
        <f t="shared" si="59"/>
        <v>306.74148257188824</v>
      </c>
      <c r="AN98" s="62">
        <f ca="1">AVERAGE(OFFSET($AM$3,0,0,'Données projet'!$E$10+1,1))-AVERAGE(OFFSET($H$3,0,0,'Données projet'!$E$10+1,1))</f>
        <v>443.34220761968419</v>
      </c>
      <c r="AO98" s="62">
        <f t="shared" si="90"/>
        <v>546.58234447298014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2.3456814584247341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5.0656396689308644E-9</v>
      </c>
      <c r="AX98" s="23">
        <f t="shared" si="60"/>
        <v>2.3456814634903735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18.5</v>
      </c>
      <c r="N99" s="14">
        <f>IF('Données projet'!$A$36&gt;35,N98+M99-V98,IF(A99&lt;'Données projet'!$A$36,$K$205^A99,IF(A99='Données projet'!$A$36,'Données projet'!$B$36,N98+M99-V98)))</f>
        <v>648.99999999999989</v>
      </c>
      <c r="O99" s="14">
        <f>N99*VLOOKUP('Données projet'!$B$9,Paramètres!$A$1:$I$89,3,0)*VLOOKUP('Données projet'!$B$9,Paramètres!$A$1:$I$89,5,0)</f>
        <v>303.73199999999997</v>
      </c>
      <c r="P99" s="14">
        <f t="shared" si="87"/>
        <v>71.958270185981476</v>
      </c>
      <c r="Q99" s="22">
        <f t="shared" ref="Q99:Q130" si="107">(O99+P99)*0.475*44/12</f>
        <v>654.32722057391766</v>
      </c>
      <c r="R99" s="62">
        <f t="shared" si="55"/>
        <v>947.66055390725091</v>
      </c>
      <c r="S99" s="62">
        <f ca="1">AVERAGE(OFFSET($R$3,0,0,'Données projet'!$E$9+1,1))-AVERAGE(OFFSET($H$3,0,0,'Données projet'!$E$9+1,1))</f>
        <v>396.92963589781414</v>
      </c>
      <c r="T99" s="62">
        <f t="shared" si="88"/>
        <v>294.38852181137639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9.9999999999997726</v>
      </c>
      <c r="AJ99" s="14">
        <f>AI99*VLOOKUP('Données projet'!$B$10,Paramètres!$A$1:$I$89,3,0)*VLOOKUP('Données projet'!$B$10,Paramètres!$A$1:$I$89,5,0)</f>
        <v>5.5899999999998728</v>
      </c>
      <c r="AK99" s="14">
        <f t="shared" si="89"/>
        <v>2.1084588929503409</v>
      </c>
      <c r="AL99" s="22">
        <f t="shared" si="58"/>
        <v>13.408149238554955</v>
      </c>
      <c r="AM99" s="62">
        <f t="shared" si="59"/>
        <v>306.74148257188824</v>
      </c>
      <c r="AN99" s="62">
        <f ca="1">AVERAGE(OFFSET($AM$3,0,0,'Données projet'!$E$10+1,1))-AVERAGE(OFFSET($H$3,0,0,'Données projet'!$E$10+1,1))</f>
        <v>443.34220761968419</v>
      </c>
      <c r="AO99" s="62">
        <f t="shared" si="90"/>
        <v>546.58234447298014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2.2996840757494423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3.5819481609485918E-9</v>
      </c>
      <c r="AX99" s="23">
        <f t="shared" si="60"/>
        <v>2.2996840793313904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18.5</v>
      </c>
      <c r="N100" s="14">
        <f>IF('Données projet'!$A$36&gt;35,N99+M100-V99,IF(A100&lt;'Données projet'!$A$36,$K$205^A100,IF(A100='Données projet'!$A$36,'Données projet'!$B$36,N99+M100-V99)))</f>
        <v>667.49999999999989</v>
      </c>
      <c r="O100" s="14">
        <f>N100*VLOOKUP('Données projet'!$B$9,Paramètres!$A$1:$I$89,3,0)*VLOOKUP('Données projet'!$B$9,Paramètres!$A$1:$I$89,5,0)</f>
        <v>312.38999999999993</v>
      </c>
      <c r="P100" s="14">
        <f t="shared" si="87"/>
        <v>73.767733976388286</v>
      </c>
      <c r="Q100" s="22">
        <f t="shared" si="107"/>
        <v>672.55805334220952</v>
      </c>
      <c r="R100" s="62">
        <f t="shared" si="55"/>
        <v>965.89138667554289</v>
      </c>
      <c r="S100" s="62">
        <f ca="1">AVERAGE(OFFSET($R$3,0,0,'Données projet'!$E$9+1,1))-AVERAGE(OFFSET($H$3,0,0,'Données projet'!$E$9+1,1))</f>
        <v>396.92963589781414</v>
      </c>
      <c r="T100" s="62">
        <f t="shared" si="88"/>
        <v>294.38852181137639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9.9999999999997726</v>
      </c>
      <c r="AJ100" s="14">
        <f>AI100*VLOOKUP('Données projet'!$B$10,Paramètres!$A$1:$I$89,3,0)*VLOOKUP('Données projet'!$B$10,Paramètres!$A$1:$I$89,5,0)</f>
        <v>5.5899999999998728</v>
      </c>
      <c r="AK100" s="14">
        <f t="shared" si="89"/>
        <v>2.1084588929503409</v>
      </c>
      <c r="AL100" s="22">
        <f t="shared" si="58"/>
        <v>13.408149238554955</v>
      </c>
      <c r="AM100" s="62">
        <f t="shared" si="59"/>
        <v>306.74148257188824</v>
      </c>
      <c r="AN100" s="62">
        <f ca="1">AVERAGE(OFFSET($AM$3,0,0,'Données projet'!$E$10+1,1))-AVERAGE(OFFSET($H$3,0,0,'Données projet'!$E$10+1,1))</f>
        <v>443.34220761968419</v>
      </c>
      <c r="AO100" s="62">
        <f t="shared" si="90"/>
        <v>546.58234447298014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2.2545886736927798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2.5328198344654322E-9</v>
      </c>
      <c r="AX100" s="23">
        <f t="shared" si="60"/>
        <v>2.2545886762255996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18.5</v>
      </c>
      <c r="N101" s="14">
        <f>IF('Données projet'!$A$36&gt;35,N100+M101-V100,IF(A101&lt;'Données projet'!$A$36,$K$205^A101,IF(A101='Données projet'!$A$36,'Données projet'!$B$36,N100+M101-V100)))</f>
        <v>685.99999999999989</v>
      </c>
      <c r="O101" s="14">
        <f>N101*VLOOKUP('Données projet'!$B$9,Paramètres!$A$1:$I$89,3,0)*VLOOKUP('Données projet'!$B$9,Paramètres!$A$1:$I$89,5,0)</f>
        <v>321.04799999999994</v>
      </c>
      <c r="P101" s="14">
        <f t="shared" si="87"/>
        <v>75.571368931978697</v>
      </c>
      <c r="Q101" s="22">
        <f t="shared" si="107"/>
        <v>690.77873422319624</v>
      </c>
      <c r="R101" s="62">
        <f t="shared" si="55"/>
        <v>984.11206755652961</v>
      </c>
      <c r="S101" s="62">
        <f ca="1">AVERAGE(OFFSET($R$3,0,0,'Données projet'!$E$9+1,1))-AVERAGE(OFFSET($H$3,0,0,'Données projet'!$E$9+1,1))</f>
        <v>396.92963589781414</v>
      </c>
      <c r="T101" s="62">
        <f t="shared" si="88"/>
        <v>294.38852181137639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9.9999999999997726</v>
      </c>
      <c r="AJ101" s="14">
        <f>AI101*VLOOKUP('Données projet'!$B$10,Paramètres!$A$1:$I$89,3,0)*VLOOKUP('Données projet'!$B$10,Paramètres!$A$1:$I$89,5,0)</f>
        <v>5.5899999999998728</v>
      </c>
      <c r="AK101" s="14">
        <f t="shared" si="89"/>
        <v>2.1084588929503409</v>
      </c>
      <c r="AL101" s="22">
        <f t="shared" si="58"/>
        <v>13.408149238554955</v>
      </c>
      <c r="AM101" s="62">
        <f t="shared" si="59"/>
        <v>306.74148257188824</v>
      </c>
      <c r="AN101" s="62">
        <f ca="1">AVERAGE(OFFSET($AM$3,0,0,'Données projet'!$E$10+1,1))-AVERAGE(OFFSET($H$3,0,0,'Données projet'!$E$10+1,1))</f>
        <v>443.34220761968419</v>
      </c>
      <c r="AO101" s="62">
        <f t="shared" si="90"/>
        <v>546.58234447298014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2.2103775649649693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1.7909740804742959E-9</v>
      </c>
      <c r="AX101" s="23">
        <f t="shared" si="60"/>
        <v>2.2103775667559433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18.5</v>
      </c>
      <c r="N102" s="14">
        <f>IF('Données projet'!$A$36&gt;35,N101+M102-V101,IF(A102&lt;'Données projet'!$A$36,$K$205^A102,IF(A102='Données projet'!$A$36,'Données projet'!$B$36,N101+M102-V101)))</f>
        <v>704.49999999999989</v>
      </c>
      <c r="O102" s="14">
        <f>N102*VLOOKUP('Données projet'!$B$9,Paramètres!$A$1:$I$89,3,0)*VLOOKUP('Données projet'!$B$9,Paramètres!$A$1:$I$89,5,0)</f>
        <v>329.70599999999996</v>
      </c>
      <c r="P102" s="14">
        <f t="shared" si="87"/>
        <v>77.369350309333612</v>
      </c>
      <c r="Q102" s="22">
        <f t="shared" si="107"/>
        <v>708.98956845542261</v>
      </c>
      <c r="R102" s="62">
        <f t="shared" si="55"/>
        <v>1002.3229017887559</v>
      </c>
      <c r="S102" s="62">
        <f ca="1">AVERAGE(OFFSET($R$3,0,0,'Données projet'!$E$9+1,1))-AVERAGE(OFFSET($H$3,0,0,'Données projet'!$E$9+1,1))</f>
        <v>396.92963589781414</v>
      </c>
      <c r="T102" s="62">
        <f t="shared" si="88"/>
        <v>294.38852181137639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9.9999999999997726</v>
      </c>
      <c r="AJ102" s="14">
        <f>AI102*VLOOKUP('Données projet'!$B$10,Paramètres!$A$1:$I$89,3,0)*VLOOKUP('Données projet'!$B$10,Paramètres!$A$1:$I$89,5,0)</f>
        <v>5.5899999999998728</v>
      </c>
      <c r="AK102" s="14">
        <f t="shared" si="89"/>
        <v>2.1084588929503409</v>
      </c>
      <c r="AL102" s="22">
        <f t="shared" si="58"/>
        <v>13.408149238554955</v>
      </c>
      <c r="AM102" s="62">
        <f t="shared" si="59"/>
        <v>306.74148257188824</v>
      </c>
      <c r="AN102" s="62">
        <f ca="1">AVERAGE(OFFSET($AM$3,0,0,'Données projet'!$E$10+1,1))-AVERAGE(OFFSET($H$3,0,0,'Données projet'!$E$10+1,1))</f>
        <v>443.34220761968419</v>
      </c>
      <c r="AO102" s="62">
        <f t="shared" si="90"/>
        <v>546.58234447298014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2.1670334091131975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1.2664099172327161E-9</v>
      </c>
      <c r="AX102" s="23">
        <f t="shared" si="60"/>
        <v>2.1670334103796076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723</v>
      </c>
      <c r="L103" s="13">
        <f>VLOOKUP(A103,'Données projet'!$A$35:$I$55,9,0)</f>
        <v>18.5</v>
      </c>
      <c r="M103" s="13">
        <f t="array" ref="M103">INDEX(L:L,MIN(IF(ISNUMBER(L103:L299),ROW(L103:L299),"")))</f>
        <v>18.5</v>
      </c>
      <c r="N103" s="14">
        <f>IF('Données projet'!$A$36&gt;35,N102+M103-V102,IF(A103&lt;'Données projet'!$A$36,$K$205^A103,IF(A103='Données projet'!$A$36,'Données projet'!$B$36,N102+M103-V102)))</f>
        <v>722.99999999999989</v>
      </c>
      <c r="O103" s="14">
        <f>N103*VLOOKUP('Données projet'!$B$9,Paramètres!$A$1:$I$89,3,0)*VLOOKUP('Données projet'!$B$9,Paramètres!$A$1:$I$89,5,0)</f>
        <v>338.36399999999998</v>
      </c>
      <c r="P103" s="14">
        <f t="shared" si="87"/>
        <v>79.161843636443024</v>
      </c>
      <c r="Q103" s="22">
        <f t="shared" si="107"/>
        <v>727.19084433347155</v>
      </c>
      <c r="R103" s="62">
        <f t="shared" si="55"/>
        <v>1020.5241776668049</v>
      </c>
      <c r="S103" s="62">
        <f ca="1">AVERAGE(OFFSET($R$3,0,0,'Données projet'!$E$9+1,1))-AVERAGE(OFFSET($H$3,0,0,'Données projet'!$E$9+1,1))</f>
        <v>396.92963589781414</v>
      </c>
      <c r="T103" s="62">
        <f t="shared" si="88"/>
        <v>294.38852181137639</v>
      </c>
      <c r="U103" s="16">
        <f>IF(ISNA(VLOOKUP(A103,'Données projet'!$A$35:$I$55,3,0)),0,VLOOKUP(A103,'Données projet'!$A$35:$I$55,3,0))</f>
        <v>9</v>
      </c>
      <c r="V103" s="16">
        <f>IF(ISNA(VLOOKUP(A103,'Données projet'!$A$35:$I$55,4,0)),0,VLOOKUP(A103,'Données projet'!$A$35:$I$55,4,0))</f>
        <v>723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9.9999999999997726</v>
      </c>
      <c r="AJ103" s="14">
        <f>AI103*VLOOKUP('Données projet'!$B$10,Paramètres!$A$1:$I$89,3,0)*VLOOKUP('Données projet'!$B$10,Paramètres!$A$1:$I$89,5,0)</f>
        <v>5.5899999999998728</v>
      </c>
      <c r="AK103" s="14">
        <f t="shared" si="89"/>
        <v>2.1084588929503409</v>
      </c>
      <c r="AL103" s="22">
        <f t="shared" si="58"/>
        <v>13.408149238554955</v>
      </c>
      <c r="AM103" s="62">
        <f t="shared" si="59"/>
        <v>306.74148257188824</v>
      </c>
      <c r="AN103" s="62">
        <f ca="1">AVERAGE(OFFSET($AM$3,0,0,'Données projet'!$E$10+1,1))-AVERAGE(OFFSET($H$3,0,0,'Données projet'!$E$10+1,1))</f>
        <v>443.34220761968419</v>
      </c>
      <c r="AO103" s="62">
        <f t="shared" si="90"/>
        <v>546.58234447298014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2.1245392057203545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8.9548704023714795E-10</v>
      </c>
      <c r="AX103" s="23">
        <f t="shared" si="60"/>
        <v>2.1245392066158417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-1.1368683772161603E-13</v>
      </c>
      <c r="O104" s="14">
        <f>N104*VLOOKUP('Données projet'!$B$9,Paramètres!$A$1:$I$89,3,0)*VLOOKUP('Données projet'!$B$9,Paramètres!$A$1:$I$89,5,0)</f>
        <v>-5.3205440053716299E-14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396.92963589781414</v>
      </c>
      <c r="T104" s="62">
        <f t="shared" si="88"/>
        <v>294.38852181137639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9.9999999999997726</v>
      </c>
      <c r="AJ104" s="14">
        <f>AI104*VLOOKUP('Données projet'!$B$10,Paramètres!$A$1:$I$89,3,0)*VLOOKUP('Données projet'!$B$10,Paramètres!$A$1:$I$89,5,0)</f>
        <v>5.5899999999998728</v>
      </c>
      <c r="AK104" s="14">
        <f t="shared" si="89"/>
        <v>2.1084588929503409</v>
      </c>
      <c r="AL104" s="22">
        <f t="shared" si="58"/>
        <v>13.408149238554955</v>
      </c>
      <c r="AM104" s="62">
        <f t="shared" si="59"/>
        <v>306.74148257188824</v>
      </c>
      <c r="AN104" s="62">
        <f ca="1">AVERAGE(OFFSET($AM$3,0,0,'Données projet'!$E$10+1,1))-AVERAGE(OFFSET($H$3,0,0,'Données projet'!$E$10+1,1))</f>
        <v>443.34220761968419</v>
      </c>
      <c r="AO104" s="62">
        <f t="shared" si="90"/>
        <v>546.58234447298014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2.0828782877371403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6.3320495861635805E-10</v>
      </c>
      <c r="AX104" s="23">
        <f t="shared" si="60"/>
        <v>2.0828782883703454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-1.1368683772161603E-13</v>
      </c>
      <c r="O105" s="14">
        <f>N105*VLOOKUP('Données projet'!$B$9,Paramètres!$A$1:$I$89,3,0)*VLOOKUP('Données projet'!$B$9,Paramètres!$A$1:$I$89,5,0)</f>
        <v>-5.3205440053716299E-14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396.92963589781414</v>
      </c>
      <c r="T105" s="62">
        <f t="shared" si="88"/>
        <v>294.38852181137639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9.9999999999997726</v>
      </c>
      <c r="AJ105" s="14">
        <f>AI105*VLOOKUP('Données projet'!$B$10,Paramètres!$A$1:$I$89,3,0)*VLOOKUP('Données projet'!$B$10,Paramètres!$A$1:$I$89,5,0)</f>
        <v>5.5899999999998728</v>
      </c>
      <c r="AK105" s="14">
        <f t="shared" si="89"/>
        <v>2.1084588929503409</v>
      </c>
      <c r="AL105" s="22">
        <f t="shared" si="58"/>
        <v>13.408149238554955</v>
      </c>
      <c r="AM105" s="62">
        <f t="shared" si="59"/>
        <v>306.74148257188824</v>
      </c>
      <c r="AN105" s="62">
        <f ca="1">AVERAGE(OFFSET($AM$3,0,0,'Données projet'!$E$10+1,1))-AVERAGE(OFFSET($H$3,0,0,'Données projet'!$E$10+1,1))</f>
        <v>443.34220761968419</v>
      </c>
      <c r="AO105" s="62">
        <f t="shared" si="90"/>
        <v>546.58234447298014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2.0420343149449258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4.4774352011857397E-10</v>
      </c>
      <c r="AX105" s="23">
        <f t="shared" si="60"/>
        <v>2.0420343153926694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-1.1368683772161603E-13</v>
      </c>
      <c r="O106" s="14">
        <f>N106*VLOOKUP('Données projet'!$B$9,Paramètres!$A$1:$I$89,3,0)*VLOOKUP('Données projet'!$B$9,Paramètres!$A$1:$I$89,5,0)</f>
        <v>-5.3205440053716299E-14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396.92963589781414</v>
      </c>
      <c r="T106" s="62">
        <f t="shared" si="88"/>
        <v>294.38852181137639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9.9999999999997726</v>
      </c>
      <c r="AJ106" s="14">
        <f>AI106*VLOOKUP('Données projet'!$B$10,Paramètres!$A$1:$I$89,3,0)*VLOOKUP('Données projet'!$B$10,Paramètres!$A$1:$I$89,5,0)</f>
        <v>5.5899999999998728</v>
      </c>
      <c r="AK106" s="14">
        <f t="shared" si="89"/>
        <v>2.1084588929503409</v>
      </c>
      <c r="AL106" s="22">
        <f t="shared" si="58"/>
        <v>13.408149238554955</v>
      </c>
      <c r="AM106" s="62">
        <f t="shared" si="59"/>
        <v>306.74148257188824</v>
      </c>
      <c r="AN106" s="62">
        <f ca="1">AVERAGE(OFFSET($AM$3,0,0,'Données projet'!$E$10+1,1))-AVERAGE(OFFSET($H$3,0,0,'Données projet'!$E$10+1,1))</f>
        <v>443.34220761968419</v>
      </c>
      <c r="AO106" s="62">
        <f t="shared" si="90"/>
        <v>546.58234447298014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2.0019912675468032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3.1660247930817902E-10</v>
      </c>
      <c r="AX106" s="23">
        <f t="shared" si="60"/>
        <v>2.0019912678634055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-1.1368683772161603E-13</v>
      </c>
      <c r="O107" s="14">
        <f>N107*VLOOKUP('Données projet'!$B$9,Paramètres!$A$1:$I$89,3,0)*VLOOKUP('Données projet'!$B$9,Paramètres!$A$1:$I$89,5,0)</f>
        <v>-5.3205440053716299E-14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396.92963589781414</v>
      </c>
      <c r="T107" s="62">
        <f t="shared" si="88"/>
        <v>294.38852181137639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9.9999999999997726</v>
      </c>
      <c r="AJ107" s="14">
        <f>AI107*VLOOKUP('Données projet'!$B$10,Paramètres!$A$1:$I$89,3,0)*VLOOKUP('Données projet'!$B$10,Paramètres!$A$1:$I$89,5,0)</f>
        <v>5.5899999999998728</v>
      </c>
      <c r="AK107" s="14">
        <f t="shared" si="89"/>
        <v>2.1084588929503409</v>
      </c>
      <c r="AL107" s="22">
        <f t="shared" si="58"/>
        <v>13.408149238554955</v>
      </c>
      <c r="AM107" s="62">
        <f t="shared" si="59"/>
        <v>306.74148257188824</v>
      </c>
      <c r="AN107" s="62">
        <f ca="1">AVERAGE(OFFSET($AM$3,0,0,'Données projet'!$E$10+1,1))-AVERAGE(OFFSET($H$3,0,0,'Données projet'!$E$10+1,1))</f>
        <v>443.34220761968419</v>
      </c>
      <c r="AO107" s="62">
        <f t="shared" si="90"/>
        <v>546.58234447298014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1.9627334398843106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2.2387176005928699E-10</v>
      </c>
      <c r="AX107" s="23">
        <f t="shared" si="60"/>
        <v>1.9627334401081824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-1.1368683772161603E-13</v>
      </c>
      <c r="O108" s="14">
        <f>N108*VLOOKUP('Données projet'!$B$9,Paramètres!$A$1:$I$89,3,0)*VLOOKUP('Données projet'!$B$9,Paramètres!$A$1:$I$89,5,0)</f>
        <v>-5.3205440053716299E-14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396.92963589781414</v>
      </c>
      <c r="T108" s="62">
        <f t="shared" si="88"/>
        <v>294.38852181137639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9.9999999999997726</v>
      </c>
      <c r="AJ108" s="14">
        <f>AI108*VLOOKUP('Données projet'!$B$10,Paramètres!$A$1:$I$89,3,0)*VLOOKUP('Données projet'!$B$10,Paramètres!$A$1:$I$89,5,0)</f>
        <v>5.5899999999998728</v>
      </c>
      <c r="AK108" s="14">
        <f t="shared" si="89"/>
        <v>2.1084588929503409</v>
      </c>
      <c r="AL108" s="22">
        <f t="shared" si="58"/>
        <v>13.408149238554955</v>
      </c>
      <c r="AM108" s="62">
        <f t="shared" si="59"/>
        <v>306.74148257188824</v>
      </c>
      <c r="AN108" s="62">
        <f ca="1">AVERAGE(OFFSET($AM$3,0,0,'Données projet'!$E$10+1,1))-AVERAGE(OFFSET($H$3,0,0,'Données projet'!$E$10+1,1))</f>
        <v>443.34220761968419</v>
      </c>
      <c r="AO108" s="62">
        <f t="shared" si="90"/>
        <v>546.58234447298014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1.9242454342773689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1.5830123965408951E-10</v>
      </c>
      <c r="AX108" s="23">
        <f t="shared" si="60"/>
        <v>1.9242454344356701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-1.1368683772161603E-13</v>
      </c>
      <c r="O109" s="14">
        <f>N109*VLOOKUP('Données projet'!$B$9,Paramètres!$A$1:$I$89,3,0)*VLOOKUP('Données projet'!$B$9,Paramètres!$A$1:$I$89,5,0)</f>
        <v>-5.3205440053716299E-14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396.92963589781414</v>
      </c>
      <c r="T109" s="62">
        <f t="shared" si="88"/>
        <v>294.38852181137639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9.9999999999997726</v>
      </c>
      <c r="AJ109" s="14">
        <f>AI109*VLOOKUP('Données projet'!$B$10,Paramètres!$A$1:$I$89,3,0)*VLOOKUP('Données projet'!$B$10,Paramètres!$A$1:$I$89,5,0)</f>
        <v>5.5899999999998728</v>
      </c>
      <c r="AK109" s="14">
        <f t="shared" si="89"/>
        <v>2.1084588929503409</v>
      </c>
      <c r="AL109" s="22">
        <f t="shared" si="58"/>
        <v>13.408149238554955</v>
      </c>
      <c r="AM109" s="62">
        <f t="shared" si="59"/>
        <v>306.74148257188824</v>
      </c>
      <c r="AN109" s="62">
        <f ca="1">AVERAGE(OFFSET($AM$3,0,0,'Données projet'!$E$10+1,1))-AVERAGE(OFFSET($H$3,0,0,'Données projet'!$E$10+1,1))</f>
        <v>443.34220761968419</v>
      </c>
      <c r="AO109" s="62">
        <f t="shared" si="90"/>
        <v>546.58234447298014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1.8865121549850139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1.1193588002964349E-10</v>
      </c>
      <c r="AX109" s="23">
        <f t="shared" si="60"/>
        <v>1.8865121550969497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-1.1368683772161603E-13</v>
      </c>
      <c r="O110" s="14">
        <f>N110*VLOOKUP('Données projet'!$B$9,Paramètres!$A$1:$I$89,3,0)*VLOOKUP('Données projet'!$B$9,Paramètres!$A$1:$I$89,5,0)</f>
        <v>-5.3205440053716299E-14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396.92963589781414</v>
      </c>
      <c r="T110" s="62">
        <f t="shared" si="88"/>
        <v>294.38852181137639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9.9999999999997726</v>
      </c>
      <c r="AJ110" s="14">
        <f>AI110*VLOOKUP('Données projet'!$B$10,Paramètres!$A$1:$I$89,3,0)*VLOOKUP('Données projet'!$B$10,Paramètres!$A$1:$I$89,5,0)</f>
        <v>5.5899999999998728</v>
      </c>
      <c r="AK110" s="14">
        <f t="shared" si="89"/>
        <v>2.1084588929503409</v>
      </c>
      <c r="AL110" s="22">
        <f t="shared" si="58"/>
        <v>13.408149238554955</v>
      </c>
      <c r="AM110" s="62">
        <f t="shared" si="59"/>
        <v>306.74148257188824</v>
      </c>
      <c r="AN110" s="62">
        <f ca="1">AVERAGE(OFFSET($AM$3,0,0,'Données projet'!$E$10+1,1))-AVERAGE(OFFSET($H$3,0,0,'Données projet'!$E$10+1,1))</f>
        <v>443.34220761968419</v>
      </c>
      <c r="AO110" s="62">
        <f t="shared" si="90"/>
        <v>546.58234447298014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1.8495188022845541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7.9150619827044756E-11</v>
      </c>
      <c r="AX110" s="23">
        <f t="shared" si="60"/>
        <v>1.8495188023637048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-1.1368683772161603E-13</v>
      </c>
      <c r="O111" s="14">
        <f>N111*VLOOKUP('Données projet'!$B$9,Paramètres!$A$1:$I$89,3,0)*VLOOKUP('Données projet'!$B$9,Paramètres!$A$1:$I$89,5,0)</f>
        <v>-5.3205440053716299E-14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396.92963589781414</v>
      </c>
      <c r="T111" s="62">
        <f t="shared" si="88"/>
        <v>294.38852181137639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9.9999999999997726</v>
      </c>
      <c r="AJ111" s="14">
        <f>AI111*VLOOKUP('Données projet'!$B$10,Paramètres!$A$1:$I$89,3,0)*VLOOKUP('Données projet'!$B$10,Paramètres!$A$1:$I$89,5,0)</f>
        <v>5.5899999999998728</v>
      </c>
      <c r="AK111" s="14">
        <f t="shared" si="89"/>
        <v>2.1084588929503409</v>
      </c>
      <c r="AL111" s="22">
        <f t="shared" si="58"/>
        <v>13.408149238554955</v>
      </c>
      <c r="AM111" s="62">
        <f t="shared" si="59"/>
        <v>306.74148257188824</v>
      </c>
      <c r="AN111" s="62">
        <f ca="1">AVERAGE(OFFSET($AM$3,0,0,'Données projet'!$E$10+1,1))-AVERAGE(OFFSET($H$3,0,0,'Données projet'!$E$10+1,1))</f>
        <v>443.34220761968419</v>
      </c>
      <c r="AO111" s="62">
        <f t="shared" si="90"/>
        <v>546.58234447298014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1.8132508666668332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5.5967940014821747E-11</v>
      </c>
      <c r="AX111" s="23">
        <f t="shared" si="60"/>
        <v>1.8132508667228011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-1.1368683772161603E-13</v>
      </c>
      <c r="O112" s="14">
        <f>N112*VLOOKUP('Données projet'!$B$9,Paramètres!$A$1:$I$89,3,0)*VLOOKUP('Données projet'!$B$9,Paramètres!$A$1:$I$89,5,0)</f>
        <v>-5.3205440053716299E-14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396.92963589781414</v>
      </c>
      <c r="T112" s="62">
        <f t="shared" si="88"/>
        <v>294.38852181137639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9.9999999999997726</v>
      </c>
      <c r="AJ112" s="14">
        <f>AI112*VLOOKUP('Données projet'!$B$10,Paramètres!$A$1:$I$89,3,0)*VLOOKUP('Données projet'!$B$10,Paramètres!$A$1:$I$89,5,0)</f>
        <v>5.5899999999998728</v>
      </c>
      <c r="AK112" s="14">
        <f t="shared" si="89"/>
        <v>2.1084588929503409</v>
      </c>
      <c r="AL112" s="22">
        <f t="shared" si="58"/>
        <v>13.408149238554955</v>
      </c>
      <c r="AM112" s="62">
        <f t="shared" si="59"/>
        <v>306.74148257188824</v>
      </c>
      <c r="AN112" s="62">
        <f ca="1">AVERAGE(OFFSET($AM$3,0,0,'Données projet'!$E$10+1,1))-AVERAGE(OFFSET($H$3,0,0,'Données projet'!$E$10+1,1))</f>
        <v>443.34220761968419</v>
      </c>
      <c r="AO112" s="62">
        <f t="shared" si="90"/>
        <v>546.58234447298014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1.7776941231453194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3.9575309913522378E-11</v>
      </c>
      <c r="AX112" s="23">
        <f t="shared" si="60"/>
        <v>1.7776941231848946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-1.1368683772161603E-13</v>
      </c>
      <c r="O113" s="14">
        <f>N113*VLOOKUP('Données projet'!$B$9,Paramètres!$A$1:$I$89,3,0)*VLOOKUP('Données projet'!$B$9,Paramètres!$A$1:$I$89,5,0)</f>
        <v>-5.3205440053716299E-14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396.92963589781414</v>
      </c>
      <c r="T113" s="62">
        <f t="shared" si="88"/>
        <v>294.38852181137639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9.9999999999997726</v>
      </c>
      <c r="AJ113" s="14">
        <f>AI113*VLOOKUP('Données projet'!$B$10,Paramètres!$A$1:$I$89,3,0)*VLOOKUP('Données projet'!$B$10,Paramètres!$A$1:$I$89,5,0)</f>
        <v>5.5899999999998728</v>
      </c>
      <c r="AK113" s="14">
        <f t="shared" si="89"/>
        <v>2.1084588929503409</v>
      </c>
      <c r="AL113" s="22">
        <f t="shared" si="58"/>
        <v>13.408149238554955</v>
      </c>
      <c r="AM113" s="62">
        <f t="shared" si="59"/>
        <v>306.74148257188824</v>
      </c>
      <c r="AN113" s="62">
        <f ca="1">AVERAGE(OFFSET($AM$3,0,0,'Données projet'!$E$10+1,1))-AVERAGE(OFFSET($H$3,0,0,'Données projet'!$E$10+1,1))</f>
        <v>443.34220761968419</v>
      </c>
      <c r="AO113" s="62">
        <f t="shared" si="90"/>
        <v>546.58234447298014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1.7428346256767904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2.7983970007410873E-11</v>
      </c>
      <c r="AX113" s="23">
        <f t="shared" si="60"/>
        <v>1.7428346257047744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-1.1368683772161603E-13</v>
      </c>
      <c r="O114" s="14">
        <f>N114*VLOOKUP('Données projet'!$B$9,Paramètres!$A$1:$I$89,3,0)*VLOOKUP('Données projet'!$B$9,Paramètres!$A$1:$I$89,5,0)</f>
        <v>-5.3205440053716299E-14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396.92963589781414</v>
      </c>
      <c r="T114" s="62">
        <f t="shared" si="88"/>
        <v>294.38852181137639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9.9999999999997726</v>
      </c>
      <c r="AJ114" s="14">
        <f>AI114*VLOOKUP('Données projet'!$B$10,Paramètres!$A$1:$I$89,3,0)*VLOOKUP('Données projet'!$B$10,Paramètres!$A$1:$I$89,5,0)</f>
        <v>5.5899999999998728</v>
      </c>
      <c r="AK114" s="14">
        <f t="shared" si="89"/>
        <v>2.1084588929503409</v>
      </c>
      <c r="AL114" s="22">
        <f t="shared" si="58"/>
        <v>13.408149238554955</v>
      </c>
      <c r="AM114" s="62">
        <f t="shared" si="59"/>
        <v>306.74148257188824</v>
      </c>
      <c r="AN114" s="62">
        <f ca="1">AVERAGE(OFFSET($AM$3,0,0,'Données projet'!$E$10+1,1))-AVERAGE(OFFSET($H$3,0,0,'Données projet'!$E$10+1,1))</f>
        <v>443.34220761968419</v>
      </c>
      <c r="AO114" s="62">
        <f t="shared" si="90"/>
        <v>546.58234447298014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1.7086587016914252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1.9787654956761189E-11</v>
      </c>
      <c r="AX114" s="23">
        <f t="shared" si="60"/>
        <v>1.7086587017112129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-1.1368683772161603E-13</v>
      </c>
      <c r="O115" s="14">
        <f>N115*VLOOKUP('Données projet'!$B$9,Paramètres!$A$1:$I$89,3,0)*VLOOKUP('Données projet'!$B$9,Paramètres!$A$1:$I$89,5,0)</f>
        <v>-5.3205440053716299E-14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396.92963589781414</v>
      </c>
      <c r="T115" s="62">
        <f t="shared" si="88"/>
        <v>294.38852181137639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9.9999999999997726</v>
      </c>
      <c r="AJ115" s="14">
        <f>AI115*VLOOKUP('Données projet'!$B$10,Paramètres!$A$1:$I$89,3,0)*VLOOKUP('Données projet'!$B$10,Paramètres!$A$1:$I$89,5,0)</f>
        <v>5.5899999999998728</v>
      </c>
      <c r="AK115" s="14">
        <f t="shared" si="89"/>
        <v>2.1084588929503409</v>
      </c>
      <c r="AL115" s="22">
        <f t="shared" si="58"/>
        <v>13.408149238554955</v>
      </c>
      <c r="AM115" s="62">
        <f t="shared" si="59"/>
        <v>306.74148257188824</v>
      </c>
      <c r="AN115" s="62">
        <f ca="1">AVERAGE(OFFSET($AM$3,0,0,'Données projet'!$E$10+1,1))-AVERAGE(OFFSET($H$3,0,0,'Données projet'!$E$10+1,1))</f>
        <v>443.34220761968419</v>
      </c>
      <c r="AO115" s="62">
        <f t="shared" si="90"/>
        <v>546.58234447298014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1.6751529467301578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1.3991985003705437E-11</v>
      </c>
      <c r="AX115" s="23">
        <f t="shared" si="60"/>
        <v>1.6751529467441497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-1.1368683772161603E-13</v>
      </c>
      <c r="O116" s="14">
        <f>N116*VLOOKUP('Données projet'!$B$9,Paramètres!$A$1:$I$89,3,0)*VLOOKUP('Données projet'!$B$9,Paramètres!$A$1:$I$89,5,0)</f>
        <v>-5.3205440053716299E-14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396.92963589781414</v>
      </c>
      <c r="T116" s="62">
        <f t="shared" si="88"/>
        <v>294.38852181137639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9.9999999999997726</v>
      </c>
      <c r="AJ116" s="14">
        <f>AI116*VLOOKUP('Données projet'!$B$10,Paramètres!$A$1:$I$89,3,0)*VLOOKUP('Données projet'!$B$10,Paramètres!$A$1:$I$89,5,0)</f>
        <v>5.5899999999998728</v>
      </c>
      <c r="AK116" s="14">
        <f t="shared" si="89"/>
        <v>2.1084588929503409</v>
      </c>
      <c r="AL116" s="22">
        <f t="shared" si="58"/>
        <v>13.408149238554955</v>
      </c>
      <c r="AM116" s="62">
        <f t="shared" si="59"/>
        <v>306.74148257188824</v>
      </c>
      <c r="AN116" s="62">
        <f ca="1">AVERAGE(OFFSET($AM$3,0,0,'Données projet'!$E$10+1,1))-AVERAGE(OFFSET($H$3,0,0,'Données projet'!$E$10+1,1))</f>
        <v>443.34220761968419</v>
      </c>
      <c r="AO116" s="62">
        <f t="shared" si="90"/>
        <v>546.58234447298014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1.6423042191871882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9.8938274783805945E-12</v>
      </c>
      <c r="AX116" s="23">
        <f t="shared" si="60"/>
        <v>1.642304219197082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-1.1368683772161603E-13</v>
      </c>
      <c r="O117" s="14">
        <f>N117*VLOOKUP('Données projet'!$B$9,Paramètres!$A$1:$I$89,3,0)*VLOOKUP('Données projet'!$B$9,Paramètres!$A$1:$I$89,5,0)</f>
        <v>-5.3205440053716299E-14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396.92963589781414</v>
      </c>
      <c r="T117" s="62">
        <f t="shared" si="88"/>
        <v>294.38852181137639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9.9999999999997726</v>
      </c>
      <c r="AJ117" s="14">
        <f>AI117*VLOOKUP('Données projet'!$B$10,Paramètres!$A$1:$I$89,3,0)*VLOOKUP('Données projet'!$B$10,Paramètres!$A$1:$I$89,5,0)</f>
        <v>5.5899999999998728</v>
      </c>
      <c r="AK117" s="14">
        <f t="shared" si="89"/>
        <v>2.1084588929503409</v>
      </c>
      <c r="AL117" s="22">
        <f t="shared" si="58"/>
        <v>13.408149238554955</v>
      </c>
      <c r="AM117" s="62">
        <f t="shared" si="59"/>
        <v>306.74148257188824</v>
      </c>
      <c r="AN117" s="62">
        <f ca="1">AVERAGE(OFFSET($AM$3,0,0,'Données projet'!$E$10+1,1))-AVERAGE(OFFSET($H$3,0,0,'Données projet'!$E$10+1,1))</f>
        <v>443.34220761968419</v>
      </c>
      <c r="AO117" s="62">
        <f t="shared" si="90"/>
        <v>546.58234447298014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1.6100996351555907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6.9959925018527184E-12</v>
      </c>
      <c r="AX117" s="23">
        <f t="shared" si="60"/>
        <v>1.6100996351625867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-1.1368683772161603E-13</v>
      </c>
      <c r="O118" s="14">
        <f>N118*VLOOKUP('Données projet'!$B$9,Paramètres!$A$1:$I$89,3,0)*VLOOKUP('Données projet'!$B$9,Paramètres!$A$1:$I$89,5,0)</f>
        <v>-5.3205440053716299E-14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396.92963589781414</v>
      </c>
      <c r="T118" s="62">
        <f t="shared" si="88"/>
        <v>294.38852181137639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9.9999999999997726</v>
      </c>
      <c r="AJ118" s="14">
        <f>AI118*VLOOKUP('Données projet'!$B$10,Paramètres!$A$1:$I$89,3,0)*VLOOKUP('Données projet'!$B$10,Paramètres!$A$1:$I$89,5,0)</f>
        <v>5.5899999999998728</v>
      </c>
      <c r="AK118" s="14">
        <f t="shared" si="89"/>
        <v>2.1084588929503409</v>
      </c>
      <c r="AL118" s="22">
        <f t="shared" si="58"/>
        <v>13.408149238554955</v>
      </c>
      <c r="AM118" s="62">
        <f t="shared" si="59"/>
        <v>306.74148257188824</v>
      </c>
      <c r="AN118" s="62">
        <f ca="1">AVERAGE(OFFSET($AM$3,0,0,'Données projet'!$E$10+1,1))-AVERAGE(OFFSET($H$3,0,0,'Données projet'!$E$10+1,1))</f>
        <v>443.34220761968419</v>
      </c>
      <c r="AO118" s="62">
        <f t="shared" si="90"/>
        <v>546.58234447298014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1.5785265633739962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4.9469137391902972E-12</v>
      </c>
      <c r="AX118" s="23">
        <f t="shared" si="60"/>
        <v>1.5785265633789431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-1.1368683772161603E-13</v>
      </c>
      <c r="O119" s="14">
        <f>N119*VLOOKUP('Données projet'!$B$9,Paramètres!$A$1:$I$89,3,0)*VLOOKUP('Données projet'!$B$9,Paramètres!$A$1:$I$89,5,0)</f>
        <v>-5.3205440053716299E-14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396.92963589781414</v>
      </c>
      <c r="T119" s="62">
        <f t="shared" si="88"/>
        <v>294.38852181137639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9.9999999999997726</v>
      </c>
      <c r="AJ119" s="14">
        <f>AI119*VLOOKUP('Données projet'!$B$10,Paramètres!$A$1:$I$89,3,0)*VLOOKUP('Données projet'!$B$10,Paramètres!$A$1:$I$89,5,0)</f>
        <v>5.5899999999998728</v>
      </c>
      <c r="AK119" s="14">
        <f t="shared" si="89"/>
        <v>2.1084588929503409</v>
      </c>
      <c r="AL119" s="22">
        <f t="shared" si="58"/>
        <v>13.408149238554955</v>
      </c>
      <c r="AM119" s="62">
        <f t="shared" si="59"/>
        <v>306.74148257188824</v>
      </c>
      <c r="AN119" s="62">
        <f ca="1">AVERAGE(OFFSET($AM$3,0,0,'Données projet'!$E$10+1,1))-AVERAGE(OFFSET($H$3,0,0,'Données projet'!$E$10+1,1))</f>
        <v>443.34220761968419</v>
      </c>
      <c r="AO119" s="62">
        <f t="shared" si="90"/>
        <v>546.58234447298014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1.5475726202723665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3.4979962509263592E-12</v>
      </c>
      <c r="AX119" s="23">
        <f t="shared" si="60"/>
        <v>1.5475726202758646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-1.1368683772161603E-13</v>
      </c>
      <c r="O120" s="14">
        <f>N120*VLOOKUP('Données projet'!$B$9,Paramètres!$A$1:$I$89,3,0)*VLOOKUP('Données projet'!$B$9,Paramètres!$A$1:$I$89,5,0)</f>
        <v>-5.3205440053716299E-14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396.92963589781414</v>
      </c>
      <c r="T120" s="62">
        <f t="shared" si="88"/>
        <v>294.38852181137639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9.9999999999997726</v>
      </c>
      <c r="AJ120" s="14">
        <f>AI120*VLOOKUP('Données projet'!$B$10,Paramètres!$A$1:$I$89,3,0)*VLOOKUP('Données projet'!$B$10,Paramètres!$A$1:$I$89,5,0)</f>
        <v>5.5899999999998728</v>
      </c>
      <c r="AK120" s="14">
        <f t="shared" si="89"/>
        <v>2.1084588929503409</v>
      </c>
      <c r="AL120" s="22">
        <f t="shared" si="58"/>
        <v>13.408149238554955</v>
      </c>
      <c r="AM120" s="62">
        <f t="shared" si="59"/>
        <v>306.74148257188824</v>
      </c>
      <c r="AN120" s="62">
        <f ca="1">AVERAGE(OFFSET($AM$3,0,0,'Données projet'!$E$10+1,1))-AVERAGE(OFFSET($H$3,0,0,'Données projet'!$E$10+1,1))</f>
        <v>443.34220761968419</v>
      </c>
      <c r="AO120" s="62">
        <f t="shared" si="90"/>
        <v>546.58234447298014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1.5172256651149187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2.4734568695951486E-12</v>
      </c>
      <c r="AX120" s="23">
        <f t="shared" si="60"/>
        <v>1.5172256651173921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-1.1368683772161603E-13</v>
      </c>
      <c r="O121" s="14">
        <f>N121*VLOOKUP('Données projet'!$B$9,Paramètres!$A$1:$I$89,3,0)*VLOOKUP('Données projet'!$B$9,Paramètres!$A$1:$I$89,5,0)</f>
        <v>-5.3205440053716299E-14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396.92963589781414</v>
      </c>
      <c r="T121" s="62">
        <f t="shared" si="88"/>
        <v>294.38852181137639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9.9999999999997726</v>
      </c>
      <c r="AJ121" s="14">
        <f>AI121*VLOOKUP('Données projet'!$B$10,Paramètres!$A$1:$I$89,3,0)*VLOOKUP('Données projet'!$B$10,Paramètres!$A$1:$I$89,5,0)</f>
        <v>5.5899999999998728</v>
      </c>
      <c r="AK121" s="14">
        <f t="shared" si="89"/>
        <v>2.1084588929503409</v>
      </c>
      <c r="AL121" s="22">
        <f t="shared" si="58"/>
        <v>13.408149238554955</v>
      </c>
      <c r="AM121" s="62">
        <f t="shared" si="59"/>
        <v>306.74148257188824</v>
      </c>
      <c r="AN121" s="62">
        <f ca="1">AVERAGE(OFFSET($AM$3,0,0,'Données projet'!$E$10+1,1))-AVERAGE(OFFSET($H$3,0,0,'Données projet'!$E$10+1,1))</f>
        <v>443.34220761968419</v>
      </c>
      <c r="AO121" s="62">
        <f t="shared" si="90"/>
        <v>546.58234447298014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1.4874737952382937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1.7489981254631796E-12</v>
      </c>
      <c r="AX121" s="23">
        <f t="shared" si="60"/>
        <v>1.4874737952400428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-1.1368683772161603E-13</v>
      </c>
      <c r="O122" s="14">
        <f>N122*VLOOKUP('Données projet'!$B$9,Paramètres!$A$1:$I$89,3,0)*VLOOKUP('Données projet'!$B$9,Paramètres!$A$1:$I$89,5,0)</f>
        <v>-5.3205440053716299E-14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396.92963589781414</v>
      </c>
      <c r="T122" s="62">
        <f t="shared" si="88"/>
        <v>294.38852181137639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9.9999999999997726</v>
      </c>
      <c r="AJ122" s="14">
        <f>AI122*VLOOKUP('Données projet'!$B$10,Paramètres!$A$1:$I$89,3,0)*VLOOKUP('Données projet'!$B$10,Paramètres!$A$1:$I$89,5,0)</f>
        <v>5.5899999999998728</v>
      </c>
      <c r="AK122" s="14">
        <f t="shared" si="89"/>
        <v>2.1084588929503409</v>
      </c>
      <c r="AL122" s="22">
        <f t="shared" si="58"/>
        <v>13.408149238554955</v>
      </c>
      <c r="AM122" s="62">
        <f t="shared" si="59"/>
        <v>306.74148257188824</v>
      </c>
      <c r="AN122" s="62">
        <f ca="1">AVERAGE(OFFSET($AM$3,0,0,'Données projet'!$E$10+1,1))-AVERAGE(OFFSET($H$3,0,0,'Données projet'!$E$10+1,1))</f>
        <v>443.34220761968419</v>
      </c>
      <c r="AO122" s="62">
        <f t="shared" si="90"/>
        <v>546.58234447298014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1.4583053413831004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1.2367284347975743E-12</v>
      </c>
      <c r="AX122" s="23">
        <f t="shared" si="60"/>
        <v>1.4583053413843372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-1.1368683772161603E-13</v>
      </c>
      <c r="O123" s="14">
        <f>N123*VLOOKUP('Données projet'!$B$9,Paramètres!$A$1:$I$89,3,0)*VLOOKUP('Données projet'!$B$9,Paramètres!$A$1:$I$89,5,0)</f>
        <v>-5.3205440053716299E-14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396.92963589781414</v>
      </c>
      <c r="T123" s="62">
        <f t="shared" si="88"/>
        <v>294.38852181137639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9.9999999999997726</v>
      </c>
      <c r="AJ123" s="14">
        <f>AI123*VLOOKUP('Données projet'!$B$10,Paramètres!$A$1:$I$89,3,0)*VLOOKUP('Données projet'!$B$10,Paramètres!$A$1:$I$89,5,0)</f>
        <v>5.5899999999998728</v>
      </c>
      <c r="AK123" s="14">
        <f t="shared" si="89"/>
        <v>2.1084588929503409</v>
      </c>
      <c r="AL123" s="22">
        <f t="shared" si="58"/>
        <v>13.408149238554955</v>
      </c>
      <c r="AM123" s="62">
        <f t="shared" si="59"/>
        <v>306.74148257188824</v>
      </c>
      <c r="AN123" s="62">
        <f ca="1">AVERAGE(OFFSET($AM$3,0,0,'Données projet'!$E$10+1,1))-AVERAGE(OFFSET($H$3,0,0,'Données projet'!$E$10+1,1))</f>
        <v>443.34220761968419</v>
      </c>
      <c r="AO123" s="62">
        <f t="shared" si="90"/>
        <v>546.58234447298014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1.4297088631170074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8.7449906273158979E-13</v>
      </c>
      <c r="AX123" s="23">
        <f t="shared" si="60"/>
        <v>1.4297088631178818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-1.1368683772161603E-13</v>
      </c>
      <c r="O124" s="14">
        <f>N124*VLOOKUP('Données projet'!$B$9,Paramètres!$A$1:$I$89,3,0)*VLOOKUP('Données projet'!$B$9,Paramètres!$A$1:$I$89,5,0)</f>
        <v>-5.3205440053716299E-14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396.92963589781414</v>
      </c>
      <c r="T124" s="62">
        <f t="shared" si="88"/>
        <v>294.38852181137639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9.9999999999997726</v>
      </c>
      <c r="AJ124" s="14">
        <f>AI124*VLOOKUP('Données projet'!$B$10,Paramètres!$A$1:$I$89,3,0)*VLOOKUP('Données projet'!$B$10,Paramètres!$A$1:$I$89,5,0)</f>
        <v>5.5899999999998728</v>
      </c>
      <c r="AK124" s="14">
        <f t="shared" si="89"/>
        <v>2.1084588929503409</v>
      </c>
      <c r="AL124" s="22">
        <f t="shared" si="58"/>
        <v>13.408149238554955</v>
      </c>
      <c r="AM124" s="62">
        <f t="shared" si="59"/>
        <v>306.74148257188824</v>
      </c>
      <c r="AN124" s="62">
        <f ca="1">AVERAGE(OFFSET($AM$3,0,0,'Données projet'!$E$10+1,1))-AVERAGE(OFFSET($H$3,0,0,'Données projet'!$E$10+1,1))</f>
        <v>443.34220761968419</v>
      </c>
      <c r="AO124" s="62">
        <f t="shared" si="90"/>
        <v>546.58234447298014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1.4016731443475829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6.1836421739878716E-13</v>
      </c>
      <c r="AX124" s="23">
        <f t="shared" si="60"/>
        <v>1.4016731443482013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-1.1368683772161603E-13</v>
      </c>
      <c r="O125" s="14">
        <f>N125*VLOOKUP('Données projet'!$B$9,Paramètres!$A$1:$I$89,3,0)*VLOOKUP('Données projet'!$B$9,Paramètres!$A$1:$I$89,5,0)</f>
        <v>-5.3205440053716299E-14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396.92963589781414</v>
      </c>
      <c r="T125" s="62">
        <f t="shared" si="88"/>
        <v>294.38852181137639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9.9999999999997726</v>
      </c>
      <c r="AJ125" s="14">
        <f>AI125*VLOOKUP('Données projet'!$B$10,Paramètres!$A$1:$I$89,3,0)*VLOOKUP('Données projet'!$B$10,Paramètres!$A$1:$I$89,5,0)</f>
        <v>5.5899999999998728</v>
      </c>
      <c r="AK125" s="14">
        <f t="shared" si="89"/>
        <v>2.1084588929503409</v>
      </c>
      <c r="AL125" s="22">
        <f t="shared" si="58"/>
        <v>13.408149238554955</v>
      </c>
      <c r="AM125" s="62">
        <f t="shared" si="59"/>
        <v>306.74148257188824</v>
      </c>
      <c r="AN125" s="62">
        <f ca="1">AVERAGE(OFFSET($AM$3,0,0,'Données projet'!$E$10+1,1))-AVERAGE(OFFSET($H$3,0,0,'Données projet'!$E$10+1,1))</f>
        <v>443.34220761968419</v>
      </c>
      <c r="AO125" s="62">
        <f t="shared" si="90"/>
        <v>546.58234447298014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1.374187188923127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4.372495313657949E-13</v>
      </c>
      <c r="AX125" s="23">
        <f t="shared" si="60"/>
        <v>1.3741871889235642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-1.1368683772161603E-13</v>
      </c>
      <c r="O126" s="14">
        <f>N126*VLOOKUP('Données projet'!$B$9,Paramètres!$A$1:$I$89,3,0)*VLOOKUP('Données projet'!$B$9,Paramètres!$A$1:$I$89,5,0)</f>
        <v>-5.3205440053716299E-14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396.92963589781414</v>
      </c>
      <c r="T126" s="62">
        <f t="shared" si="88"/>
        <v>294.38852181137639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9.9999999999997726</v>
      </c>
      <c r="AJ126" s="14">
        <f>AI126*VLOOKUP('Données projet'!$B$10,Paramètres!$A$1:$I$89,3,0)*VLOOKUP('Données projet'!$B$10,Paramètres!$A$1:$I$89,5,0)</f>
        <v>5.5899999999998728</v>
      </c>
      <c r="AK126" s="14">
        <f t="shared" si="89"/>
        <v>2.1084588929503409</v>
      </c>
      <c r="AL126" s="22">
        <f t="shared" si="58"/>
        <v>13.408149238554955</v>
      </c>
      <c r="AM126" s="62">
        <f t="shared" si="59"/>
        <v>306.74148257188824</v>
      </c>
      <c r="AN126" s="62">
        <f ca="1">AVERAGE(OFFSET($AM$3,0,0,'Données projet'!$E$10+1,1))-AVERAGE(OFFSET($H$3,0,0,'Données projet'!$E$10+1,1))</f>
        <v>443.34220761968419</v>
      </c>
      <c r="AO126" s="62">
        <f t="shared" si="90"/>
        <v>546.58234447298014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1.3472402163197672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3.0918210869939358E-13</v>
      </c>
      <c r="AX126" s="23">
        <f t="shared" si="60"/>
        <v>1.3472402163200763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-1.1368683772161603E-13</v>
      </c>
      <c r="O127" s="14">
        <f>N127*VLOOKUP('Données projet'!$B$9,Paramètres!$A$1:$I$89,3,0)*VLOOKUP('Données projet'!$B$9,Paramètres!$A$1:$I$89,5,0)</f>
        <v>-5.3205440053716299E-14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396.92963589781414</v>
      </c>
      <c r="T127" s="62">
        <f t="shared" si="88"/>
        <v>294.38852181137639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9.9999999999997726</v>
      </c>
      <c r="AJ127" s="14">
        <f>AI127*VLOOKUP('Données projet'!$B$10,Paramètres!$A$1:$I$89,3,0)*VLOOKUP('Données projet'!$B$10,Paramètres!$A$1:$I$89,5,0)</f>
        <v>5.5899999999998728</v>
      </c>
      <c r="AK127" s="14">
        <f t="shared" si="89"/>
        <v>2.1084588929503409</v>
      </c>
      <c r="AL127" s="22">
        <f t="shared" si="58"/>
        <v>13.408149238554955</v>
      </c>
      <c r="AM127" s="62">
        <f t="shared" si="59"/>
        <v>306.74148257188824</v>
      </c>
      <c r="AN127" s="62">
        <f ca="1">AVERAGE(OFFSET($AM$3,0,0,'Données projet'!$E$10+1,1))-AVERAGE(OFFSET($H$3,0,0,'Données projet'!$E$10+1,1))</f>
        <v>443.34220761968419</v>
      </c>
      <c r="AO127" s="62">
        <f t="shared" si="90"/>
        <v>546.58234447298014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1.3208216574131288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2.1862476568289745E-13</v>
      </c>
      <c r="AX127" s="23">
        <f t="shared" si="60"/>
        <v>1.3208216574133476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-1.1368683772161603E-13</v>
      </c>
      <c r="O128" s="14">
        <f>N128*VLOOKUP('Données projet'!$B$9,Paramètres!$A$1:$I$89,3,0)*VLOOKUP('Données projet'!$B$9,Paramètres!$A$1:$I$89,5,0)</f>
        <v>-5.3205440053716299E-14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396.92963589781414</v>
      </c>
      <c r="T128" s="62">
        <f t="shared" si="88"/>
        <v>294.38852181137639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9.9999999999997726</v>
      </c>
      <c r="AJ128" s="14">
        <f>AI128*VLOOKUP('Données projet'!$B$10,Paramètres!$A$1:$I$89,3,0)*VLOOKUP('Données projet'!$B$10,Paramètres!$A$1:$I$89,5,0)</f>
        <v>5.5899999999998728</v>
      </c>
      <c r="AK128" s="14">
        <f t="shared" si="89"/>
        <v>2.1084588929503409</v>
      </c>
      <c r="AL128" s="22">
        <f t="shared" si="58"/>
        <v>13.408149238554955</v>
      </c>
      <c r="AM128" s="62">
        <f t="shared" si="59"/>
        <v>306.74148257188824</v>
      </c>
      <c r="AN128" s="62">
        <f ca="1">AVERAGE(OFFSET($AM$3,0,0,'Données projet'!$E$10+1,1))-AVERAGE(OFFSET($H$3,0,0,'Données projet'!$E$10+1,1))</f>
        <v>443.34220761968419</v>
      </c>
      <c r="AO128" s="62">
        <f t="shared" si="90"/>
        <v>546.58234447298014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1.2949211503329199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1.5459105434969679E-13</v>
      </c>
      <c r="AX128" s="23">
        <f t="shared" si="60"/>
        <v>1.2949211503330744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-1.1368683772161603E-13</v>
      </c>
      <c r="O129" s="14">
        <f>N129*VLOOKUP('Données projet'!$B$9,Paramètres!$A$1:$I$89,3,0)*VLOOKUP('Données projet'!$B$9,Paramètres!$A$1:$I$89,5,0)</f>
        <v>-5.3205440053716299E-14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396.92963589781414</v>
      </c>
      <c r="T129" s="62">
        <f t="shared" si="88"/>
        <v>294.38852181137639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9.9999999999997726</v>
      </c>
      <c r="AJ129" s="14">
        <f>AI129*VLOOKUP('Données projet'!$B$10,Paramètres!$A$1:$I$89,3,0)*VLOOKUP('Données projet'!$B$10,Paramètres!$A$1:$I$89,5,0)</f>
        <v>5.5899999999998728</v>
      </c>
      <c r="AK129" s="14">
        <f t="shared" si="89"/>
        <v>2.1084588929503409</v>
      </c>
      <c r="AL129" s="22">
        <f t="shared" si="58"/>
        <v>13.408149238554955</v>
      </c>
      <c r="AM129" s="62">
        <f t="shared" si="59"/>
        <v>306.74148257188824</v>
      </c>
      <c r="AN129" s="62">
        <f ca="1">AVERAGE(OFFSET($AM$3,0,0,'Données projet'!$E$10+1,1))-AVERAGE(OFFSET($H$3,0,0,'Données projet'!$E$10+1,1))</f>
        <v>443.34220761968419</v>
      </c>
      <c r="AO129" s="62">
        <f t="shared" si="90"/>
        <v>546.58234447298014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1.2695285363988045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1.0931238284144872E-13</v>
      </c>
      <c r="AX129" s="23">
        <f t="shared" si="60"/>
        <v>1.2695285363989137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-1.1368683772161603E-13</v>
      </c>
      <c r="O130" s="14">
        <f>N130*VLOOKUP('Données projet'!$B$9,Paramètres!$A$1:$I$89,3,0)*VLOOKUP('Données projet'!$B$9,Paramètres!$A$1:$I$89,5,0)</f>
        <v>-5.3205440053716299E-14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396.92963589781414</v>
      </c>
      <c r="T130" s="62">
        <f t="shared" si="88"/>
        <v>294.38852181137639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9.9999999999997726</v>
      </c>
      <c r="AJ130" s="14">
        <f>AI130*VLOOKUP('Données projet'!$B$10,Paramètres!$A$1:$I$89,3,0)*VLOOKUP('Données projet'!$B$10,Paramètres!$A$1:$I$89,5,0)</f>
        <v>5.5899999999998728</v>
      </c>
      <c r="AK130" s="14">
        <f t="shared" si="89"/>
        <v>2.1084588929503409</v>
      </c>
      <c r="AL130" s="22">
        <f t="shared" si="58"/>
        <v>13.408149238554955</v>
      </c>
      <c r="AM130" s="62">
        <f t="shared" si="59"/>
        <v>306.74148257188824</v>
      </c>
      <c r="AN130" s="62">
        <f ca="1">AVERAGE(OFFSET($AM$3,0,0,'Données projet'!$E$10+1,1))-AVERAGE(OFFSET($H$3,0,0,'Données projet'!$E$10+1,1))</f>
        <v>443.34220761968419</v>
      </c>
      <c r="AO130" s="62">
        <f t="shared" si="90"/>
        <v>546.58234447298014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1.2446338561359718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7.7295527174848394E-14</v>
      </c>
      <c r="AX130" s="23">
        <f t="shared" si="60"/>
        <v>1.244633856136049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-1.1368683772161603E-13</v>
      </c>
      <c r="O131" s="14">
        <f>N131*VLOOKUP('Données projet'!$B$9,Paramètres!$A$1:$I$89,3,0)*VLOOKUP('Données projet'!$B$9,Paramètres!$A$1:$I$89,5,0)</f>
        <v>-5.3205440053716299E-14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396.92963589781414</v>
      </c>
      <c r="T131" s="62">
        <f t="shared" si="88"/>
        <v>294.38852181137639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9.9999999999997726</v>
      </c>
      <c r="AJ131" s="14">
        <f>AI131*VLOOKUP('Données projet'!$B$10,Paramètres!$A$1:$I$89,3,0)*VLOOKUP('Données projet'!$B$10,Paramètres!$A$1:$I$89,5,0)</f>
        <v>5.5899999999998728</v>
      </c>
      <c r="AK131" s="14">
        <f t="shared" si="89"/>
        <v>2.1084588929503409</v>
      </c>
      <c r="AL131" s="22">
        <f t="shared" si="58"/>
        <v>13.408149238554955</v>
      </c>
      <c r="AM131" s="62">
        <f t="shared" si="59"/>
        <v>306.74148257188824</v>
      </c>
      <c r="AN131" s="62">
        <f ca="1">AVERAGE(OFFSET($AM$3,0,0,'Données projet'!$E$10+1,1))-AVERAGE(OFFSET($H$3,0,0,'Données projet'!$E$10+1,1))</f>
        <v>443.34220761968419</v>
      </c>
      <c r="AO131" s="62">
        <f t="shared" si="90"/>
        <v>546.58234447298014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1.2202273453688377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5.4656191420724362E-14</v>
      </c>
      <c r="AX131" s="23">
        <f t="shared" si="60"/>
        <v>1.2202273453688923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-1.1368683772161603E-13</v>
      </c>
      <c r="O132" s="14">
        <f>N132*VLOOKUP('Données projet'!$B$9,Paramètres!$A$1:$I$89,3,0)*VLOOKUP('Données projet'!$B$9,Paramètres!$A$1:$I$89,5,0)</f>
        <v>-5.3205440053716299E-14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396.92963589781414</v>
      </c>
      <c r="T132" s="62">
        <f t="shared" si="88"/>
        <v>294.38852181137639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9.9999999999997726</v>
      </c>
      <c r="AJ132" s="14">
        <f>AI132*VLOOKUP('Données projet'!$B$10,Paramètres!$A$1:$I$89,3,0)*VLOOKUP('Données projet'!$B$10,Paramètres!$A$1:$I$89,5,0)</f>
        <v>5.5899999999998728</v>
      </c>
      <c r="AK132" s="14">
        <f t="shared" si="89"/>
        <v>2.1084588929503409</v>
      </c>
      <c r="AL132" s="22">
        <f t="shared" ref="AL132:AL153" si="112">(AJ132+AK132)*0.475*44/12</f>
        <v>13.408149238554955</v>
      </c>
      <c r="AM132" s="62">
        <f t="shared" ref="AM132:AM195" si="113">AL132+(AD132+AE132)*44/12</f>
        <v>306.74148257188824</v>
      </c>
      <c r="AN132" s="62">
        <f ca="1">AVERAGE(OFFSET($AM$3,0,0,'Données projet'!$E$10+1,1))-AVERAGE(OFFSET($H$3,0,0,'Données projet'!$E$10+1,1))</f>
        <v>443.34220761968419</v>
      </c>
      <c r="AO132" s="62">
        <f t="shared" si="90"/>
        <v>546.58234447298014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1.1962994313913453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3.8647763587424197E-14</v>
      </c>
      <c r="AX132" s="23">
        <f t="shared" ref="AX132:AX153" si="114">SUM(AU132:AW132)</f>
        <v>1.1962994313913839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-1.1368683772161603E-13</v>
      </c>
      <c r="O133" s="14">
        <f>N133*VLOOKUP('Données projet'!$B$9,Paramètres!$A$1:$I$89,3,0)*VLOOKUP('Données projet'!$B$9,Paramètres!$A$1:$I$89,5,0)</f>
        <v>-5.3205440053716299E-14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396.92963589781414</v>
      </c>
      <c r="T133" s="62">
        <f t="shared" ref="T133:T196" si="142">$T$3</f>
        <v>294.38852181137639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9.9999999999997726</v>
      </c>
      <c r="AJ133" s="14">
        <f>AI133*VLOOKUP('Données projet'!$B$10,Paramètres!$A$1:$I$89,3,0)*VLOOKUP('Données projet'!$B$10,Paramètres!$A$1:$I$89,5,0)</f>
        <v>5.5899999999998728</v>
      </c>
      <c r="AK133" s="14">
        <f t="shared" ref="AK133:AK153" si="143">EXP(-1.0587+0.8836*LN(AJ133)+0.284)</f>
        <v>2.1084588929503409</v>
      </c>
      <c r="AL133" s="22">
        <f t="shared" si="112"/>
        <v>13.408149238554955</v>
      </c>
      <c r="AM133" s="62">
        <f t="shared" si="113"/>
        <v>306.74148257188824</v>
      </c>
      <c r="AN133" s="62">
        <f ca="1">AVERAGE(OFFSET($AM$3,0,0,'Données projet'!$E$10+1,1))-AVERAGE(OFFSET($H$3,0,0,'Données projet'!$E$10+1,1))</f>
        <v>443.34220761968419</v>
      </c>
      <c r="AO133" s="62">
        <f t="shared" ref="AO133:AO196" si="144">$AO$3</f>
        <v>546.58234447298014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1.1728407292123653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2.7328095710362181E-14</v>
      </c>
      <c r="AX133" s="23">
        <f t="shared" si="114"/>
        <v>1.1728407292123926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-1.1368683772161603E-13</v>
      </c>
      <c r="O134" s="14">
        <f>N134*VLOOKUP('Données projet'!$B$9,Paramètres!$A$1:$I$89,3,0)*VLOOKUP('Données projet'!$B$9,Paramètres!$A$1:$I$89,5,0)</f>
        <v>-5.3205440053716299E-14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396.92963589781414</v>
      </c>
      <c r="T134" s="62">
        <f t="shared" si="142"/>
        <v>294.38852181137639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9.9999999999997726</v>
      </c>
      <c r="AJ134" s="14">
        <f>AI134*VLOOKUP('Données projet'!$B$10,Paramètres!$A$1:$I$89,3,0)*VLOOKUP('Données projet'!$B$10,Paramètres!$A$1:$I$89,5,0)</f>
        <v>5.5899999999998728</v>
      </c>
      <c r="AK134" s="14">
        <f t="shared" si="143"/>
        <v>2.1084588929503409</v>
      </c>
      <c r="AL134" s="22">
        <f t="shared" si="112"/>
        <v>13.408149238554955</v>
      </c>
      <c r="AM134" s="62">
        <f t="shared" si="113"/>
        <v>306.74148257188824</v>
      </c>
      <c r="AN134" s="62">
        <f ca="1">AVERAGE(OFFSET($AM$3,0,0,'Données projet'!$E$10+1,1))-AVERAGE(OFFSET($H$3,0,0,'Données projet'!$E$10+1,1))</f>
        <v>443.34220761968419</v>
      </c>
      <c r="AO134" s="62">
        <f t="shared" si="144"/>
        <v>546.58234447298014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1.1498420378747194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1.9323881793712099E-14</v>
      </c>
      <c r="AX134" s="23">
        <f t="shared" si="114"/>
        <v>1.1498420378747387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-1.1368683772161603E-13</v>
      </c>
      <c r="O135" s="14">
        <f>N135*VLOOKUP('Données projet'!$B$9,Paramètres!$A$1:$I$89,3,0)*VLOOKUP('Données projet'!$B$9,Paramètres!$A$1:$I$89,5,0)</f>
        <v>-5.3205440053716299E-14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396.92963589781414</v>
      </c>
      <c r="T135" s="62">
        <f t="shared" si="142"/>
        <v>294.38852181137639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9.9999999999997726</v>
      </c>
      <c r="AJ135" s="14">
        <f>AI135*VLOOKUP('Données projet'!$B$10,Paramètres!$A$1:$I$89,3,0)*VLOOKUP('Données projet'!$B$10,Paramètres!$A$1:$I$89,5,0)</f>
        <v>5.5899999999998728</v>
      </c>
      <c r="AK135" s="14">
        <f t="shared" si="143"/>
        <v>2.1084588929503409</v>
      </c>
      <c r="AL135" s="22">
        <f t="shared" si="112"/>
        <v>13.408149238554955</v>
      </c>
      <c r="AM135" s="62">
        <f t="shared" si="113"/>
        <v>306.74148257188824</v>
      </c>
      <c r="AN135" s="62">
        <f ca="1">AVERAGE(OFFSET($AM$3,0,0,'Données projet'!$E$10+1,1))-AVERAGE(OFFSET($H$3,0,0,'Données projet'!$E$10+1,1))</f>
        <v>443.34220761968419</v>
      </c>
      <c r="AO135" s="62">
        <f t="shared" si="144"/>
        <v>546.58234447298014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1.1272943368463881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1.3664047855181091E-14</v>
      </c>
      <c r="AX135" s="23">
        <f t="shared" si="114"/>
        <v>1.1272943368464019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-1.1368683772161603E-13</v>
      </c>
      <c r="O136" s="14">
        <f>N136*VLOOKUP('Données projet'!$B$9,Paramètres!$A$1:$I$89,3,0)*VLOOKUP('Données projet'!$B$9,Paramètres!$A$1:$I$89,5,0)</f>
        <v>-5.3205440053716299E-14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396.92963589781414</v>
      </c>
      <c r="T136" s="62">
        <f t="shared" si="142"/>
        <v>294.38852181137639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9.9999999999997726</v>
      </c>
      <c r="AJ136" s="14">
        <f>AI136*VLOOKUP('Données projet'!$B$10,Paramètres!$A$1:$I$89,3,0)*VLOOKUP('Données projet'!$B$10,Paramètres!$A$1:$I$89,5,0)</f>
        <v>5.5899999999998728</v>
      </c>
      <c r="AK136" s="14">
        <f t="shared" si="143"/>
        <v>2.1084588929503409</v>
      </c>
      <c r="AL136" s="22">
        <f t="shared" si="112"/>
        <v>13.408149238554955</v>
      </c>
      <c r="AM136" s="62">
        <f t="shared" si="113"/>
        <v>306.74148257188824</v>
      </c>
      <c r="AN136" s="62">
        <f ca="1">AVERAGE(OFFSET($AM$3,0,0,'Données projet'!$E$10+1,1))-AVERAGE(OFFSET($H$3,0,0,'Données projet'!$E$10+1,1))</f>
        <v>443.34220761968419</v>
      </c>
      <c r="AO136" s="62">
        <f t="shared" si="144"/>
        <v>546.58234447298014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1.1051887824824829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9.6619408968560493E-15</v>
      </c>
      <c r="AX136" s="23">
        <f t="shared" si="114"/>
        <v>1.1051887824824926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-1.1368683772161603E-13</v>
      </c>
      <c r="O137" s="14">
        <f>N137*VLOOKUP('Données projet'!$B$9,Paramètres!$A$1:$I$89,3,0)*VLOOKUP('Données projet'!$B$9,Paramètres!$A$1:$I$89,5,0)</f>
        <v>-5.3205440053716299E-14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396.92963589781414</v>
      </c>
      <c r="T137" s="62">
        <f t="shared" si="142"/>
        <v>294.38852181137639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9.9999999999997726</v>
      </c>
      <c r="AJ137" s="14">
        <f>AI137*VLOOKUP('Données projet'!$B$10,Paramètres!$A$1:$I$89,3,0)*VLOOKUP('Données projet'!$B$10,Paramètres!$A$1:$I$89,5,0)</f>
        <v>5.5899999999998728</v>
      </c>
      <c r="AK137" s="14">
        <f t="shared" si="143"/>
        <v>2.1084588929503409</v>
      </c>
      <c r="AL137" s="22">
        <f t="shared" si="112"/>
        <v>13.408149238554955</v>
      </c>
      <c r="AM137" s="62">
        <f t="shared" si="113"/>
        <v>306.74148257188824</v>
      </c>
      <c r="AN137" s="62">
        <f ca="1">AVERAGE(OFFSET($AM$3,0,0,'Données projet'!$E$10+1,1))-AVERAGE(OFFSET($H$3,0,0,'Données projet'!$E$10+1,1))</f>
        <v>443.34220761968419</v>
      </c>
      <c r="AO137" s="62">
        <f t="shared" si="144"/>
        <v>546.58234447298014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1.083516704556597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6.8320239275905453E-15</v>
      </c>
      <c r="AX137" s="23">
        <f t="shared" si="114"/>
        <v>1.0835167045566039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-1.1368683772161603E-13</v>
      </c>
      <c r="O138" s="14">
        <f>N138*VLOOKUP('Données projet'!$B$9,Paramètres!$A$1:$I$89,3,0)*VLOOKUP('Données projet'!$B$9,Paramètres!$A$1:$I$89,5,0)</f>
        <v>-5.3205440053716299E-14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396.92963589781414</v>
      </c>
      <c r="T138" s="62">
        <f t="shared" si="142"/>
        <v>294.38852181137639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9.9999999999997726</v>
      </c>
      <c r="AJ138" s="14">
        <f>AI138*VLOOKUP('Données projet'!$B$10,Paramètres!$A$1:$I$89,3,0)*VLOOKUP('Données projet'!$B$10,Paramètres!$A$1:$I$89,5,0)</f>
        <v>5.5899999999998728</v>
      </c>
      <c r="AK138" s="14">
        <f t="shared" si="143"/>
        <v>2.1084588929503409</v>
      </c>
      <c r="AL138" s="22">
        <f t="shared" si="112"/>
        <v>13.408149238554955</v>
      </c>
      <c r="AM138" s="62">
        <f t="shared" si="113"/>
        <v>306.74148257188824</v>
      </c>
      <c r="AN138" s="62">
        <f ca="1">AVERAGE(OFFSET($AM$3,0,0,'Données projet'!$E$10+1,1))-AVERAGE(OFFSET($H$3,0,0,'Données projet'!$E$10+1,1))</f>
        <v>443.34220761968419</v>
      </c>
      <c r="AO138" s="62">
        <f t="shared" si="144"/>
        <v>546.58234447298014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1.0622696028601755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4.8309704484280247E-15</v>
      </c>
      <c r="AX138" s="23">
        <f t="shared" si="114"/>
        <v>1.0622696028601804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-1.1368683772161603E-13</v>
      </c>
      <c r="O139" s="14">
        <f>N139*VLOOKUP('Données projet'!$B$9,Paramètres!$A$1:$I$89,3,0)*VLOOKUP('Données projet'!$B$9,Paramètres!$A$1:$I$89,5,0)</f>
        <v>-5.3205440053716299E-14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396.92963589781414</v>
      </c>
      <c r="T139" s="62">
        <f t="shared" si="142"/>
        <v>294.38852181137639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9.9999999999997726</v>
      </c>
      <c r="AJ139" s="14">
        <f>AI139*VLOOKUP('Données projet'!$B$10,Paramètres!$A$1:$I$89,3,0)*VLOOKUP('Données projet'!$B$10,Paramètres!$A$1:$I$89,5,0)</f>
        <v>5.5899999999998728</v>
      </c>
      <c r="AK139" s="14">
        <f t="shared" si="143"/>
        <v>2.1084588929503409</v>
      </c>
      <c r="AL139" s="22">
        <f t="shared" si="112"/>
        <v>13.408149238554955</v>
      </c>
      <c r="AM139" s="62">
        <f t="shared" si="113"/>
        <v>306.74148257188824</v>
      </c>
      <c r="AN139" s="62">
        <f ca="1">AVERAGE(OFFSET($AM$3,0,0,'Données projet'!$E$10+1,1))-AVERAGE(OFFSET($H$3,0,0,'Données projet'!$E$10+1,1))</f>
        <v>443.34220761968419</v>
      </c>
      <c r="AO139" s="62">
        <f t="shared" si="144"/>
        <v>546.58234447298014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1.0414391438685684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3.4160119637952726E-15</v>
      </c>
      <c r="AX139" s="23">
        <f t="shared" si="114"/>
        <v>1.0414391438685717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-1.1368683772161603E-13</v>
      </c>
      <c r="O140" s="14">
        <f>N140*VLOOKUP('Données projet'!$B$9,Paramètres!$A$1:$I$89,3,0)*VLOOKUP('Données projet'!$B$9,Paramètres!$A$1:$I$89,5,0)</f>
        <v>-5.3205440053716299E-14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396.92963589781414</v>
      </c>
      <c r="T140" s="62">
        <f t="shared" si="142"/>
        <v>294.38852181137639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9.9999999999997726</v>
      </c>
      <c r="AJ140" s="14">
        <f>AI140*VLOOKUP('Données projet'!$B$10,Paramètres!$A$1:$I$89,3,0)*VLOOKUP('Données projet'!$B$10,Paramètres!$A$1:$I$89,5,0)</f>
        <v>5.5899999999998728</v>
      </c>
      <c r="AK140" s="14">
        <f t="shared" si="143"/>
        <v>2.1084588929503409</v>
      </c>
      <c r="AL140" s="22">
        <f t="shared" si="112"/>
        <v>13.408149238554955</v>
      </c>
      <c r="AM140" s="62">
        <f t="shared" si="113"/>
        <v>306.74148257188824</v>
      </c>
      <c r="AN140" s="62">
        <f ca="1">AVERAGE(OFFSET($AM$3,0,0,'Données projet'!$E$10+1,1))-AVERAGE(OFFSET($H$3,0,0,'Données projet'!$E$10+1,1))</f>
        <v>443.34220761968419</v>
      </c>
      <c r="AO140" s="62">
        <f t="shared" si="144"/>
        <v>546.58234447298014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1.0210171574724611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2.4154852242140123E-15</v>
      </c>
      <c r="AX140" s="23">
        <f t="shared" si="114"/>
        <v>1.0210171574724636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-1.1368683772161603E-13</v>
      </c>
      <c r="O141" s="14">
        <f>N141*VLOOKUP('Données projet'!$B$9,Paramètres!$A$1:$I$89,3,0)*VLOOKUP('Données projet'!$B$9,Paramètres!$A$1:$I$89,5,0)</f>
        <v>-5.3205440053716299E-14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396.92963589781414</v>
      </c>
      <c r="T141" s="62">
        <f t="shared" si="142"/>
        <v>294.38852181137639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9.9999999999997726</v>
      </c>
      <c r="AJ141" s="14">
        <f>AI141*VLOOKUP('Données projet'!$B$10,Paramètres!$A$1:$I$89,3,0)*VLOOKUP('Données projet'!$B$10,Paramètres!$A$1:$I$89,5,0)</f>
        <v>5.5899999999998728</v>
      </c>
      <c r="AK141" s="14">
        <f t="shared" si="143"/>
        <v>2.1084588929503409</v>
      </c>
      <c r="AL141" s="22">
        <f t="shared" si="112"/>
        <v>13.408149238554955</v>
      </c>
      <c r="AM141" s="62">
        <f t="shared" si="113"/>
        <v>306.74148257188824</v>
      </c>
      <c r="AN141" s="62">
        <f ca="1">AVERAGE(OFFSET($AM$3,0,0,'Données projet'!$E$10+1,1))-AVERAGE(OFFSET($H$3,0,0,'Données projet'!$E$10+1,1))</f>
        <v>443.34220761968419</v>
      </c>
      <c r="AO141" s="62">
        <f t="shared" si="144"/>
        <v>546.58234447298014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1.0009956337733998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1.7080059818976363E-15</v>
      </c>
      <c r="AX141" s="23">
        <f t="shared" si="114"/>
        <v>1.0009956337734016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-1.1368683772161603E-13</v>
      </c>
      <c r="O142" s="14">
        <f>N142*VLOOKUP('Données projet'!$B$9,Paramètres!$A$1:$I$89,3,0)*VLOOKUP('Données projet'!$B$9,Paramètres!$A$1:$I$89,5,0)</f>
        <v>-5.3205440053716299E-14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396.92963589781414</v>
      </c>
      <c r="T142" s="62">
        <f t="shared" si="142"/>
        <v>294.38852181137639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9.9999999999997726</v>
      </c>
      <c r="AJ142" s="14">
        <f>AI142*VLOOKUP('Données projet'!$B$10,Paramètres!$A$1:$I$89,3,0)*VLOOKUP('Données projet'!$B$10,Paramètres!$A$1:$I$89,5,0)</f>
        <v>5.5899999999998728</v>
      </c>
      <c r="AK142" s="14">
        <f t="shared" si="143"/>
        <v>2.1084588929503409</v>
      </c>
      <c r="AL142" s="22">
        <f t="shared" si="112"/>
        <v>13.408149238554955</v>
      </c>
      <c r="AM142" s="62">
        <f t="shared" si="113"/>
        <v>306.74148257188824</v>
      </c>
      <c r="AN142" s="62">
        <f ca="1">AVERAGE(OFFSET($AM$3,0,0,'Données projet'!$E$10+1,1))-AVERAGE(OFFSET($H$3,0,0,'Données projet'!$E$10+1,1))</f>
        <v>443.34220761968419</v>
      </c>
      <c r="AO142" s="62">
        <f t="shared" si="144"/>
        <v>546.58234447298014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0.98136671994215352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1.2077426121070062E-15</v>
      </c>
      <c r="AX142" s="23">
        <f t="shared" si="114"/>
        <v>0.98136671994215474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-1.1368683772161603E-13</v>
      </c>
      <c r="O143" s="14">
        <f>N143*VLOOKUP('Données projet'!$B$9,Paramètres!$A$1:$I$89,3,0)*VLOOKUP('Données projet'!$B$9,Paramètres!$A$1:$I$89,5,0)</f>
        <v>-5.3205440053716299E-14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396.92963589781414</v>
      </c>
      <c r="T143" s="62">
        <f t="shared" si="142"/>
        <v>294.38852181137639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9.9999999999997726</v>
      </c>
      <c r="AJ143" s="14">
        <f>AI143*VLOOKUP('Données projet'!$B$10,Paramètres!$A$1:$I$89,3,0)*VLOOKUP('Données projet'!$B$10,Paramètres!$A$1:$I$89,5,0)</f>
        <v>5.5899999999998728</v>
      </c>
      <c r="AK143" s="14">
        <f t="shared" si="143"/>
        <v>2.1084588929503409</v>
      </c>
      <c r="AL143" s="22">
        <f t="shared" si="112"/>
        <v>13.408149238554955</v>
      </c>
      <c r="AM143" s="62">
        <f t="shared" si="113"/>
        <v>306.74148257188824</v>
      </c>
      <c r="AN143" s="62">
        <f ca="1">AVERAGE(OFFSET($AM$3,0,0,'Données projet'!$E$10+1,1))-AVERAGE(OFFSET($H$3,0,0,'Données projet'!$E$10+1,1))</f>
        <v>443.34220761968419</v>
      </c>
      <c r="AO143" s="62">
        <f t="shared" si="144"/>
        <v>546.58234447298014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0.96212271713868269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8.5400299094881816E-16</v>
      </c>
      <c r="AX143" s="23">
        <f t="shared" si="114"/>
        <v>0.96212271713868358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-1.1368683772161603E-13</v>
      </c>
      <c r="O144" s="14">
        <f>N144*VLOOKUP('Données projet'!$B$9,Paramètres!$A$1:$I$89,3,0)*VLOOKUP('Données projet'!$B$9,Paramètres!$A$1:$I$89,5,0)</f>
        <v>-5.3205440053716299E-14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396.92963589781414</v>
      </c>
      <c r="T144" s="62">
        <f t="shared" si="142"/>
        <v>294.38852181137639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9.9999999999997726</v>
      </c>
      <c r="AJ144" s="14">
        <f>AI144*VLOOKUP('Données projet'!$B$10,Paramètres!$A$1:$I$89,3,0)*VLOOKUP('Données projet'!$B$10,Paramètres!$A$1:$I$89,5,0)</f>
        <v>5.5899999999998728</v>
      </c>
      <c r="AK144" s="14">
        <f t="shared" si="143"/>
        <v>2.1084588929503409</v>
      </c>
      <c r="AL144" s="22">
        <f t="shared" si="112"/>
        <v>13.408149238554955</v>
      </c>
      <c r="AM144" s="62">
        <f t="shared" si="113"/>
        <v>306.74148257188824</v>
      </c>
      <c r="AN144" s="62">
        <f ca="1">AVERAGE(OFFSET($AM$3,0,0,'Données projet'!$E$10+1,1))-AVERAGE(OFFSET($H$3,0,0,'Données projet'!$E$10+1,1))</f>
        <v>443.34220761968419</v>
      </c>
      <c r="AO144" s="62">
        <f t="shared" si="144"/>
        <v>546.58234447298014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0.94325607749250528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6.0387130605350308E-16</v>
      </c>
      <c r="AX144" s="23">
        <f t="shared" si="114"/>
        <v>0.94325607749250584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-1.1368683772161603E-13</v>
      </c>
      <c r="O145" s="14">
        <f>N145*VLOOKUP('Données projet'!$B$9,Paramètres!$A$1:$I$89,3,0)*VLOOKUP('Données projet'!$B$9,Paramètres!$A$1:$I$89,5,0)</f>
        <v>-5.3205440053716299E-14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396.92963589781414</v>
      </c>
      <c r="T145" s="62">
        <f t="shared" si="142"/>
        <v>294.38852181137639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9.9999999999997726</v>
      </c>
      <c r="AJ145" s="14">
        <f>AI145*VLOOKUP('Données projet'!$B$10,Paramètres!$A$1:$I$89,3,0)*VLOOKUP('Données projet'!$B$10,Paramètres!$A$1:$I$89,5,0)</f>
        <v>5.5899999999998728</v>
      </c>
      <c r="AK145" s="14">
        <f t="shared" si="143"/>
        <v>2.1084588929503409</v>
      </c>
      <c r="AL145" s="22">
        <f t="shared" si="112"/>
        <v>13.408149238554955</v>
      </c>
      <c r="AM145" s="62">
        <f t="shared" si="113"/>
        <v>306.74148257188824</v>
      </c>
      <c r="AN145" s="62">
        <f ca="1">AVERAGE(OFFSET($AM$3,0,0,'Données projet'!$E$10+1,1))-AVERAGE(OFFSET($H$3,0,0,'Données projet'!$E$10+1,1))</f>
        <v>443.34220761968419</v>
      </c>
      <c r="AO145" s="62">
        <f t="shared" si="144"/>
        <v>546.58234447298014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0.92475940114227551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4.2700149547440908E-16</v>
      </c>
      <c r="AX145" s="23">
        <f t="shared" si="114"/>
        <v>0.92475940114227595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-1.1368683772161603E-13</v>
      </c>
      <c r="O146" s="14">
        <f>N146*VLOOKUP('Données projet'!$B$9,Paramètres!$A$1:$I$89,3,0)*VLOOKUP('Données projet'!$B$9,Paramètres!$A$1:$I$89,5,0)</f>
        <v>-5.3205440053716299E-14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396.92963589781414</v>
      </c>
      <c r="T146" s="62">
        <f t="shared" si="142"/>
        <v>294.38852181137639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9.9999999999997726</v>
      </c>
      <c r="AJ146" s="14">
        <f>AI146*VLOOKUP('Données projet'!$B$10,Paramètres!$A$1:$I$89,3,0)*VLOOKUP('Données projet'!$B$10,Paramètres!$A$1:$I$89,5,0)</f>
        <v>5.5899999999998728</v>
      </c>
      <c r="AK146" s="14">
        <f t="shared" si="143"/>
        <v>2.1084588929503409</v>
      </c>
      <c r="AL146" s="22">
        <f t="shared" si="112"/>
        <v>13.408149238554955</v>
      </c>
      <c r="AM146" s="62">
        <f t="shared" si="113"/>
        <v>306.74148257188824</v>
      </c>
      <c r="AN146" s="62">
        <f ca="1">AVERAGE(OFFSET($AM$3,0,0,'Données projet'!$E$10+1,1))-AVERAGE(OFFSET($H$3,0,0,'Données projet'!$E$10+1,1))</f>
        <v>443.34220761968419</v>
      </c>
      <c r="AO146" s="62">
        <f t="shared" si="144"/>
        <v>546.58234447298014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0.90662543333341516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3.0193565302675154E-16</v>
      </c>
      <c r="AX146" s="23">
        <f t="shared" si="114"/>
        <v>0.9066254333334155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-1.1368683772161603E-13</v>
      </c>
      <c r="O147" s="14">
        <f>N147*VLOOKUP('Données projet'!$B$9,Paramètres!$A$1:$I$89,3,0)*VLOOKUP('Données projet'!$B$9,Paramètres!$A$1:$I$89,5,0)</f>
        <v>-5.3205440053716299E-14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396.92963589781414</v>
      </c>
      <c r="T147" s="62">
        <f t="shared" si="142"/>
        <v>294.38852181137639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9.9999999999997726</v>
      </c>
      <c r="AJ147" s="14">
        <f>AI147*VLOOKUP('Données projet'!$B$10,Paramètres!$A$1:$I$89,3,0)*VLOOKUP('Données projet'!$B$10,Paramètres!$A$1:$I$89,5,0)</f>
        <v>5.5899999999998728</v>
      </c>
      <c r="AK147" s="14">
        <f t="shared" si="143"/>
        <v>2.1084588929503409</v>
      </c>
      <c r="AL147" s="22">
        <f t="shared" si="112"/>
        <v>13.408149238554955</v>
      </c>
      <c r="AM147" s="62">
        <f t="shared" si="113"/>
        <v>306.74148257188824</v>
      </c>
      <c r="AN147" s="62">
        <f ca="1">AVERAGE(OFFSET($AM$3,0,0,'Données projet'!$E$10+1,1))-AVERAGE(OFFSET($H$3,0,0,'Données projet'!$E$10+1,1))</f>
        <v>443.34220761968419</v>
      </c>
      <c r="AO147" s="62">
        <f t="shared" si="144"/>
        <v>546.58234447298014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0.88884706157265836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2.1350074773720454E-16</v>
      </c>
      <c r="AX147" s="23">
        <f t="shared" si="114"/>
        <v>0.88884706157265858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-1.1368683772161603E-13</v>
      </c>
      <c r="O148" s="14">
        <f>N148*VLOOKUP('Données projet'!$B$9,Paramètres!$A$1:$I$89,3,0)*VLOOKUP('Données projet'!$B$9,Paramètres!$A$1:$I$89,5,0)</f>
        <v>-5.3205440053716299E-14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396.92963589781414</v>
      </c>
      <c r="T148" s="62">
        <f t="shared" si="142"/>
        <v>294.38852181137639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9.9999999999997726</v>
      </c>
      <c r="AJ148" s="14">
        <f>AI148*VLOOKUP('Données projet'!$B$10,Paramètres!$A$1:$I$89,3,0)*VLOOKUP('Données projet'!$B$10,Paramètres!$A$1:$I$89,5,0)</f>
        <v>5.5899999999998728</v>
      </c>
      <c r="AK148" s="14">
        <f t="shared" si="143"/>
        <v>2.1084588929503409</v>
      </c>
      <c r="AL148" s="22">
        <f t="shared" si="112"/>
        <v>13.408149238554955</v>
      </c>
      <c r="AM148" s="62">
        <f t="shared" si="113"/>
        <v>306.74148257188824</v>
      </c>
      <c r="AN148" s="62">
        <f ca="1">AVERAGE(OFFSET($AM$3,0,0,'Données projet'!$E$10+1,1))-AVERAGE(OFFSET($H$3,0,0,'Données projet'!$E$10+1,1))</f>
        <v>443.34220761968419</v>
      </c>
      <c r="AO148" s="62">
        <f t="shared" si="144"/>
        <v>546.58234447298014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0.87141731283839385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1.5096782651337577E-16</v>
      </c>
      <c r="AX148" s="23">
        <f t="shared" si="114"/>
        <v>0.87141731283839396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-1.1368683772161603E-13</v>
      </c>
      <c r="O149" s="14">
        <f>N149*VLOOKUP('Données projet'!$B$9,Paramètres!$A$1:$I$89,3,0)*VLOOKUP('Données projet'!$B$9,Paramètres!$A$1:$I$89,5,0)</f>
        <v>-5.3205440053716299E-14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396.92963589781414</v>
      </c>
      <c r="T149" s="62">
        <f t="shared" si="142"/>
        <v>294.38852181137639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9.9999999999997726</v>
      </c>
      <c r="AJ149" s="14">
        <f>AI149*VLOOKUP('Données projet'!$B$10,Paramètres!$A$1:$I$89,3,0)*VLOOKUP('Données projet'!$B$10,Paramètres!$A$1:$I$89,5,0)</f>
        <v>5.5899999999998728</v>
      </c>
      <c r="AK149" s="14">
        <f t="shared" si="143"/>
        <v>2.1084588929503409</v>
      </c>
      <c r="AL149" s="22">
        <f t="shared" si="112"/>
        <v>13.408149238554955</v>
      </c>
      <c r="AM149" s="62">
        <f t="shared" si="113"/>
        <v>306.74148257188824</v>
      </c>
      <c r="AN149" s="62">
        <f ca="1">AVERAGE(OFFSET($AM$3,0,0,'Données projet'!$E$10+1,1))-AVERAGE(OFFSET($H$3,0,0,'Données projet'!$E$10+1,1))</f>
        <v>443.34220761968419</v>
      </c>
      <c r="AO149" s="62">
        <f t="shared" si="144"/>
        <v>546.58234447298014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0.85432935084571138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1.0675037386860227E-16</v>
      </c>
      <c r="AX149" s="23">
        <f t="shared" si="114"/>
        <v>0.85432935084571149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-1.1368683772161603E-13</v>
      </c>
      <c r="O150" s="14">
        <f>N150*VLOOKUP('Données projet'!$B$9,Paramètres!$A$1:$I$89,3,0)*VLOOKUP('Données projet'!$B$9,Paramètres!$A$1:$I$89,5,0)</f>
        <v>-5.3205440053716299E-14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396.92963589781414</v>
      </c>
      <c r="T150" s="62">
        <f t="shared" si="142"/>
        <v>294.38852181137639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9.9999999999997726</v>
      </c>
      <c r="AJ150" s="14">
        <f>AI150*VLOOKUP('Données projet'!$B$10,Paramètres!$A$1:$I$89,3,0)*VLOOKUP('Données projet'!$B$10,Paramètres!$A$1:$I$89,5,0)</f>
        <v>5.5899999999998728</v>
      </c>
      <c r="AK150" s="14">
        <f t="shared" si="143"/>
        <v>2.1084588929503409</v>
      </c>
      <c r="AL150" s="22">
        <f t="shared" si="112"/>
        <v>13.408149238554955</v>
      </c>
      <c r="AM150" s="62">
        <f t="shared" si="113"/>
        <v>306.74148257188824</v>
      </c>
      <c r="AN150" s="62">
        <f ca="1">AVERAGE(OFFSET($AM$3,0,0,'Données projet'!$E$10+1,1))-AVERAGE(OFFSET($H$3,0,0,'Données projet'!$E$10+1,1))</f>
        <v>443.34220761968419</v>
      </c>
      <c r="AO150" s="62">
        <f t="shared" si="144"/>
        <v>546.58234447298014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0.83757647336507768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7.5483913256687885E-17</v>
      </c>
      <c r="AX150" s="23">
        <f t="shared" si="114"/>
        <v>0.83757647336507779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-1.1368683772161603E-13</v>
      </c>
      <c r="O151" s="14">
        <f>N151*VLOOKUP('Données projet'!$B$9,Paramètres!$A$1:$I$89,3,0)*VLOOKUP('Données projet'!$B$9,Paramètres!$A$1:$I$89,5,0)</f>
        <v>-5.3205440053716299E-14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396.92963589781414</v>
      </c>
      <c r="T151" s="62">
        <f t="shared" si="142"/>
        <v>294.38852181137639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9.9999999999997726</v>
      </c>
      <c r="AJ151" s="14">
        <f>AI151*VLOOKUP('Données projet'!$B$10,Paramètres!$A$1:$I$89,3,0)*VLOOKUP('Données projet'!$B$10,Paramètres!$A$1:$I$89,5,0)</f>
        <v>5.5899999999998728</v>
      </c>
      <c r="AK151" s="14">
        <f t="shared" si="143"/>
        <v>2.1084588929503409</v>
      </c>
      <c r="AL151" s="22">
        <f t="shared" si="112"/>
        <v>13.408149238554955</v>
      </c>
      <c r="AM151" s="62">
        <f t="shared" si="113"/>
        <v>306.74148257188824</v>
      </c>
      <c r="AN151" s="62">
        <f ca="1">AVERAGE(OFFSET($AM$3,0,0,'Données projet'!$E$10+1,1))-AVERAGE(OFFSET($H$3,0,0,'Données projet'!$E$10+1,1))</f>
        <v>443.34220761968419</v>
      </c>
      <c r="AO151" s="62">
        <f t="shared" si="144"/>
        <v>546.58234447298014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0.82115210959359297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5.3375186934301135E-17</v>
      </c>
      <c r="AX151" s="23">
        <f t="shared" si="114"/>
        <v>0.82115210959359297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-1.1368683772161603E-13</v>
      </c>
      <c r="O152" s="14">
        <f>N152*VLOOKUP('Données projet'!$B$9,Paramètres!$A$1:$I$89,3,0)*VLOOKUP('Données projet'!$B$9,Paramètres!$A$1:$I$89,5,0)</f>
        <v>-5.3205440053716299E-14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396.92963589781414</v>
      </c>
      <c r="T152" s="62">
        <f t="shared" si="142"/>
        <v>294.38852181137639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9.9999999999997726</v>
      </c>
      <c r="AJ152" s="14">
        <f>AI152*VLOOKUP('Données projet'!$B$10,Paramètres!$A$1:$I$89,3,0)*VLOOKUP('Données projet'!$B$10,Paramètres!$A$1:$I$89,5,0)</f>
        <v>5.5899999999998728</v>
      </c>
      <c r="AK152" s="14">
        <f t="shared" si="143"/>
        <v>2.1084588929503409</v>
      </c>
      <c r="AL152" s="22">
        <f t="shared" si="112"/>
        <v>13.408149238554955</v>
      </c>
      <c r="AM152" s="62">
        <f t="shared" si="113"/>
        <v>306.74148257188824</v>
      </c>
      <c r="AN152" s="62">
        <f ca="1">AVERAGE(OFFSET($AM$3,0,0,'Données projet'!$E$10+1,1))-AVERAGE(OFFSET($H$3,0,0,'Données projet'!$E$10+1,1))</f>
        <v>443.34220761968419</v>
      </c>
      <c r="AO152" s="62">
        <f t="shared" si="144"/>
        <v>546.58234447298014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0.80504981757779426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3.7741956628343943E-17</v>
      </c>
      <c r="AX152" s="23">
        <f t="shared" si="114"/>
        <v>0.80504981757779426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-1.1368683772161603E-13</v>
      </c>
      <c r="O153" s="14">
        <f>N153*VLOOKUP('Données projet'!$B$9,Paramètres!$A$1:$I$89,3,0)*VLOOKUP('Données projet'!$B$9,Paramètres!$A$1:$I$89,5,0)</f>
        <v>-5.3205440053716299E-14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396.92963589781414</v>
      </c>
      <c r="T153" s="62">
        <f t="shared" si="142"/>
        <v>294.38852181137639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9.9999999999997726</v>
      </c>
      <c r="AJ153" s="14">
        <f>AI153*VLOOKUP('Données projet'!$B$10,Paramètres!$A$1:$I$89,3,0)*VLOOKUP('Données projet'!$B$10,Paramètres!$A$1:$I$89,5,0)</f>
        <v>5.5899999999998728</v>
      </c>
      <c r="AK153" s="14">
        <f t="shared" si="143"/>
        <v>2.1084588929503409</v>
      </c>
      <c r="AL153" s="22">
        <f t="shared" si="112"/>
        <v>13.408149238554955</v>
      </c>
      <c r="AM153" s="62">
        <f t="shared" si="113"/>
        <v>306.74148257188824</v>
      </c>
      <c r="AN153" s="62">
        <f ca="1">AVERAGE(OFFSET($AM$3,0,0,'Données projet'!$E$10+1,1))-AVERAGE(OFFSET($H$3,0,0,'Données projet'!$E$10+1,1))</f>
        <v>443.34220761968419</v>
      </c>
      <c r="AO153" s="62">
        <f t="shared" si="144"/>
        <v>546.58234447298014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0.78926328168699711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2.6687593467150567E-17</v>
      </c>
      <c r="AX153" s="23">
        <f t="shared" si="114"/>
        <v>0.78926328168699711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-1.1368683772161603E-13</v>
      </c>
      <c r="O154" s="14">
        <f>N154*VLOOKUP('Données projet'!$B$9,Paramètres!$A$1:$I$89,3,0)*VLOOKUP('Données projet'!$B$9,Paramètres!$A$1:$I$89,5,0)</f>
        <v>-5.3205440053716299E-14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396.92963589781414</v>
      </c>
      <c r="T154" s="62">
        <f t="shared" si="142"/>
        <v>294.38852181137639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9.9999999999997726</v>
      </c>
      <c r="AJ154" s="14">
        <f>AI154*VLOOKUP('Données projet'!$B$10,Paramètres!$A$1:$I$89,3,0)*VLOOKUP('Données projet'!$B$10,Paramètres!$A$1:$I$89,5,0)</f>
        <v>5.5899999999998728</v>
      </c>
      <c r="AK154" s="14">
        <f t="shared" ref="AK154:AK203" si="164">EXP(-1.0587+0.8836*LN(AJ154)+0.284)</f>
        <v>2.1084588929503409</v>
      </c>
      <c r="AL154" s="22">
        <f t="shared" ref="AL154:AL203" si="165">(AJ154+AK154)*0.475*44/12</f>
        <v>13.408149238554955</v>
      </c>
      <c r="AM154" s="62">
        <f t="shared" si="113"/>
        <v>306.74148257188824</v>
      </c>
      <c r="AN154" s="62">
        <f ca="1">AVERAGE(OFFSET($AM$3,0,0,'Données projet'!$E$10+1,1))-AVERAGE(OFFSET($H$3,0,0,'Données projet'!$E$10+1,1))</f>
        <v>443.34220761968419</v>
      </c>
      <c r="AO154" s="62">
        <f t="shared" si="144"/>
        <v>546.58234447298014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0.77378631013618226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1.8870978314171971E-17</v>
      </c>
      <c r="AX154" s="23">
        <f t="shared" ref="AX154:AX203" si="166">SUM(AU154:AW154)</f>
        <v>0.77378631013618226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-1.1368683772161603E-13</v>
      </c>
      <c r="O155" s="14">
        <f>N155*VLOOKUP('Données projet'!$B$9,Paramètres!$A$1:$I$89,3,0)*VLOOKUP('Données projet'!$B$9,Paramètres!$A$1:$I$89,5,0)</f>
        <v>-5.3205440053716299E-14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396.92963589781414</v>
      </c>
      <c r="T155" s="62">
        <f t="shared" si="142"/>
        <v>294.38852181137639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9.9999999999997726</v>
      </c>
      <c r="AJ155" s="14">
        <f>AI155*VLOOKUP('Données projet'!$B$10,Paramètres!$A$1:$I$89,3,0)*VLOOKUP('Données projet'!$B$10,Paramètres!$A$1:$I$89,5,0)</f>
        <v>5.5899999999998728</v>
      </c>
      <c r="AK155" s="14">
        <f t="shared" si="164"/>
        <v>2.1084588929503409</v>
      </c>
      <c r="AL155" s="22">
        <f t="shared" si="165"/>
        <v>13.408149238554955</v>
      </c>
      <c r="AM155" s="62">
        <f t="shared" si="113"/>
        <v>306.74148257188824</v>
      </c>
      <c r="AN155" s="62">
        <f ca="1">AVERAGE(OFFSET($AM$3,0,0,'Données projet'!$E$10+1,1))-AVERAGE(OFFSET($H$3,0,0,'Données projet'!$E$10+1,1))</f>
        <v>443.34220761968419</v>
      </c>
      <c r="AO155" s="62">
        <f t="shared" si="144"/>
        <v>546.58234447298014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0.75861283255745848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1.3343796733575284E-17</v>
      </c>
      <c r="AX155" s="23">
        <f t="shared" si="166"/>
        <v>0.75861283255745848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-1.1368683772161603E-13</v>
      </c>
      <c r="O156" s="14">
        <f>N156*VLOOKUP('Données projet'!$B$9,Paramètres!$A$1:$I$89,3,0)*VLOOKUP('Données projet'!$B$9,Paramètres!$A$1:$I$89,5,0)</f>
        <v>-5.3205440053716299E-14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396.92963589781414</v>
      </c>
      <c r="T156" s="62">
        <f t="shared" si="142"/>
        <v>294.38852181137639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9.9999999999997726</v>
      </c>
      <c r="AJ156" s="14">
        <f>AI156*VLOOKUP('Données projet'!$B$10,Paramètres!$A$1:$I$89,3,0)*VLOOKUP('Données projet'!$B$10,Paramètres!$A$1:$I$89,5,0)</f>
        <v>5.5899999999998728</v>
      </c>
      <c r="AK156" s="14">
        <f t="shared" si="164"/>
        <v>2.1084588929503409</v>
      </c>
      <c r="AL156" s="22">
        <f t="shared" si="165"/>
        <v>13.408149238554955</v>
      </c>
      <c r="AM156" s="62">
        <f t="shared" si="113"/>
        <v>306.74148257188824</v>
      </c>
      <c r="AN156" s="62">
        <f ca="1">AVERAGE(OFFSET($AM$3,0,0,'Données projet'!$E$10+1,1))-AVERAGE(OFFSET($H$3,0,0,'Données projet'!$E$10+1,1))</f>
        <v>443.34220761968419</v>
      </c>
      <c r="AO156" s="62">
        <f t="shared" si="144"/>
        <v>546.58234447298014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0.74373689761914596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9.4354891570859856E-18</v>
      </c>
      <c r="AX156" s="23">
        <f t="shared" si="166"/>
        <v>0.74373689761914596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-1.1368683772161603E-13</v>
      </c>
      <c r="O157" s="14">
        <f>N157*VLOOKUP('Données projet'!$B$9,Paramètres!$A$1:$I$89,3,0)*VLOOKUP('Données projet'!$B$9,Paramètres!$A$1:$I$89,5,0)</f>
        <v>-5.3205440053716299E-14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396.92963589781414</v>
      </c>
      <c r="T157" s="62">
        <f t="shared" si="142"/>
        <v>294.38852181137639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9.9999999999997726</v>
      </c>
      <c r="AJ157" s="14">
        <f>AI157*VLOOKUP('Données projet'!$B$10,Paramètres!$A$1:$I$89,3,0)*VLOOKUP('Données projet'!$B$10,Paramètres!$A$1:$I$89,5,0)</f>
        <v>5.5899999999998728</v>
      </c>
      <c r="AK157" s="14">
        <f t="shared" si="164"/>
        <v>2.1084588929503409</v>
      </c>
      <c r="AL157" s="22">
        <f t="shared" si="165"/>
        <v>13.408149238554955</v>
      </c>
      <c r="AM157" s="62">
        <f t="shared" si="113"/>
        <v>306.74148257188824</v>
      </c>
      <c r="AN157" s="62">
        <f ca="1">AVERAGE(OFFSET($AM$3,0,0,'Données projet'!$E$10+1,1))-AVERAGE(OFFSET($H$3,0,0,'Données projet'!$E$10+1,1))</f>
        <v>443.34220761968419</v>
      </c>
      <c r="AO157" s="62">
        <f t="shared" si="144"/>
        <v>546.58234447298014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0.72915267069154932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6.6718983667876419E-18</v>
      </c>
      <c r="AX157" s="23">
        <f t="shared" si="166"/>
        <v>0.72915267069154932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-1.1368683772161603E-13</v>
      </c>
      <c r="O158" s="14">
        <f>N158*VLOOKUP('Données projet'!$B$9,Paramètres!$A$1:$I$89,3,0)*VLOOKUP('Données projet'!$B$9,Paramètres!$A$1:$I$89,5,0)</f>
        <v>-5.3205440053716299E-14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396.92963589781414</v>
      </c>
      <c r="T158" s="62">
        <f t="shared" si="142"/>
        <v>294.38852181137639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9.9999999999997726</v>
      </c>
      <c r="AJ158" s="14">
        <f>AI158*VLOOKUP('Données projet'!$B$10,Paramètres!$A$1:$I$89,3,0)*VLOOKUP('Données projet'!$B$10,Paramètres!$A$1:$I$89,5,0)</f>
        <v>5.5899999999998728</v>
      </c>
      <c r="AK158" s="14">
        <f t="shared" si="164"/>
        <v>2.1084588929503409</v>
      </c>
      <c r="AL158" s="22">
        <f t="shared" si="165"/>
        <v>13.408149238554955</v>
      </c>
      <c r="AM158" s="62">
        <f t="shared" si="113"/>
        <v>306.74148257188824</v>
      </c>
      <c r="AN158" s="62">
        <f ca="1">AVERAGE(OFFSET($AM$3,0,0,'Données projet'!$E$10+1,1))-AVERAGE(OFFSET($H$3,0,0,'Données projet'!$E$10+1,1))</f>
        <v>443.34220761968419</v>
      </c>
      <c r="AO158" s="62">
        <f t="shared" si="144"/>
        <v>546.58234447298014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0.71485443155850281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4.7177445785429928E-18</v>
      </c>
      <c r="AX158" s="23">
        <f t="shared" si="166"/>
        <v>0.71485443155850281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-1.1368683772161603E-13</v>
      </c>
      <c r="O159" s="14">
        <f>N159*VLOOKUP('Données projet'!$B$9,Paramètres!$A$1:$I$89,3,0)*VLOOKUP('Données projet'!$B$9,Paramètres!$A$1:$I$89,5,0)</f>
        <v>-5.3205440053716299E-14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396.92963589781414</v>
      </c>
      <c r="T159" s="62">
        <f t="shared" si="142"/>
        <v>294.38852181137639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9.9999999999997726</v>
      </c>
      <c r="AJ159" s="14">
        <f>AI159*VLOOKUP('Données projet'!$B$10,Paramètres!$A$1:$I$89,3,0)*VLOOKUP('Données projet'!$B$10,Paramètres!$A$1:$I$89,5,0)</f>
        <v>5.5899999999998728</v>
      </c>
      <c r="AK159" s="14">
        <f t="shared" si="164"/>
        <v>2.1084588929503409</v>
      </c>
      <c r="AL159" s="22">
        <f t="shared" si="165"/>
        <v>13.408149238554955</v>
      </c>
      <c r="AM159" s="62">
        <f t="shared" si="113"/>
        <v>306.74148257188824</v>
      </c>
      <c r="AN159" s="62">
        <f ca="1">AVERAGE(OFFSET($AM$3,0,0,'Données projet'!$E$10+1,1))-AVERAGE(OFFSET($H$3,0,0,'Données projet'!$E$10+1,1))</f>
        <v>443.34220761968419</v>
      </c>
      <c r="AO159" s="62">
        <f t="shared" si="144"/>
        <v>546.58234447298014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0.70083657217379058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3.3359491833938209E-18</v>
      </c>
      <c r="AX159" s="23">
        <f t="shared" si="166"/>
        <v>0.70083657217379058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-1.1368683772161603E-13</v>
      </c>
      <c r="O160" s="14">
        <f>N160*VLOOKUP('Données projet'!$B$9,Paramètres!$A$1:$I$89,3,0)*VLOOKUP('Données projet'!$B$9,Paramètres!$A$1:$I$89,5,0)</f>
        <v>-5.3205440053716299E-14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396.92963589781414</v>
      </c>
      <c r="T160" s="62">
        <f t="shared" si="142"/>
        <v>294.38852181137639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9.9999999999997726</v>
      </c>
      <c r="AJ160" s="14">
        <f>AI160*VLOOKUP('Données projet'!$B$10,Paramètres!$A$1:$I$89,3,0)*VLOOKUP('Données projet'!$B$10,Paramètres!$A$1:$I$89,5,0)</f>
        <v>5.5899999999998728</v>
      </c>
      <c r="AK160" s="14">
        <f t="shared" si="164"/>
        <v>2.1084588929503409</v>
      </c>
      <c r="AL160" s="22">
        <f t="shared" si="165"/>
        <v>13.408149238554955</v>
      </c>
      <c r="AM160" s="62">
        <f t="shared" si="113"/>
        <v>306.74148257188824</v>
      </c>
      <c r="AN160" s="62">
        <f ca="1">AVERAGE(OFFSET($AM$3,0,0,'Données projet'!$E$10+1,1))-AVERAGE(OFFSET($H$3,0,0,'Données projet'!$E$10+1,1))</f>
        <v>443.34220761968419</v>
      </c>
      <c r="AO160" s="62">
        <f t="shared" si="144"/>
        <v>546.58234447298014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0.6870935944615626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2.3588722892714964E-18</v>
      </c>
      <c r="AX160" s="23">
        <f t="shared" si="166"/>
        <v>0.6870935944615626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-1.1368683772161603E-13</v>
      </c>
      <c r="O161" s="14">
        <f>N161*VLOOKUP('Données projet'!$B$9,Paramètres!$A$1:$I$89,3,0)*VLOOKUP('Données projet'!$B$9,Paramètres!$A$1:$I$89,5,0)</f>
        <v>-5.3205440053716299E-14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396.92963589781414</v>
      </c>
      <c r="T161" s="62">
        <f t="shared" si="142"/>
        <v>294.38852181137639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9.9999999999997726</v>
      </c>
      <c r="AJ161" s="14">
        <f>AI161*VLOOKUP('Données projet'!$B$10,Paramètres!$A$1:$I$89,3,0)*VLOOKUP('Données projet'!$B$10,Paramètres!$A$1:$I$89,5,0)</f>
        <v>5.5899999999998728</v>
      </c>
      <c r="AK161" s="14">
        <f t="shared" si="164"/>
        <v>2.1084588929503409</v>
      </c>
      <c r="AL161" s="22">
        <f t="shared" si="165"/>
        <v>13.408149238554955</v>
      </c>
      <c r="AM161" s="62">
        <f t="shared" si="113"/>
        <v>306.74148257188824</v>
      </c>
      <c r="AN161" s="62">
        <f ca="1">AVERAGE(OFFSET($AM$3,0,0,'Données projet'!$E$10+1,1))-AVERAGE(OFFSET($H$3,0,0,'Données projet'!$E$10+1,1))</f>
        <v>443.34220761968419</v>
      </c>
      <c r="AO161" s="62">
        <f t="shared" si="144"/>
        <v>546.58234447298014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0.67362010815988271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1.6679745916969105E-18</v>
      </c>
      <c r="AX161" s="23">
        <f t="shared" si="166"/>
        <v>0.67362010815988271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-1.1368683772161603E-13</v>
      </c>
      <c r="O162" s="14">
        <f>N162*VLOOKUP('Données projet'!$B$9,Paramètres!$A$1:$I$89,3,0)*VLOOKUP('Données projet'!$B$9,Paramètres!$A$1:$I$89,5,0)</f>
        <v>-5.3205440053716299E-14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396.92963589781414</v>
      </c>
      <c r="T162" s="62">
        <f t="shared" si="142"/>
        <v>294.38852181137639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9.9999999999997726</v>
      </c>
      <c r="AJ162" s="14">
        <f>AI162*VLOOKUP('Données projet'!$B$10,Paramètres!$A$1:$I$89,3,0)*VLOOKUP('Données projet'!$B$10,Paramètres!$A$1:$I$89,5,0)</f>
        <v>5.5899999999998728</v>
      </c>
      <c r="AK162" s="14">
        <f t="shared" si="164"/>
        <v>2.1084588929503409</v>
      </c>
      <c r="AL162" s="22">
        <f t="shared" si="165"/>
        <v>13.408149238554955</v>
      </c>
      <c r="AM162" s="62">
        <f t="shared" si="113"/>
        <v>306.74148257188824</v>
      </c>
      <c r="AN162" s="62">
        <f ca="1">AVERAGE(OFFSET($AM$3,0,0,'Données projet'!$E$10+1,1))-AVERAGE(OFFSET($H$3,0,0,'Données projet'!$E$10+1,1))</f>
        <v>443.34220761968419</v>
      </c>
      <c r="AO162" s="62">
        <f t="shared" si="144"/>
        <v>546.58234447298014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0.66041082870656354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1.1794361446357482E-18</v>
      </c>
      <c r="AX162" s="23">
        <f t="shared" si="166"/>
        <v>0.66041082870656354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-1.1368683772161603E-13</v>
      </c>
      <c r="O163" s="14">
        <f>N163*VLOOKUP('Données projet'!$B$9,Paramètres!$A$1:$I$89,3,0)*VLOOKUP('Données projet'!$B$9,Paramètres!$A$1:$I$89,5,0)</f>
        <v>-5.3205440053716299E-14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396.92963589781414</v>
      </c>
      <c r="T163" s="62">
        <f t="shared" si="142"/>
        <v>294.38852181137639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9.9999999999997726</v>
      </c>
      <c r="AJ163" s="14">
        <f>AI163*VLOOKUP('Données projet'!$B$10,Paramètres!$A$1:$I$89,3,0)*VLOOKUP('Données projet'!$B$10,Paramètres!$A$1:$I$89,5,0)</f>
        <v>5.5899999999998728</v>
      </c>
      <c r="AK163" s="14">
        <f t="shared" si="164"/>
        <v>2.1084588929503409</v>
      </c>
      <c r="AL163" s="22">
        <f t="shared" si="165"/>
        <v>13.408149238554955</v>
      </c>
      <c r="AM163" s="62">
        <f t="shared" si="113"/>
        <v>306.74148257188824</v>
      </c>
      <c r="AN163" s="62">
        <f ca="1">AVERAGE(OFFSET($AM$3,0,0,'Données projet'!$E$10+1,1))-AVERAGE(OFFSET($H$3,0,0,'Données projet'!$E$10+1,1))</f>
        <v>443.34220761968419</v>
      </c>
      <c r="AO163" s="62">
        <f t="shared" si="144"/>
        <v>546.58234447298014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0.64746057516645905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8.3398729584845523E-19</v>
      </c>
      <c r="AX163" s="23">
        <f t="shared" si="166"/>
        <v>0.64746057516645905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-1.1368683772161603E-13</v>
      </c>
      <c r="O164" s="14">
        <f>N164*VLOOKUP('Données projet'!$B$9,Paramètres!$A$1:$I$89,3,0)*VLOOKUP('Données projet'!$B$9,Paramètres!$A$1:$I$89,5,0)</f>
        <v>-5.3205440053716299E-14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396.92963589781414</v>
      </c>
      <c r="T164" s="62">
        <f t="shared" si="142"/>
        <v>294.38852181137639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9.9999999999997726</v>
      </c>
      <c r="AJ164" s="14">
        <f>AI164*VLOOKUP('Données projet'!$B$10,Paramètres!$A$1:$I$89,3,0)*VLOOKUP('Données projet'!$B$10,Paramètres!$A$1:$I$89,5,0)</f>
        <v>5.5899999999998728</v>
      </c>
      <c r="AK164" s="14">
        <f t="shared" si="164"/>
        <v>2.1084588929503409</v>
      </c>
      <c r="AL164" s="22">
        <f t="shared" si="165"/>
        <v>13.408149238554955</v>
      </c>
      <c r="AM164" s="62">
        <f t="shared" si="113"/>
        <v>306.74148257188824</v>
      </c>
      <c r="AN164" s="62">
        <f ca="1">AVERAGE(OFFSET($AM$3,0,0,'Données projet'!$E$10+1,1))-AVERAGE(OFFSET($H$3,0,0,'Données projet'!$E$10+1,1))</f>
        <v>443.34220761968419</v>
      </c>
      <c r="AO164" s="62">
        <f t="shared" si="144"/>
        <v>546.58234447298014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0.63476426819940135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5.897180723178741E-19</v>
      </c>
      <c r="AX164" s="23">
        <f t="shared" si="166"/>
        <v>0.63476426819940135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-1.1368683772161603E-13</v>
      </c>
      <c r="O165" s="14">
        <f>N165*VLOOKUP('Données projet'!$B$9,Paramètres!$A$1:$I$89,3,0)*VLOOKUP('Données projet'!$B$9,Paramètres!$A$1:$I$89,5,0)</f>
        <v>-5.3205440053716299E-14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396.92963589781414</v>
      </c>
      <c r="T165" s="62">
        <f t="shared" si="142"/>
        <v>294.38852181137639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9.9999999999997726</v>
      </c>
      <c r="AJ165" s="14">
        <f>AI165*VLOOKUP('Données projet'!$B$10,Paramètres!$A$1:$I$89,3,0)*VLOOKUP('Données projet'!$B$10,Paramètres!$A$1:$I$89,5,0)</f>
        <v>5.5899999999998728</v>
      </c>
      <c r="AK165" s="14">
        <f t="shared" si="164"/>
        <v>2.1084588929503409</v>
      </c>
      <c r="AL165" s="22">
        <f t="shared" si="165"/>
        <v>13.408149238554955</v>
      </c>
      <c r="AM165" s="62">
        <f t="shared" si="113"/>
        <v>306.74148257188824</v>
      </c>
      <c r="AN165" s="62">
        <f ca="1">AVERAGE(OFFSET($AM$3,0,0,'Données projet'!$E$10+1,1))-AVERAGE(OFFSET($H$3,0,0,'Données projet'!$E$10+1,1))</f>
        <v>443.34220761968419</v>
      </c>
      <c r="AO165" s="62">
        <f t="shared" si="144"/>
        <v>546.58234447298014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0.622316928067985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4.1699364792422762E-19</v>
      </c>
      <c r="AX165" s="23">
        <f t="shared" si="166"/>
        <v>0.622316928067985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-1.1368683772161603E-13</v>
      </c>
      <c r="O166" s="14">
        <f>N166*VLOOKUP('Données projet'!$B$9,Paramètres!$A$1:$I$89,3,0)*VLOOKUP('Données projet'!$B$9,Paramètres!$A$1:$I$89,5,0)</f>
        <v>-5.3205440053716299E-14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396.92963589781414</v>
      </c>
      <c r="T166" s="62">
        <f t="shared" si="142"/>
        <v>294.38852181137639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9.9999999999997726</v>
      </c>
      <c r="AJ166" s="14">
        <f>AI166*VLOOKUP('Données projet'!$B$10,Paramètres!$A$1:$I$89,3,0)*VLOOKUP('Données projet'!$B$10,Paramètres!$A$1:$I$89,5,0)</f>
        <v>5.5899999999998728</v>
      </c>
      <c r="AK166" s="14">
        <f t="shared" si="164"/>
        <v>2.1084588929503409</v>
      </c>
      <c r="AL166" s="22">
        <f t="shared" si="165"/>
        <v>13.408149238554955</v>
      </c>
      <c r="AM166" s="62">
        <f t="shared" si="113"/>
        <v>306.74148257188824</v>
      </c>
      <c r="AN166" s="62">
        <f ca="1">AVERAGE(OFFSET($AM$3,0,0,'Données projet'!$E$10+1,1))-AVERAGE(OFFSET($H$3,0,0,'Données projet'!$E$10+1,1))</f>
        <v>443.34220761968419</v>
      </c>
      <c r="AO166" s="62">
        <f t="shared" si="144"/>
        <v>546.58234447298014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0.61011367268441796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2.9485903615893705E-19</v>
      </c>
      <c r="AX166" s="23">
        <f t="shared" si="166"/>
        <v>0.61011367268441796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-1.1368683772161603E-13</v>
      </c>
      <c r="O167" s="14">
        <f>N167*VLOOKUP('Données projet'!$B$9,Paramètres!$A$1:$I$89,3,0)*VLOOKUP('Données projet'!$B$9,Paramètres!$A$1:$I$89,5,0)</f>
        <v>-5.3205440053716299E-14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396.92963589781414</v>
      </c>
      <c r="T167" s="62">
        <f t="shared" si="142"/>
        <v>294.38852181137639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9.9999999999997726</v>
      </c>
      <c r="AJ167" s="14">
        <f>AI167*VLOOKUP('Données projet'!$B$10,Paramètres!$A$1:$I$89,3,0)*VLOOKUP('Données projet'!$B$10,Paramètres!$A$1:$I$89,5,0)</f>
        <v>5.5899999999998728</v>
      </c>
      <c r="AK167" s="14">
        <f t="shared" si="164"/>
        <v>2.1084588929503409</v>
      </c>
      <c r="AL167" s="22">
        <f t="shared" si="165"/>
        <v>13.408149238554955</v>
      </c>
      <c r="AM167" s="62">
        <f t="shared" si="113"/>
        <v>306.74148257188824</v>
      </c>
      <c r="AN167" s="62">
        <f ca="1">AVERAGE(OFFSET($AM$3,0,0,'Données projet'!$E$10+1,1))-AVERAGE(OFFSET($H$3,0,0,'Données projet'!$E$10+1,1))</f>
        <v>443.34220761968419</v>
      </c>
      <c r="AO167" s="62">
        <f t="shared" si="144"/>
        <v>546.58234447298014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0.59814971569567177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2.0849682396211381E-19</v>
      </c>
      <c r="AX167" s="23">
        <f t="shared" si="166"/>
        <v>0.59814971569567177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-1.1368683772161603E-13</v>
      </c>
      <c r="O168" s="14">
        <f>N168*VLOOKUP('Données projet'!$B$9,Paramètres!$A$1:$I$89,3,0)*VLOOKUP('Données projet'!$B$9,Paramètres!$A$1:$I$89,5,0)</f>
        <v>-5.3205440053716299E-14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396.92963589781414</v>
      </c>
      <c r="T168" s="62">
        <f t="shared" si="142"/>
        <v>294.38852181137639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9.9999999999997726</v>
      </c>
      <c r="AJ168" s="14">
        <f>AI168*VLOOKUP('Données projet'!$B$10,Paramètres!$A$1:$I$89,3,0)*VLOOKUP('Données projet'!$B$10,Paramètres!$A$1:$I$89,5,0)</f>
        <v>5.5899999999998728</v>
      </c>
      <c r="AK168" s="14">
        <f t="shared" si="164"/>
        <v>2.1084588929503409</v>
      </c>
      <c r="AL168" s="22">
        <f t="shared" si="165"/>
        <v>13.408149238554955</v>
      </c>
      <c r="AM168" s="62">
        <f t="shared" si="113"/>
        <v>306.74148257188824</v>
      </c>
      <c r="AN168" s="62">
        <f ca="1">AVERAGE(OFFSET($AM$3,0,0,'Données projet'!$E$10+1,1))-AVERAGE(OFFSET($H$3,0,0,'Données projet'!$E$10+1,1))</f>
        <v>443.34220761968419</v>
      </c>
      <c r="AO168" s="62">
        <f t="shared" si="144"/>
        <v>546.58234447298014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0.58642036460618174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1.4742951807946853E-19</v>
      </c>
      <c r="AX168" s="23">
        <f t="shared" si="166"/>
        <v>0.58642036460618174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-1.1368683772161603E-13</v>
      </c>
      <c r="O169" s="14">
        <f>N169*VLOOKUP('Données projet'!$B$9,Paramètres!$A$1:$I$89,3,0)*VLOOKUP('Données projet'!$B$9,Paramètres!$A$1:$I$89,5,0)</f>
        <v>-5.3205440053716299E-14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396.92963589781414</v>
      </c>
      <c r="T169" s="62">
        <f t="shared" si="142"/>
        <v>294.38852181137639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9.9999999999997726</v>
      </c>
      <c r="AJ169" s="14">
        <f>AI169*VLOOKUP('Données projet'!$B$10,Paramètres!$A$1:$I$89,3,0)*VLOOKUP('Données projet'!$B$10,Paramètres!$A$1:$I$89,5,0)</f>
        <v>5.5899999999998728</v>
      </c>
      <c r="AK169" s="14">
        <f t="shared" si="164"/>
        <v>2.1084588929503409</v>
      </c>
      <c r="AL169" s="22">
        <f t="shared" si="165"/>
        <v>13.408149238554955</v>
      </c>
      <c r="AM169" s="62">
        <f t="shared" si="113"/>
        <v>306.74148257188824</v>
      </c>
      <c r="AN169" s="62">
        <f ca="1">AVERAGE(OFFSET($AM$3,0,0,'Données projet'!$E$10+1,1))-AVERAGE(OFFSET($H$3,0,0,'Données projet'!$E$10+1,1))</f>
        <v>443.34220761968419</v>
      </c>
      <c r="AO169" s="62">
        <f t="shared" si="144"/>
        <v>546.58234447298014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0.57492101893735881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1.042484119810569E-19</v>
      </c>
      <c r="AX169" s="23">
        <f t="shared" si="166"/>
        <v>0.57492101893735881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-1.1368683772161603E-13</v>
      </c>
      <c r="O170" s="14">
        <f>N170*VLOOKUP('Données projet'!$B$9,Paramètres!$A$1:$I$89,3,0)*VLOOKUP('Données projet'!$B$9,Paramètres!$A$1:$I$89,5,0)</f>
        <v>-5.3205440053716299E-14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396.92963589781414</v>
      </c>
      <c r="T170" s="62">
        <f t="shared" si="142"/>
        <v>294.38852181137639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9.9999999999997726</v>
      </c>
      <c r="AJ170" s="14">
        <f>AI170*VLOOKUP('Données projet'!$B$10,Paramètres!$A$1:$I$89,3,0)*VLOOKUP('Données projet'!$B$10,Paramètres!$A$1:$I$89,5,0)</f>
        <v>5.5899999999998728</v>
      </c>
      <c r="AK170" s="14">
        <f t="shared" si="164"/>
        <v>2.1084588929503409</v>
      </c>
      <c r="AL170" s="22">
        <f t="shared" si="165"/>
        <v>13.408149238554955</v>
      </c>
      <c r="AM170" s="62">
        <f t="shared" si="113"/>
        <v>306.74148257188824</v>
      </c>
      <c r="AN170" s="62">
        <f ca="1">AVERAGE(OFFSET($AM$3,0,0,'Données projet'!$E$10+1,1))-AVERAGE(OFFSET($H$3,0,0,'Données projet'!$E$10+1,1))</f>
        <v>443.34220761968419</v>
      </c>
      <c r="AO170" s="62">
        <f t="shared" si="144"/>
        <v>546.58234447298014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0.56364716842319329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7.3714759039734263E-20</v>
      </c>
      <c r="AX170" s="23">
        <f t="shared" si="166"/>
        <v>0.56364716842319329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-1.1368683772161603E-13</v>
      </c>
      <c r="O171" s="14">
        <f>N171*VLOOKUP('Données projet'!$B$9,Paramètres!$A$1:$I$89,3,0)*VLOOKUP('Données projet'!$B$9,Paramètres!$A$1:$I$89,5,0)</f>
        <v>-5.3205440053716299E-14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396.92963589781414</v>
      </c>
      <c r="T171" s="62">
        <f t="shared" si="142"/>
        <v>294.38852181137639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9.9999999999997726</v>
      </c>
      <c r="AJ171" s="14">
        <f>AI171*VLOOKUP('Données projet'!$B$10,Paramètres!$A$1:$I$89,3,0)*VLOOKUP('Données projet'!$B$10,Paramètres!$A$1:$I$89,5,0)</f>
        <v>5.5899999999998728</v>
      </c>
      <c r="AK171" s="14">
        <f t="shared" si="164"/>
        <v>2.1084588929503409</v>
      </c>
      <c r="AL171" s="22">
        <f t="shared" si="165"/>
        <v>13.408149238554955</v>
      </c>
      <c r="AM171" s="62">
        <f t="shared" si="113"/>
        <v>306.74148257188824</v>
      </c>
      <c r="AN171" s="62">
        <f ca="1">AVERAGE(OFFSET($AM$3,0,0,'Données projet'!$E$10+1,1))-AVERAGE(OFFSET($H$3,0,0,'Données projet'!$E$10+1,1))</f>
        <v>443.34220761968419</v>
      </c>
      <c r="AO171" s="62">
        <f t="shared" si="144"/>
        <v>546.58234447298014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0.55259439124124066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5.2124205990528452E-20</v>
      </c>
      <c r="AX171" s="23">
        <f t="shared" si="166"/>
        <v>0.55259439124124066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-1.1368683772161603E-13</v>
      </c>
      <c r="O172" s="14">
        <f>N172*VLOOKUP('Données projet'!$B$9,Paramètres!$A$1:$I$89,3,0)*VLOOKUP('Données projet'!$B$9,Paramètres!$A$1:$I$89,5,0)</f>
        <v>-5.3205440053716299E-14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396.92963589781414</v>
      </c>
      <c r="T172" s="62">
        <f t="shared" si="142"/>
        <v>294.38852181137639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9.9999999999997726</v>
      </c>
      <c r="AJ172" s="14">
        <f>AI172*VLOOKUP('Données projet'!$B$10,Paramètres!$A$1:$I$89,3,0)*VLOOKUP('Données projet'!$B$10,Paramètres!$A$1:$I$89,5,0)</f>
        <v>5.5899999999998728</v>
      </c>
      <c r="AK172" s="14">
        <f t="shared" si="164"/>
        <v>2.1084588929503409</v>
      </c>
      <c r="AL172" s="22">
        <f t="shared" si="165"/>
        <v>13.408149238554955</v>
      </c>
      <c r="AM172" s="62">
        <f t="shared" si="113"/>
        <v>306.74148257188824</v>
      </c>
      <c r="AN172" s="62">
        <f ca="1">AVERAGE(OFFSET($AM$3,0,0,'Données projet'!$E$10+1,1))-AVERAGE(OFFSET($H$3,0,0,'Données projet'!$E$10+1,1))</f>
        <v>443.34220761968419</v>
      </c>
      <c r="AO172" s="62">
        <f t="shared" si="144"/>
        <v>546.58234447298014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0.54175835227829772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3.6857379519867131E-20</v>
      </c>
      <c r="AX172" s="23">
        <f t="shared" si="166"/>
        <v>0.54175835227829772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-1.1368683772161603E-13</v>
      </c>
      <c r="O173" s="14">
        <f>N173*VLOOKUP('Données projet'!$B$9,Paramètres!$A$1:$I$89,3,0)*VLOOKUP('Données projet'!$B$9,Paramètres!$A$1:$I$89,5,0)</f>
        <v>-5.3205440053716299E-14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396.92963589781414</v>
      </c>
      <c r="T173" s="62">
        <f t="shared" si="142"/>
        <v>294.38852181137639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9.9999999999997726</v>
      </c>
      <c r="AJ173" s="14">
        <f>AI173*VLOOKUP('Données projet'!$B$10,Paramètres!$A$1:$I$89,3,0)*VLOOKUP('Données projet'!$B$10,Paramètres!$A$1:$I$89,5,0)</f>
        <v>5.5899999999998728</v>
      </c>
      <c r="AK173" s="14">
        <f t="shared" si="164"/>
        <v>2.1084588929503409</v>
      </c>
      <c r="AL173" s="22">
        <f t="shared" si="165"/>
        <v>13.408149238554955</v>
      </c>
      <c r="AM173" s="62">
        <f t="shared" si="113"/>
        <v>306.74148257188824</v>
      </c>
      <c r="AN173" s="62">
        <f ca="1">AVERAGE(OFFSET($AM$3,0,0,'Données projet'!$E$10+1,1))-AVERAGE(OFFSET($H$3,0,0,'Données projet'!$E$10+1,1))</f>
        <v>443.34220761968419</v>
      </c>
      <c r="AO173" s="62">
        <f t="shared" si="144"/>
        <v>546.58234447298014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0.53113480143008696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2.6062102995264226E-20</v>
      </c>
      <c r="AX173" s="23">
        <f t="shared" si="166"/>
        <v>0.53113480143008696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-1.1368683772161603E-13</v>
      </c>
      <c r="O174" s="14">
        <f>N174*VLOOKUP('Données projet'!$B$9,Paramètres!$A$1:$I$89,3,0)*VLOOKUP('Données projet'!$B$9,Paramètres!$A$1:$I$89,5,0)</f>
        <v>-5.3205440053716299E-14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396.92963589781414</v>
      </c>
      <c r="T174" s="62">
        <f t="shared" si="142"/>
        <v>294.38852181137639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9.9999999999997726</v>
      </c>
      <c r="AJ174" s="14">
        <f>AI174*VLOOKUP('Données projet'!$B$10,Paramètres!$A$1:$I$89,3,0)*VLOOKUP('Données projet'!$B$10,Paramètres!$A$1:$I$89,5,0)</f>
        <v>5.5899999999998728</v>
      </c>
      <c r="AK174" s="14">
        <f t="shared" si="164"/>
        <v>2.1084588929503409</v>
      </c>
      <c r="AL174" s="22">
        <f t="shared" si="165"/>
        <v>13.408149238554955</v>
      </c>
      <c r="AM174" s="62">
        <f t="shared" si="113"/>
        <v>306.74148257188824</v>
      </c>
      <c r="AN174" s="62">
        <f ca="1">AVERAGE(OFFSET($AM$3,0,0,'Données projet'!$E$10+1,1))-AVERAGE(OFFSET($H$3,0,0,'Données projet'!$E$10+1,1))</f>
        <v>443.34220761968419</v>
      </c>
      <c r="AO174" s="62">
        <f t="shared" si="144"/>
        <v>546.58234447298014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0.52071957193428342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1.8428689759933566E-20</v>
      </c>
      <c r="AX174" s="23">
        <f t="shared" si="166"/>
        <v>0.52071957193428342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-1.1368683772161603E-13</v>
      </c>
      <c r="O175" s="14">
        <f>N175*VLOOKUP('Données projet'!$B$9,Paramètres!$A$1:$I$89,3,0)*VLOOKUP('Données projet'!$B$9,Paramètres!$A$1:$I$89,5,0)</f>
        <v>-5.3205440053716299E-14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396.92963589781414</v>
      </c>
      <c r="T175" s="62">
        <f t="shared" si="142"/>
        <v>294.38852181137639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9.9999999999997726</v>
      </c>
      <c r="AJ175" s="14">
        <f>AI175*VLOOKUP('Données projet'!$B$10,Paramètres!$A$1:$I$89,3,0)*VLOOKUP('Données projet'!$B$10,Paramètres!$A$1:$I$89,5,0)</f>
        <v>5.5899999999998728</v>
      </c>
      <c r="AK175" s="14">
        <f t="shared" si="164"/>
        <v>2.1084588929503409</v>
      </c>
      <c r="AL175" s="22">
        <f t="shared" si="165"/>
        <v>13.408149238554955</v>
      </c>
      <c r="AM175" s="62">
        <f t="shared" si="113"/>
        <v>306.74148257188824</v>
      </c>
      <c r="AN175" s="62">
        <f ca="1">AVERAGE(OFFSET($AM$3,0,0,'Données projet'!$E$10+1,1))-AVERAGE(OFFSET($H$3,0,0,'Données projet'!$E$10+1,1))</f>
        <v>443.34220761968419</v>
      </c>
      <c r="AO175" s="62">
        <f t="shared" si="144"/>
        <v>546.58234447298014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0.5105085787362299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1.3031051497632113E-20</v>
      </c>
      <c r="AX175" s="23">
        <f t="shared" si="166"/>
        <v>0.5105085787362299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-1.1368683772161603E-13</v>
      </c>
      <c r="O176" s="14">
        <f>N176*VLOOKUP('Données projet'!$B$9,Paramètres!$A$1:$I$89,3,0)*VLOOKUP('Données projet'!$B$9,Paramètres!$A$1:$I$89,5,0)</f>
        <v>-5.3205440053716299E-14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396.92963589781414</v>
      </c>
      <c r="T176" s="62">
        <f t="shared" si="142"/>
        <v>294.38852181137639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9.9999999999997726</v>
      </c>
      <c r="AJ176" s="14">
        <f>AI176*VLOOKUP('Données projet'!$B$10,Paramètres!$A$1:$I$89,3,0)*VLOOKUP('Données projet'!$B$10,Paramètres!$A$1:$I$89,5,0)</f>
        <v>5.5899999999998728</v>
      </c>
      <c r="AK176" s="14">
        <f t="shared" si="164"/>
        <v>2.1084588929503409</v>
      </c>
      <c r="AL176" s="22">
        <f t="shared" si="165"/>
        <v>13.408149238554955</v>
      </c>
      <c r="AM176" s="62">
        <f t="shared" si="113"/>
        <v>306.74148257188824</v>
      </c>
      <c r="AN176" s="62">
        <f ca="1">AVERAGE(OFFSET($AM$3,0,0,'Données projet'!$E$10+1,1))-AVERAGE(OFFSET($H$3,0,0,'Données projet'!$E$10+1,1))</f>
        <v>443.34220761968419</v>
      </c>
      <c r="AO176" s="62">
        <f t="shared" si="144"/>
        <v>546.58234447298014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0.50049781688669925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9.2143448799667829E-21</v>
      </c>
      <c r="AX176" s="23">
        <f t="shared" si="166"/>
        <v>0.50049781688669925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-1.1368683772161603E-13</v>
      </c>
      <c r="O177" s="14">
        <f>N177*VLOOKUP('Données projet'!$B$9,Paramètres!$A$1:$I$89,3,0)*VLOOKUP('Données projet'!$B$9,Paramètres!$A$1:$I$89,5,0)</f>
        <v>-5.3205440053716299E-14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396.92963589781414</v>
      </c>
      <c r="T177" s="62">
        <f t="shared" si="142"/>
        <v>294.38852181137639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9.9999999999997726</v>
      </c>
      <c r="AJ177" s="14">
        <f>AI177*VLOOKUP('Données projet'!$B$10,Paramètres!$A$1:$I$89,3,0)*VLOOKUP('Données projet'!$B$10,Paramètres!$A$1:$I$89,5,0)</f>
        <v>5.5899999999998728</v>
      </c>
      <c r="AK177" s="14">
        <f t="shared" si="164"/>
        <v>2.1084588929503409</v>
      </c>
      <c r="AL177" s="22">
        <f t="shared" si="165"/>
        <v>13.408149238554955</v>
      </c>
      <c r="AM177" s="62">
        <f t="shared" si="113"/>
        <v>306.74148257188824</v>
      </c>
      <c r="AN177" s="62">
        <f ca="1">AVERAGE(OFFSET($AM$3,0,0,'Données projet'!$E$10+1,1))-AVERAGE(OFFSET($H$3,0,0,'Données projet'!$E$10+1,1))</f>
        <v>443.34220761968419</v>
      </c>
      <c r="AO177" s="62">
        <f t="shared" si="144"/>
        <v>546.58234447298014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0.49068335997107615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6.5155257488160565E-21</v>
      </c>
      <c r="AX177" s="23">
        <f t="shared" si="166"/>
        <v>0.49068335997107615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-1.1368683772161603E-13</v>
      </c>
      <c r="O178" s="14">
        <f>N178*VLOOKUP('Données projet'!$B$9,Paramètres!$A$1:$I$89,3,0)*VLOOKUP('Données projet'!$B$9,Paramètres!$A$1:$I$89,5,0)</f>
        <v>-5.3205440053716299E-14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396.92963589781414</v>
      </c>
      <c r="T178" s="62">
        <f t="shared" si="142"/>
        <v>294.38852181137639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9.9999999999997726</v>
      </c>
      <c r="AJ178" s="14">
        <f>AI178*VLOOKUP('Données projet'!$B$10,Paramètres!$A$1:$I$89,3,0)*VLOOKUP('Données projet'!$B$10,Paramètres!$A$1:$I$89,5,0)</f>
        <v>5.5899999999998728</v>
      </c>
      <c r="AK178" s="14">
        <f t="shared" si="164"/>
        <v>2.1084588929503409</v>
      </c>
      <c r="AL178" s="22">
        <f t="shared" si="165"/>
        <v>13.408149238554955</v>
      </c>
      <c r="AM178" s="62">
        <f t="shared" si="113"/>
        <v>306.74148257188824</v>
      </c>
      <c r="AN178" s="62">
        <f ca="1">AVERAGE(OFFSET($AM$3,0,0,'Données projet'!$E$10+1,1))-AVERAGE(OFFSET($H$3,0,0,'Données projet'!$E$10+1,1))</f>
        <v>443.34220761968419</v>
      </c>
      <c r="AO178" s="62">
        <f t="shared" si="144"/>
        <v>546.58234447298014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0.48106135856934074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4.6071724399833914E-21</v>
      </c>
      <c r="AX178" s="23">
        <f t="shared" si="166"/>
        <v>0.48106135856934074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-1.1368683772161603E-13</v>
      </c>
      <c r="O179" s="14">
        <f>N179*VLOOKUP('Données projet'!$B$9,Paramètres!$A$1:$I$89,3,0)*VLOOKUP('Données projet'!$B$9,Paramètres!$A$1:$I$89,5,0)</f>
        <v>-5.3205440053716299E-14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396.92963589781414</v>
      </c>
      <c r="T179" s="62">
        <f t="shared" si="142"/>
        <v>294.38852181137639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9.9999999999997726</v>
      </c>
      <c r="AJ179" s="14">
        <f>AI179*VLOOKUP('Données projet'!$B$10,Paramètres!$A$1:$I$89,3,0)*VLOOKUP('Données projet'!$B$10,Paramètres!$A$1:$I$89,5,0)</f>
        <v>5.5899999999998728</v>
      </c>
      <c r="AK179" s="14">
        <f t="shared" si="164"/>
        <v>2.1084588929503409</v>
      </c>
      <c r="AL179" s="22">
        <f t="shared" si="165"/>
        <v>13.408149238554955</v>
      </c>
      <c r="AM179" s="62">
        <f t="shared" si="113"/>
        <v>306.74148257188824</v>
      </c>
      <c r="AN179" s="62">
        <f ca="1">AVERAGE(OFFSET($AM$3,0,0,'Données projet'!$E$10+1,1))-AVERAGE(OFFSET($H$3,0,0,'Données projet'!$E$10+1,1))</f>
        <v>443.34220761968419</v>
      </c>
      <c r="AO179" s="62">
        <f t="shared" si="144"/>
        <v>546.58234447298014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0.47162803874625203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3.2577628744080283E-21</v>
      </c>
      <c r="AX179" s="23">
        <f t="shared" si="166"/>
        <v>0.47162803874625203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-1.1368683772161603E-13</v>
      </c>
      <c r="O180" s="14">
        <f>N180*VLOOKUP('Données projet'!$B$9,Paramètres!$A$1:$I$89,3,0)*VLOOKUP('Données projet'!$B$9,Paramètres!$A$1:$I$89,5,0)</f>
        <v>-5.3205440053716299E-14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396.92963589781414</v>
      </c>
      <c r="T180" s="62">
        <f t="shared" si="142"/>
        <v>294.38852181137639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9.9999999999997726</v>
      </c>
      <c r="AJ180" s="14">
        <f>AI180*VLOOKUP('Données projet'!$B$10,Paramètres!$A$1:$I$89,3,0)*VLOOKUP('Données projet'!$B$10,Paramètres!$A$1:$I$89,5,0)</f>
        <v>5.5899999999998728</v>
      </c>
      <c r="AK180" s="14">
        <f t="shared" si="164"/>
        <v>2.1084588929503409</v>
      </c>
      <c r="AL180" s="22">
        <f t="shared" si="165"/>
        <v>13.408149238554955</v>
      </c>
      <c r="AM180" s="62">
        <f t="shared" si="113"/>
        <v>306.74148257188824</v>
      </c>
      <c r="AN180" s="62">
        <f ca="1">AVERAGE(OFFSET($AM$3,0,0,'Données projet'!$E$10+1,1))-AVERAGE(OFFSET($H$3,0,0,'Données projet'!$E$10+1,1))</f>
        <v>443.34220761968419</v>
      </c>
      <c r="AO180" s="62">
        <f t="shared" si="144"/>
        <v>546.58234447298014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0.46237970057113714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2.3035862199916957E-21</v>
      </c>
      <c r="AX180" s="23">
        <f t="shared" si="166"/>
        <v>0.46237970057113714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-1.1368683772161603E-13</v>
      </c>
      <c r="O181" s="14">
        <f>N181*VLOOKUP('Données projet'!$B$9,Paramètres!$A$1:$I$89,3,0)*VLOOKUP('Données projet'!$B$9,Paramètres!$A$1:$I$89,5,0)</f>
        <v>-5.3205440053716299E-14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396.92963589781414</v>
      </c>
      <c r="T181" s="62">
        <f t="shared" si="142"/>
        <v>294.38852181137639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9.9999999999997726</v>
      </c>
      <c r="AJ181" s="14">
        <f>AI181*VLOOKUP('Données projet'!$B$10,Paramètres!$A$1:$I$89,3,0)*VLOOKUP('Données projet'!$B$10,Paramètres!$A$1:$I$89,5,0)</f>
        <v>5.5899999999998728</v>
      </c>
      <c r="AK181" s="14">
        <f t="shared" si="164"/>
        <v>2.1084588929503409</v>
      </c>
      <c r="AL181" s="22">
        <f t="shared" si="165"/>
        <v>13.408149238554955</v>
      </c>
      <c r="AM181" s="62">
        <f t="shared" si="113"/>
        <v>306.74148257188824</v>
      </c>
      <c r="AN181" s="62">
        <f ca="1">AVERAGE(OFFSET($AM$3,0,0,'Données projet'!$E$10+1,1))-AVERAGE(OFFSET($H$3,0,0,'Données projet'!$E$10+1,1))</f>
        <v>443.34220761968419</v>
      </c>
      <c r="AO181" s="62">
        <f t="shared" si="144"/>
        <v>546.58234447298014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0.45331271666670697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1.6288814372040141E-21</v>
      </c>
      <c r="AX181" s="23">
        <f t="shared" si="166"/>
        <v>0.45331271666670697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-1.1368683772161603E-13</v>
      </c>
      <c r="O182" s="14">
        <f>N182*VLOOKUP('Données projet'!$B$9,Paramètres!$A$1:$I$89,3,0)*VLOOKUP('Données projet'!$B$9,Paramètres!$A$1:$I$89,5,0)</f>
        <v>-5.3205440053716299E-14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396.92963589781414</v>
      </c>
      <c r="T182" s="62">
        <f t="shared" si="142"/>
        <v>294.38852181137639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9.9999999999997726</v>
      </c>
      <c r="AJ182" s="14">
        <f>AI182*VLOOKUP('Données projet'!$B$10,Paramètres!$A$1:$I$89,3,0)*VLOOKUP('Données projet'!$B$10,Paramètres!$A$1:$I$89,5,0)</f>
        <v>5.5899999999998728</v>
      </c>
      <c r="AK182" s="14">
        <f t="shared" si="164"/>
        <v>2.1084588929503409</v>
      </c>
      <c r="AL182" s="22">
        <f t="shared" si="165"/>
        <v>13.408149238554955</v>
      </c>
      <c r="AM182" s="62">
        <f t="shared" si="113"/>
        <v>306.74148257188824</v>
      </c>
      <c r="AN182" s="62">
        <f ca="1">AVERAGE(OFFSET($AM$3,0,0,'Données projet'!$E$10+1,1))-AVERAGE(OFFSET($H$3,0,0,'Données projet'!$E$10+1,1))</f>
        <v>443.34220761968419</v>
      </c>
      <c r="AO182" s="62">
        <f t="shared" si="144"/>
        <v>546.58234447298014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0.44442353078632857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1.1517931099958479E-21</v>
      </c>
      <c r="AX182" s="23">
        <f t="shared" si="166"/>
        <v>0.44442353078632857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-1.1368683772161603E-13</v>
      </c>
      <c r="O183" s="14">
        <f>N183*VLOOKUP('Données projet'!$B$9,Paramètres!$A$1:$I$89,3,0)*VLOOKUP('Données projet'!$B$9,Paramètres!$A$1:$I$89,5,0)</f>
        <v>-5.3205440053716299E-14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396.92963589781414</v>
      </c>
      <c r="T183" s="62">
        <f t="shared" si="142"/>
        <v>294.38852181137639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9.9999999999997726</v>
      </c>
      <c r="AJ183" s="14">
        <f>AI183*VLOOKUP('Données projet'!$B$10,Paramètres!$A$1:$I$89,3,0)*VLOOKUP('Données projet'!$B$10,Paramètres!$A$1:$I$89,5,0)</f>
        <v>5.5899999999998728</v>
      </c>
      <c r="AK183" s="14">
        <f t="shared" si="164"/>
        <v>2.1084588929503409</v>
      </c>
      <c r="AL183" s="22">
        <f t="shared" si="165"/>
        <v>13.408149238554955</v>
      </c>
      <c r="AM183" s="62">
        <f t="shared" si="113"/>
        <v>306.74148257188824</v>
      </c>
      <c r="AN183" s="62">
        <f ca="1">AVERAGE(OFFSET($AM$3,0,0,'Données projet'!$E$10+1,1))-AVERAGE(OFFSET($H$3,0,0,'Données projet'!$E$10+1,1))</f>
        <v>443.34220761968419</v>
      </c>
      <c r="AO183" s="62">
        <f t="shared" si="144"/>
        <v>546.58234447298014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0.43570865641919637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8.1444071860200706E-22</v>
      </c>
      <c r="AX183" s="23">
        <f t="shared" si="166"/>
        <v>0.43570865641919637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-1.1368683772161603E-13</v>
      </c>
      <c r="O184" s="14">
        <f>N184*VLOOKUP('Données projet'!$B$9,Paramètres!$A$1:$I$89,3,0)*VLOOKUP('Données projet'!$B$9,Paramètres!$A$1:$I$89,5,0)</f>
        <v>-5.3205440053716299E-14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396.92963589781414</v>
      </c>
      <c r="T184" s="62">
        <f t="shared" si="142"/>
        <v>294.38852181137639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9.9999999999997726</v>
      </c>
      <c r="AJ184" s="14">
        <f>AI184*VLOOKUP('Données projet'!$B$10,Paramètres!$A$1:$I$89,3,0)*VLOOKUP('Données projet'!$B$10,Paramètres!$A$1:$I$89,5,0)</f>
        <v>5.5899999999998728</v>
      </c>
      <c r="AK184" s="14">
        <f t="shared" si="164"/>
        <v>2.1084588929503409</v>
      </c>
      <c r="AL184" s="22">
        <f t="shared" si="165"/>
        <v>13.408149238554955</v>
      </c>
      <c r="AM184" s="62">
        <f t="shared" si="113"/>
        <v>306.74148257188824</v>
      </c>
      <c r="AN184" s="62">
        <f ca="1">AVERAGE(OFFSET($AM$3,0,0,'Données projet'!$E$10+1,1))-AVERAGE(OFFSET($H$3,0,0,'Données projet'!$E$10+1,1))</f>
        <v>443.34220761968419</v>
      </c>
      <c r="AO184" s="62">
        <f t="shared" si="144"/>
        <v>546.58234447298014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0.42716467542285513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5.7589655499792393E-22</v>
      </c>
      <c r="AX184" s="23">
        <f t="shared" si="166"/>
        <v>0.42716467542285513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-1.1368683772161603E-13</v>
      </c>
      <c r="O185" s="14">
        <f>N185*VLOOKUP('Données projet'!$B$9,Paramètres!$A$1:$I$89,3,0)*VLOOKUP('Données projet'!$B$9,Paramètres!$A$1:$I$89,5,0)</f>
        <v>-5.3205440053716299E-14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396.92963589781414</v>
      </c>
      <c r="T185" s="62">
        <f t="shared" si="142"/>
        <v>294.38852181137639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9.9999999999997726</v>
      </c>
      <c r="AJ185" s="14">
        <f>AI185*VLOOKUP('Données projet'!$B$10,Paramètres!$A$1:$I$89,3,0)*VLOOKUP('Données projet'!$B$10,Paramètres!$A$1:$I$89,5,0)</f>
        <v>5.5899999999998728</v>
      </c>
      <c r="AK185" s="14">
        <f t="shared" si="164"/>
        <v>2.1084588929503409</v>
      </c>
      <c r="AL185" s="22">
        <f t="shared" si="165"/>
        <v>13.408149238554955</v>
      </c>
      <c r="AM185" s="62">
        <f t="shared" si="113"/>
        <v>306.74148257188824</v>
      </c>
      <c r="AN185" s="62">
        <f ca="1">AVERAGE(OFFSET($AM$3,0,0,'Données projet'!$E$10+1,1))-AVERAGE(OFFSET($H$3,0,0,'Données projet'!$E$10+1,1))</f>
        <v>443.34220761968419</v>
      </c>
      <c r="AO185" s="62">
        <f t="shared" si="144"/>
        <v>546.58234447298014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0.41878823668253828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4.0722035930100353E-22</v>
      </c>
      <c r="AX185" s="23">
        <f t="shared" si="166"/>
        <v>0.41878823668253828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-1.1368683772161603E-13</v>
      </c>
      <c r="O186" s="14">
        <f>N186*VLOOKUP('Données projet'!$B$9,Paramètres!$A$1:$I$89,3,0)*VLOOKUP('Données projet'!$B$9,Paramètres!$A$1:$I$89,5,0)</f>
        <v>-5.3205440053716299E-14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396.92963589781414</v>
      </c>
      <c r="T186" s="62">
        <f t="shared" si="142"/>
        <v>294.38852181137639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9.9999999999997726</v>
      </c>
      <c r="AJ186" s="14">
        <f>AI186*VLOOKUP('Données projet'!$B$10,Paramètres!$A$1:$I$89,3,0)*VLOOKUP('Données projet'!$B$10,Paramètres!$A$1:$I$89,5,0)</f>
        <v>5.5899999999998728</v>
      </c>
      <c r="AK186" s="14">
        <f t="shared" si="164"/>
        <v>2.1084588929503409</v>
      </c>
      <c r="AL186" s="22">
        <f t="shared" si="165"/>
        <v>13.408149238554955</v>
      </c>
      <c r="AM186" s="62">
        <f t="shared" si="113"/>
        <v>306.74148257188824</v>
      </c>
      <c r="AN186" s="62">
        <f ca="1">AVERAGE(OFFSET($AM$3,0,0,'Données projet'!$E$10+1,1))-AVERAGE(OFFSET($H$3,0,0,'Données projet'!$E$10+1,1))</f>
        <v>443.34220761968419</v>
      </c>
      <c r="AO186" s="62">
        <f t="shared" si="144"/>
        <v>546.58234447298014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0.41057605479679593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2.8794827749896196E-22</v>
      </c>
      <c r="AX186" s="23">
        <f t="shared" si="166"/>
        <v>0.41057605479679593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-1.1368683772161603E-13</v>
      </c>
      <c r="O187" s="14">
        <f>N187*VLOOKUP('Données projet'!$B$9,Paramètres!$A$1:$I$89,3,0)*VLOOKUP('Données projet'!$B$9,Paramètres!$A$1:$I$89,5,0)</f>
        <v>-5.3205440053716299E-14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396.92963589781414</v>
      </c>
      <c r="T187" s="62">
        <f t="shared" si="142"/>
        <v>294.38852181137639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9.9999999999997726</v>
      </c>
      <c r="AJ187" s="14">
        <f>AI187*VLOOKUP('Données projet'!$B$10,Paramètres!$A$1:$I$89,3,0)*VLOOKUP('Données projet'!$B$10,Paramètres!$A$1:$I$89,5,0)</f>
        <v>5.5899999999998728</v>
      </c>
      <c r="AK187" s="14">
        <f t="shared" si="164"/>
        <v>2.1084588929503409</v>
      </c>
      <c r="AL187" s="22">
        <f t="shared" si="165"/>
        <v>13.408149238554955</v>
      </c>
      <c r="AM187" s="62">
        <f t="shared" si="113"/>
        <v>306.74148257188824</v>
      </c>
      <c r="AN187" s="62">
        <f ca="1">AVERAGE(OFFSET($AM$3,0,0,'Données projet'!$E$10+1,1))-AVERAGE(OFFSET($H$3,0,0,'Données projet'!$E$10+1,1))</f>
        <v>443.34220761968419</v>
      </c>
      <c r="AO187" s="62">
        <f t="shared" si="144"/>
        <v>546.58234447298014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0.40252490878889663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2.0361017965050177E-22</v>
      </c>
      <c r="AX187" s="23">
        <f t="shared" si="166"/>
        <v>0.40252490878889663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-1.1368683772161603E-13</v>
      </c>
      <c r="O188" s="14">
        <f>N188*VLOOKUP('Données projet'!$B$9,Paramètres!$A$1:$I$89,3,0)*VLOOKUP('Données projet'!$B$9,Paramètres!$A$1:$I$89,5,0)</f>
        <v>-5.3205440053716299E-14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396.92963589781414</v>
      </c>
      <c r="T188" s="62">
        <f t="shared" si="142"/>
        <v>294.38852181137639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9.9999999999997726</v>
      </c>
      <c r="AJ188" s="14">
        <f>AI188*VLOOKUP('Données projet'!$B$10,Paramètres!$A$1:$I$89,3,0)*VLOOKUP('Données projet'!$B$10,Paramètres!$A$1:$I$89,5,0)</f>
        <v>5.5899999999998728</v>
      </c>
      <c r="AK188" s="14">
        <f t="shared" si="164"/>
        <v>2.1084588929503409</v>
      </c>
      <c r="AL188" s="22">
        <f t="shared" si="165"/>
        <v>13.408149238554955</v>
      </c>
      <c r="AM188" s="62">
        <f t="shared" si="113"/>
        <v>306.74148257188824</v>
      </c>
      <c r="AN188" s="62">
        <f ca="1">AVERAGE(OFFSET($AM$3,0,0,'Données projet'!$E$10+1,1))-AVERAGE(OFFSET($H$3,0,0,'Données projet'!$E$10+1,1))</f>
        <v>443.34220761968419</v>
      </c>
      <c r="AO188" s="62">
        <f t="shared" si="144"/>
        <v>546.58234447298014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0.39463164084349805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1.4397413874948098E-22</v>
      </c>
      <c r="AX188" s="23">
        <f t="shared" si="166"/>
        <v>0.39463164084349805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-1.1368683772161603E-13</v>
      </c>
      <c r="O189" s="14">
        <f>N189*VLOOKUP('Données projet'!$B$9,Paramètres!$A$1:$I$89,3,0)*VLOOKUP('Données projet'!$B$9,Paramètres!$A$1:$I$89,5,0)</f>
        <v>-5.3205440053716299E-14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396.92963589781414</v>
      </c>
      <c r="T189" s="62">
        <f t="shared" si="142"/>
        <v>294.38852181137639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9.9999999999997726</v>
      </c>
      <c r="AJ189" s="14">
        <f>AI189*VLOOKUP('Données projet'!$B$10,Paramètres!$A$1:$I$89,3,0)*VLOOKUP('Données projet'!$B$10,Paramètres!$A$1:$I$89,5,0)</f>
        <v>5.5899999999998728</v>
      </c>
      <c r="AK189" s="14">
        <f t="shared" si="164"/>
        <v>2.1084588929503409</v>
      </c>
      <c r="AL189" s="22">
        <f t="shared" si="165"/>
        <v>13.408149238554955</v>
      </c>
      <c r="AM189" s="62">
        <f t="shared" si="113"/>
        <v>306.74148257188824</v>
      </c>
      <c r="AN189" s="62">
        <f ca="1">AVERAGE(OFFSET($AM$3,0,0,'Données projet'!$E$10+1,1))-AVERAGE(OFFSET($H$3,0,0,'Données projet'!$E$10+1,1))</f>
        <v>443.34220761968419</v>
      </c>
      <c r="AO189" s="62">
        <f t="shared" si="144"/>
        <v>546.58234447298014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0.38689315506809069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1.0180508982525088E-22</v>
      </c>
      <c r="AX189" s="23">
        <f t="shared" si="166"/>
        <v>0.38689315506809069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-1.1368683772161603E-13</v>
      </c>
      <c r="O190" s="14">
        <f>N190*VLOOKUP('Données projet'!$B$9,Paramètres!$A$1:$I$89,3,0)*VLOOKUP('Données projet'!$B$9,Paramètres!$A$1:$I$89,5,0)</f>
        <v>-5.3205440053716299E-14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396.92963589781414</v>
      </c>
      <c r="T190" s="62">
        <f t="shared" si="142"/>
        <v>294.38852181137639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9.9999999999997726</v>
      </c>
      <c r="AJ190" s="14">
        <f>AI190*VLOOKUP('Données projet'!$B$10,Paramètres!$A$1:$I$89,3,0)*VLOOKUP('Données projet'!$B$10,Paramètres!$A$1:$I$89,5,0)</f>
        <v>5.5899999999998728</v>
      </c>
      <c r="AK190" s="14">
        <f t="shared" si="164"/>
        <v>2.1084588929503409</v>
      </c>
      <c r="AL190" s="22">
        <f t="shared" si="165"/>
        <v>13.408149238554955</v>
      </c>
      <c r="AM190" s="62">
        <f t="shared" si="113"/>
        <v>306.74148257188824</v>
      </c>
      <c r="AN190" s="62">
        <f ca="1">AVERAGE(OFFSET($AM$3,0,0,'Données projet'!$E$10+1,1))-AVERAGE(OFFSET($H$3,0,0,'Données projet'!$E$10+1,1))</f>
        <v>443.34220761968419</v>
      </c>
      <c r="AO190" s="62">
        <f t="shared" si="144"/>
        <v>546.58234447298014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0.3793064162787288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7.1987069374740491E-23</v>
      </c>
      <c r="AX190" s="23">
        <f t="shared" si="166"/>
        <v>0.3793064162787288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-1.1368683772161603E-13</v>
      </c>
      <c r="O191" s="14">
        <f>N191*VLOOKUP('Données projet'!$B$9,Paramètres!$A$1:$I$89,3,0)*VLOOKUP('Données projet'!$B$9,Paramètres!$A$1:$I$89,5,0)</f>
        <v>-5.3205440053716299E-14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396.92963589781414</v>
      </c>
      <c r="T191" s="62">
        <f t="shared" si="142"/>
        <v>294.38852181137639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9.9999999999997726</v>
      </c>
      <c r="AJ191" s="14">
        <f>AI191*VLOOKUP('Données projet'!$B$10,Paramètres!$A$1:$I$89,3,0)*VLOOKUP('Données projet'!$B$10,Paramètres!$A$1:$I$89,5,0)</f>
        <v>5.5899999999998728</v>
      </c>
      <c r="AK191" s="14">
        <f t="shared" si="164"/>
        <v>2.1084588929503409</v>
      </c>
      <c r="AL191" s="22">
        <f t="shared" si="165"/>
        <v>13.408149238554955</v>
      </c>
      <c r="AM191" s="62">
        <f t="shared" si="113"/>
        <v>306.74148257188824</v>
      </c>
      <c r="AN191" s="62">
        <f ca="1">AVERAGE(OFFSET($AM$3,0,0,'Données projet'!$E$10+1,1))-AVERAGE(OFFSET($H$3,0,0,'Données projet'!$E$10+1,1))</f>
        <v>443.34220761968419</v>
      </c>
      <c r="AO191" s="62">
        <f t="shared" si="144"/>
        <v>546.58234447298014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0.37186844880957254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5.0902544912625441E-23</v>
      </c>
      <c r="AX191" s="23">
        <f t="shared" si="166"/>
        <v>0.37186844880957254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-1.1368683772161603E-13</v>
      </c>
      <c r="O192" s="14">
        <f>N192*VLOOKUP('Données projet'!$B$9,Paramètres!$A$1:$I$89,3,0)*VLOOKUP('Données projet'!$B$9,Paramètres!$A$1:$I$89,5,0)</f>
        <v>-5.3205440053716299E-14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396.92963589781414</v>
      </c>
      <c r="T192" s="62">
        <f t="shared" si="142"/>
        <v>294.38852181137639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9.9999999999997726</v>
      </c>
      <c r="AJ192" s="14">
        <f>AI192*VLOOKUP('Données projet'!$B$10,Paramètres!$A$1:$I$89,3,0)*VLOOKUP('Données projet'!$B$10,Paramètres!$A$1:$I$89,5,0)</f>
        <v>5.5899999999998728</v>
      </c>
      <c r="AK192" s="14">
        <f t="shared" si="164"/>
        <v>2.1084588929503409</v>
      </c>
      <c r="AL192" s="22">
        <f t="shared" si="165"/>
        <v>13.408149238554955</v>
      </c>
      <c r="AM192" s="62">
        <f t="shared" si="113"/>
        <v>306.74148257188824</v>
      </c>
      <c r="AN192" s="62">
        <f ca="1">AVERAGE(OFFSET($AM$3,0,0,'Données projet'!$E$10+1,1))-AVERAGE(OFFSET($H$3,0,0,'Données projet'!$E$10+1,1))</f>
        <v>443.34220761968419</v>
      </c>
      <c r="AO192" s="62">
        <f t="shared" si="144"/>
        <v>546.58234447298014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0.36457633534577422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3.5993534687370246E-23</v>
      </c>
      <c r="AX192" s="23">
        <f t="shared" si="166"/>
        <v>0.36457633534577422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-1.1368683772161603E-13</v>
      </c>
      <c r="O193" s="14">
        <f>N193*VLOOKUP('Données projet'!$B$9,Paramètres!$A$1:$I$89,3,0)*VLOOKUP('Données projet'!$B$9,Paramètres!$A$1:$I$89,5,0)</f>
        <v>-5.3205440053716299E-14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396.92963589781414</v>
      </c>
      <c r="T193" s="62">
        <f t="shared" si="142"/>
        <v>294.38852181137639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9.9999999999997726</v>
      </c>
      <c r="AJ193" s="14">
        <f>AI193*VLOOKUP('Données projet'!$B$10,Paramètres!$A$1:$I$89,3,0)*VLOOKUP('Données projet'!$B$10,Paramètres!$A$1:$I$89,5,0)</f>
        <v>5.5899999999998728</v>
      </c>
      <c r="AK193" s="14">
        <f t="shared" si="164"/>
        <v>2.1084588929503409</v>
      </c>
      <c r="AL193" s="22">
        <f t="shared" si="165"/>
        <v>13.408149238554955</v>
      </c>
      <c r="AM193" s="62">
        <f t="shared" si="113"/>
        <v>306.74148257188824</v>
      </c>
      <c r="AN193" s="62">
        <f ca="1">AVERAGE(OFFSET($AM$3,0,0,'Données projet'!$E$10+1,1))-AVERAGE(OFFSET($H$3,0,0,'Données projet'!$E$10+1,1))</f>
        <v>443.34220761968419</v>
      </c>
      <c r="AO193" s="62">
        <f t="shared" si="144"/>
        <v>546.58234447298014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0.35742721577925096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2.5451272456312721E-23</v>
      </c>
      <c r="AX193" s="23">
        <f t="shared" si="166"/>
        <v>0.35742721577925096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-1.1368683772161603E-13</v>
      </c>
      <c r="O194" s="14">
        <f>N194*VLOOKUP('Données projet'!$B$9,Paramètres!$A$1:$I$89,3,0)*VLOOKUP('Données projet'!$B$9,Paramètres!$A$1:$I$89,5,0)</f>
        <v>-5.3205440053716299E-14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396.92963589781414</v>
      </c>
      <c r="T194" s="62">
        <f t="shared" si="142"/>
        <v>294.38852181137639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9.9999999999997726</v>
      </c>
      <c r="AJ194" s="14">
        <f>AI194*VLOOKUP('Données projet'!$B$10,Paramètres!$A$1:$I$89,3,0)*VLOOKUP('Données projet'!$B$10,Paramètres!$A$1:$I$89,5,0)</f>
        <v>5.5899999999998728</v>
      </c>
      <c r="AK194" s="14">
        <f t="shared" si="164"/>
        <v>2.1084588929503409</v>
      </c>
      <c r="AL194" s="22">
        <f t="shared" si="165"/>
        <v>13.408149238554955</v>
      </c>
      <c r="AM194" s="62">
        <f t="shared" si="113"/>
        <v>306.74148257188824</v>
      </c>
      <c r="AN194" s="62">
        <f ca="1">AVERAGE(OFFSET($AM$3,0,0,'Données projet'!$E$10+1,1))-AVERAGE(OFFSET($H$3,0,0,'Données projet'!$E$10+1,1))</f>
        <v>443.34220761968419</v>
      </c>
      <c r="AO194" s="62">
        <f t="shared" si="144"/>
        <v>546.58234447298014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0.35041828608689485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1.7996767343685123E-23</v>
      </c>
      <c r="AX194" s="23">
        <f t="shared" si="166"/>
        <v>0.35041828608689485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-1.1368683772161603E-13</v>
      </c>
      <c r="O195" s="14">
        <f>N195*VLOOKUP('Données projet'!$B$9,Paramètres!$A$1:$I$89,3,0)*VLOOKUP('Données projet'!$B$9,Paramètres!$A$1:$I$89,5,0)</f>
        <v>-5.3205440053716299E-14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396.92963589781414</v>
      </c>
      <c r="T195" s="62">
        <f t="shared" si="142"/>
        <v>294.38852181137639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9.9999999999997726</v>
      </c>
      <c r="AJ195" s="14">
        <f>AI195*VLOOKUP('Données projet'!$B$10,Paramètres!$A$1:$I$89,3,0)*VLOOKUP('Données projet'!$B$10,Paramètres!$A$1:$I$89,5,0)</f>
        <v>5.5899999999998728</v>
      </c>
      <c r="AK195" s="14">
        <f t="shared" si="164"/>
        <v>2.1084588929503409</v>
      </c>
      <c r="AL195" s="22">
        <f t="shared" si="165"/>
        <v>13.408149238554955</v>
      </c>
      <c r="AM195" s="62">
        <f t="shared" si="113"/>
        <v>306.74148257188824</v>
      </c>
      <c r="AN195" s="62">
        <f ca="1">AVERAGE(OFFSET($AM$3,0,0,'Données projet'!$E$10+1,1))-AVERAGE(OFFSET($H$3,0,0,'Données projet'!$E$10+1,1))</f>
        <v>443.34220761968419</v>
      </c>
      <c r="AO195" s="62">
        <f t="shared" si="144"/>
        <v>546.58234447298014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0.34354679723078085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1.272563622815636E-23</v>
      </c>
      <c r="AX195" s="23">
        <f t="shared" si="166"/>
        <v>0.34354679723078085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-1.1368683772161603E-13</v>
      </c>
      <c r="O196" s="14">
        <f>N196*VLOOKUP('Données projet'!$B$9,Paramètres!$A$1:$I$89,3,0)*VLOOKUP('Données projet'!$B$9,Paramètres!$A$1:$I$89,5,0)</f>
        <v>-5.3205440053716299E-14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396.92963589781414</v>
      </c>
      <c r="T196" s="62">
        <f t="shared" si="142"/>
        <v>294.38852181137639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9.9999999999997726</v>
      </c>
      <c r="AJ196" s="14">
        <f>AI196*VLOOKUP('Données projet'!$B$10,Paramètres!$A$1:$I$89,3,0)*VLOOKUP('Données projet'!$B$10,Paramètres!$A$1:$I$89,5,0)</f>
        <v>5.5899999999998728</v>
      </c>
      <c r="AK196" s="14">
        <f t="shared" si="164"/>
        <v>2.1084588929503409</v>
      </c>
      <c r="AL196" s="22">
        <f t="shared" si="165"/>
        <v>13.408149238554955</v>
      </c>
      <c r="AM196" s="62">
        <f t="shared" ref="AM196:AM203" si="193">AL196+(AD196+AE196)*44/12</f>
        <v>306.74148257188824</v>
      </c>
      <c r="AN196" s="62">
        <f ca="1">AVERAGE(OFFSET($AM$3,0,0,'Données projet'!$E$10+1,1))-AVERAGE(OFFSET($H$3,0,0,'Données projet'!$E$10+1,1))</f>
        <v>443.34220761968419</v>
      </c>
      <c r="AO196" s="62">
        <f t="shared" si="144"/>
        <v>546.58234447298014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0.33681005407994091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8.9983836718425614E-24</v>
      </c>
      <c r="AX196" s="23">
        <f t="shared" si="166"/>
        <v>0.33681005407994091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-1.1368683772161603E-13</v>
      </c>
      <c r="O197" s="14">
        <f>N197*VLOOKUP('Données projet'!$B$9,Paramètres!$A$1:$I$89,3,0)*VLOOKUP('Données projet'!$B$9,Paramètres!$A$1:$I$89,5,0)</f>
        <v>-5.3205440053716299E-14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396.92963589781414</v>
      </c>
      <c r="T197" s="62">
        <f t="shared" ref="T197:T203" si="204">$T$3</f>
        <v>294.38852181137639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9.9999999999997726</v>
      </c>
      <c r="AJ197" s="14">
        <f>AI197*VLOOKUP('Données projet'!$B$10,Paramètres!$A$1:$I$89,3,0)*VLOOKUP('Données projet'!$B$10,Paramètres!$A$1:$I$89,5,0)</f>
        <v>5.5899999999998728</v>
      </c>
      <c r="AK197" s="14">
        <f t="shared" si="164"/>
        <v>2.1084588929503409</v>
      </c>
      <c r="AL197" s="22">
        <f t="shared" si="165"/>
        <v>13.408149238554955</v>
      </c>
      <c r="AM197" s="62">
        <f t="shared" si="193"/>
        <v>306.74148257188824</v>
      </c>
      <c r="AN197" s="62">
        <f ca="1">AVERAGE(OFFSET($AM$3,0,0,'Données projet'!$E$10+1,1))-AVERAGE(OFFSET($H$3,0,0,'Données projet'!$E$10+1,1))</f>
        <v>443.34220761968419</v>
      </c>
      <c r="AO197" s="62">
        <f t="shared" ref="AO197:AO203" si="205">$AO$3</f>
        <v>546.58234447298014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0.33020541435328138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6.3628181140781802E-24</v>
      </c>
      <c r="AX197" s="23">
        <f t="shared" si="166"/>
        <v>0.33020541435328138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-1.1368683772161603E-13</v>
      </c>
      <c r="O198" s="14">
        <f>N198*VLOOKUP('Données projet'!$B$9,Paramètres!$A$1:$I$89,3,0)*VLOOKUP('Données projet'!$B$9,Paramètres!$A$1:$I$89,5,0)</f>
        <v>-5.3205440053716299E-14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396.92963589781414</v>
      </c>
      <c r="T198" s="62">
        <f t="shared" si="204"/>
        <v>294.38852181137639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9.9999999999997726</v>
      </c>
      <c r="AJ198" s="14">
        <f>AI198*VLOOKUP('Données projet'!$B$10,Paramètres!$A$1:$I$89,3,0)*VLOOKUP('Données projet'!$B$10,Paramètres!$A$1:$I$89,5,0)</f>
        <v>5.5899999999998728</v>
      </c>
      <c r="AK198" s="14">
        <f t="shared" si="164"/>
        <v>2.1084588929503409</v>
      </c>
      <c r="AL198" s="22">
        <f t="shared" si="165"/>
        <v>13.408149238554955</v>
      </c>
      <c r="AM198" s="62">
        <f t="shared" si="193"/>
        <v>306.74148257188824</v>
      </c>
      <c r="AN198" s="62">
        <f ca="1">AVERAGE(OFFSET($AM$3,0,0,'Données projet'!$E$10+1,1))-AVERAGE(OFFSET($H$3,0,0,'Données projet'!$E$10+1,1))</f>
        <v>443.34220761968419</v>
      </c>
      <c r="AO198" s="62">
        <f t="shared" si="205"/>
        <v>546.58234447298014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0.32373028758322914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4.4991918359212807E-24</v>
      </c>
      <c r="AX198" s="23">
        <f t="shared" si="166"/>
        <v>0.32373028758322914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-1.1368683772161603E-13</v>
      </c>
      <c r="O199" s="14">
        <f>N199*VLOOKUP('Données projet'!$B$9,Paramètres!$A$1:$I$89,3,0)*VLOOKUP('Données projet'!$B$9,Paramètres!$A$1:$I$89,5,0)</f>
        <v>-5.3205440053716299E-14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396.92963589781414</v>
      </c>
      <c r="T199" s="62">
        <f t="shared" si="204"/>
        <v>294.38852181137639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9.9999999999997726</v>
      </c>
      <c r="AJ199" s="14">
        <f>AI199*VLOOKUP('Données projet'!$B$10,Paramètres!$A$1:$I$89,3,0)*VLOOKUP('Données projet'!$B$10,Paramètres!$A$1:$I$89,5,0)</f>
        <v>5.5899999999998728</v>
      </c>
      <c r="AK199" s="14">
        <f t="shared" si="164"/>
        <v>2.1084588929503409</v>
      </c>
      <c r="AL199" s="22">
        <f t="shared" si="165"/>
        <v>13.408149238554955</v>
      </c>
      <c r="AM199" s="62">
        <f t="shared" si="193"/>
        <v>306.74148257188824</v>
      </c>
      <c r="AN199" s="62">
        <f ca="1">AVERAGE(OFFSET($AM$3,0,0,'Données projet'!$E$10+1,1))-AVERAGE(OFFSET($H$3,0,0,'Données projet'!$E$10+1,1))</f>
        <v>443.34220761968419</v>
      </c>
      <c r="AO199" s="62">
        <f t="shared" si="205"/>
        <v>546.58234447298014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0.31738213409970029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3.1814090570390901E-24</v>
      </c>
      <c r="AX199" s="23">
        <f t="shared" si="166"/>
        <v>0.31738213409970029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-1.1368683772161603E-13</v>
      </c>
      <c r="O200" s="14">
        <f>N200*VLOOKUP('Données projet'!$B$9,Paramètres!$A$1:$I$89,3,0)*VLOOKUP('Données projet'!$B$9,Paramètres!$A$1:$I$89,5,0)</f>
        <v>-5.3205440053716299E-14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396.92963589781414</v>
      </c>
      <c r="T200" s="62">
        <f t="shared" si="204"/>
        <v>294.38852181137639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9.9999999999997726</v>
      </c>
      <c r="AJ200" s="14">
        <f>AI200*VLOOKUP('Données projet'!$B$10,Paramètres!$A$1:$I$89,3,0)*VLOOKUP('Données projet'!$B$10,Paramètres!$A$1:$I$89,5,0)</f>
        <v>5.5899999999998728</v>
      </c>
      <c r="AK200" s="14">
        <f t="shared" si="164"/>
        <v>2.1084588929503409</v>
      </c>
      <c r="AL200" s="22">
        <f t="shared" si="165"/>
        <v>13.408149238554955</v>
      </c>
      <c r="AM200" s="62">
        <f t="shared" si="193"/>
        <v>306.74148257188824</v>
      </c>
      <c r="AN200" s="62">
        <f ca="1">AVERAGE(OFFSET($AM$3,0,0,'Données projet'!$E$10+1,1))-AVERAGE(OFFSET($H$3,0,0,'Données projet'!$E$10+1,1))</f>
        <v>443.34220761968419</v>
      </c>
      <c r="AO200" s="62">
        <f t="shared" si="205"/>
        <v>546.58234447298014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0.31115846403399211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2.2495959179606403E-24</v>
      </c>
      <c r="AX200" s="23">
        <f t="shared" si="166"/>
        <v>0.31115846403399211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-1.1368683772161603E-13</v>
      </c>
      <c r="O201" s="14">
        <f>N201*VLOOKUP('Données projet'!$B$9,Paramètres!$A$1:$I$89,3,0)*VLOOKUP('Données projet'!$B$9,Paramètres!$A$1:$I$89,5,0)</f>
        <v>-5.3205440053716299E-14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396.92963589781414</v>
      </c>
      <c r="T201" s="62">
        <f t="shared" si="204"/>
        <v>294.38852181137639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9.9999999999997726</v>
      </c>
      <c r="AJ201" s="14">
        <f>AI201*VLOOKUP('Données projet'!$B$10,Paramètres!$A$1:$I$89,3,0)*VLOOKUP('Données projet'!$B$10,Paramètres!$A$1:$I$89,5,0)</f>
        <v>5.5899999999998728</v>
      </c>
      <c r="AK201" s="14">
        <f t="shared" si="164"/>
        <v>2.1084588929503409</v>
      </c>
      <c r="AL201" s="22">
        <f t="shared" si="165"/>
        <v>13.408149238554955</v>
      </c>
      <c r="AM201" s="62">
        <f t="shared" si="193"/>
        <v>306.74148257188824</v>
      </c>
      <c r="AN201" s="62">
        <f ca="1">AVERAGE(OFFSET($AM$3,0,0,'Données projet'!$E$10+1,1))-AVERAGE(OFFSET($H$3,0,0,'Données projet'!$E$10+1,1))</f>
        <v>443.34220761968419</v>
      </c>
      <c r="AO201" s="62">
        <f t="shared" si="205"/>
        <v>546.58234447298014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0.30505683634220859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1.590704528519545E-24</v>
      </c>
      <c r="AX201" s="23">
        <f t="shared" si="166"/>
        <v>0.30505683634220859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-1.1368683772161603E-13</v>
      </c>
      <c r="O202" s="14">
        <f>N202*VLOOKUP('Données projet'!$B$9,Paramètres!$A$1:$I$89,3,0)*VLOOKUP('Données projet'!$B$9,Paramètres!$A$1:$I$89,5,0)</f>
        <v>-5.3205440053716299E-14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396.92963589781414</v>
      </c>
      <c r="T202" s="62">
        <f t="shared" si="204"/>
        <v>294.38852181137639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9.9999999999997726</v>
      </c>
      <c r="AJ202" s="14">
        <f>AI202*VLOOKUP('Données projet'!$B$10,Paramètres!$A$1:$I$89,3,0)*VLOOKUP('Données projet'!$B$10,Paramètres!$A$1:$I$89,5,0)</f>
        <v>5.5899999999998728</v>
      </c>
      <c r="AK202" s="14">
        <f t="shared" si="164"/>
        <v>2.1084588929503409</v>
      </c>
      <c r="AL202" s="22">
        <f t="shared" si="165"/>
        <v>13.408149238554955</v>
      </c>
      <c r="AM202" s="62">
        <f t="shared" si="193"/>
        <v>306.74148257188824</v>
      </c>
      <c r="AN202" s="62">
        <f ca="1">AVERAGE(OFFSET($AM$3,0,0,'Données projet'!$E$10+1,1))-AVERAGE(OFFSET($H$3,0,0,'Données projet'!$E$10+1,1))</f>
        <v>443.34220761968419</v>
      </c>
      <c r="AO202" s="62">
        <f t="shared" si="205"/>
        <v>546.58234447298014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0.29907485784783555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1.1247979589803202E-24</v>
      </c>
      <c r="AX202" s="23">
        <f t="shared" si="166"/>
        <v>0.29907485784783555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-1.1368683772161603E-13</v>
      </c>
      <c r="O203" s="14">
        <f>N203*VLOOKUP('Données projet'!$B$9,Paramètres!$A$1:$I$89,3,0)*VLOOKUP('Données projet'!$B$9,Paramètres!$A$1:$I$89,5,0)</f>
        <v>-5.3205440053716299E-14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396.92963589781414</v>
      </c>
      <c r="T203" s="62">
        <f t="shared" si="204"/>
        <v>294.38852181137639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9.9999999999997726</v>
      </c>
      <c r="AJ203" s="14">
        <f>AI203*VLOOKUP('Données projet'!$B$10,Paramètres!$A$1:$I$89,3,0)*VLOOKUP('Données projet'!$B$10,Paramètres!$A$1:$I$89,5,0)</f>
        <v>5.5899999999998728</v>
      </c>
      <c r="AK203" s="14">
        <f t="shared" si="164"/>
        <v>2.1084588929503409</v>
      </c>
      <c r="AL203" s="22">
        <f t="shared" si="165"/>
        <v>13.408149238554955</v>
      </c>
      <c r="AM203" s="62">
        <f t="shared" si="193"/>
        <v>306.74148257188824</v>
      </c>
      <c r="AN203" s="62">
        <f ca="1">AVERAGE(OFFSET($AM$3,0,0,'Données projet'!$E$10+1,1))-AVERAGE(OFFSET($H$3,0,0,'Données projet'!$E$10+1,1))</f>
        <v>443.34220761968419</v>
      </c>
      <c r="AO203" s="62">
        <f t="shared" si="205"/>
        <v>546.58234447298014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0.29321018230309054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7.9535226425977252E-25</v>
      </c>
      <c r="AX203" s="23">
        <f t="shared" si="166"/>
        <v>0.29321018230309054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1.2880503926580862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1.3070441688874561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N9" sqref="N9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Cèdre de l'Atlas</v>
      </c>
      <c r="B6" s="155">
        <f>'Données projet'!D9</f>
        <v>1.7</v>
      </c>
      <c r="C6" s="156">
        <f ca="1">IF(OR('Données projet'!B9="",'Données projet'!C9="",'Données projet'!C9=0%),0,Calculateur!S3)</f>
        <v>396.92963589781414</v>
      </c>
      <c r="D6" s="156">
        <f>IF(OR('Données projet'!B9="",'Données projet'!C9="",'Données projet'!C9=0%),0,Calculateur!T3)</f>
        <v>294.38852181137639</v>
      </c>
      <c r="E6" s="156">
        <f ca="1">MIN(C6,D6)</f>
        <v>294.38852181137639</v>
      </c>
      <c r="F6" s="156">
        <f ca="1">E6*B6</f>
        <v>500.46048707933983</v>
      </c>
      <c r="G6" s="156">
        <f ca="1">F6*(100%-'Données projet'!$C$24)*(100%-'Données projet'!$C$25)*(100%-'Données projet'!$C$26)*(100%-'Données projet'!$C$27)</f>
        <v>382.85227261569497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382.85227261569497</v>
      </c>
      <c r="M6" s="25">
        <f ca="1">L6/B6</f>
        <v>225.20721918570294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Douglas</v>
      </c>
      <c r="B7" s="163">
        <f>'Données projet'!D10</f>
        <v>1.7</v>
      </c>
      <c r="C7" s="156">
        <f ca="1">IF(OR('Données projet'!B10="",'Données projet'!C10="",'Données projet'!C10=0%),0,Calculateur!AN3)</f>
        <v>443.34220761968419</v>
      </c>
      <c r="D7" s="156">
        <f>IF(OR('Données projet'!B10="",'Données projet'!C10="",'Données projet'!C10=0%),0,Calculateur!AO3)</f>
        <v>546.58234447298014</v>
      </c>
      <c r="E7" s="156">
        <f t="shared" ref="E7:E15" ca="1" si="0">MIN(C7,D7)</f>
        <v>443.34220761968419</v>
      </c>
      <c r="F7" s="156">
        <f t="shared" ref="F7:F15" ca="1" si="1">E7*B7</f>
        <v>753.68175295346305</v>
      </c>
      <c r="G7" s="156">
        <f ca="1">F7*(100%-'Données projet'!$C$24)*(100%-'Données projet'!$C$25)*(100%-'Données projet'!$C$26)*(100%-'Données projet'!$C$27)</f>
        <v>576.5665410093992</v>
      </c>
      <c r="H7" s="164">
        <f>IF(OR('Données projet'!B10="",'Données projet'!C10="",'Données projet'!C10=0%),0,AVERAGE(Calculateur!$AX$3:$AX$33)*B7)</f>
        <v>7.5020411229321642</v>
      </c>
      <c r="I7" s="158">
        <f>H7*(100%-'Données projet'!$C$24)*(100%-'Données projet'!$C$25)*(100%-'Données projet'!$C$26)*(100%-'Données projet'!$C$27)</f>
        <v>5.7390614590431053</v>
      </c>
      <c r="J7" s="159">
        <f>IF(OR('Données projet'!B10="",'Données projet'!C10="",'Données projet'!C10=0%),0,SUM(Calculateur!$AQ$3:$AQ$33)*VLOOKUP('Données projet'!$B$10,Paramètres!$A$1:$I$89,9,0)*B7)</f>
        <v>78.947999999999993</v>
      </c>
      <c r="K7" s="160">
        <f>J7*(100%-'Données projet'!$C$24)*(100%-'Données projet'!$C$25)*(100%-'Données projet'!$C$26)*(100%-'Données projet'!$C$27)</f>
        <v>60.395219999999988</v>
      </c>
      <c r="L7" s="161">
        <f t="shared" ref="L7:L15" ca="1" si="2">G7+I7+K7</f>
        <v>642.70082246844231</v>
      </c>
      <c r="M7" s="25">
        <f ca="1">L7/B7</f>
        <v>378.05930733437782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1254.1422400328029</v>
      </c>
      <c r="G16" s="175">
        <f t="shared" ca="1" si="3"/>
        <v>959.41881362509412</v>
      </c>
      <c r="H16" s="176">
        <f t="shared" si="3"/>
        <v>7.5020411229321642</v>
      </c>
      <c r="I16" s="176">
        <f t="shared" si="3"/>
        <v>5.7390614590431053</v>
      </c>
      <c r="J16" s="177">
        <f t="shared" si="3"/>
        <v>78.947999999999993</v>
      </c>
      <c r="K16" s="177">
        <f t="shared" si="3"/>
        <v>60.395219999999988</v>
      </c>
      <c r="L16" s="178">
        <f t="shared" ca="1" si="3"/>
        <v>1025.5530950841373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Cèdre de l'Atlas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Douglas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10" zoomScale="80" zoomScaleNormal="80" workbookViewId="0">
      <selection activeCell="C32" sqref="C3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Cèdre de l'Atlas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1407.9370533706347</v>
      </c>
      <c r="U10" s="190">
        <f>'Données projet'!D9</f>
        <v>1.7</v>
      </c>
      <c r="V10" s="189">
        <f>U10*T10</f>
        <v>2393.4929907300789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Douglas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4465.6383980625633</v>
      </c>
      <c r="U11" s="190">
        <f>'Données projet'!D10</f>
        <v>1.7</v>
      </c>
      <c r="V11" s="189">
        <f t="shared" ref="V11" si="0">U11*T11</f>
        <v>7591.585276706357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Cèdre de l'Atlas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5101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0</v>
      </c>
      <c r="C23" s="206">
        <v>0</v>
      </c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-7358.3217325635615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0</v>
      </c>
      <c r="C24" s="206">
        <v>0</v>
      </c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40</v>
      </c>
      <c r="B25" s="193">
        <f>'Données projet'!D38</f>
        <v>88</v>
      </c>
      <c r="C25" s="206">
        <v>15</v>
      </c>
      <c r="D25" s="194">
        <f t="shared" si="2"/>
        <v>1320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-7358.3217325635615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50</v>
      </c>
      <c r="B26" s="193">
        <f>'Données projet'!D39</f>
        <v>0</v>
      </c>
      <c r="C26" s="206">
        <v>22</v>
      </c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60</v>
      </c>
      <c r="B27" s="193">
        <f>'Données projet'!D40</f>
        <v>102</v>
      </c>
      <c r="C27" s="206">
        <v>29</v>
      </c>
      <c r="D27" s="194">
        <f t="shared" si="2"/>
        <v>2958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70</v>
      </c>
      <c r="B28" s="193">
        <f>'Données projet'!D41</f>
        <v>113</v>
      </c>
      <c r="C28" s="206">
        <v>36</v>
      </c>
      <c r="D28" s="194">
        <f t="shared" si="2"/>
        <v>4068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80</v>
      </c>
      <c r="B29" s="193">
        <f>'Données projet'!D42</f>
        <v>124</v>
      </c>
      <c r="C29" s="206">
        <v>45</v>
      </c>
      <c r="D29" s="194">
        <f t="shared" si="2"/>
        <v>5580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90</v>
      </c>
      <c r="B30" s="193">
        <f>'Données projet'!D43</f>
        <v>135</v>
      </c>
      <c r="C30" s="206">
        <v>51</v>
      </c>
      <c r="D30" s="194">
        <f t="shared" si="2"/>
        <v>6885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100</v>
      </c>
      <c r="B31" s="193">
        <f>'Données projet'!D44</f>
        <v>723</v>
      </c>
      <c r="C31" s="206">
        <v>55</v>
      </c>
      <c r="D31" s="194">
        <f t="shared" si="2"/>
        <v>39765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Douglas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19</v>
      </c>
      <c r="B54" s="193">
        <f>'Données projet'!D62</f>
        <v>0</v>
      </c>
      <c r="C54" s="204">
        <v>0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54</v>
      </c>
      <c r="C55" s="204">
        <v>0</v>
      </c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54</v>
      </c>
      <c r="C56" s="204">
        <v>15</v>
      </c>
      <c r="D56" s="191">
        <f t="shared" si="4"/>
        <v>810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69</v>
      </c>
      <c r="C57" s="204">
        <v>22</v>
      </c>
      <c r="D57" s="191">
        <f t="shared" si="4"/>
        <v>1518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72</v>
      </c>
      <c r="C58" s="204">
        <v>29</v>
      </c>
      <c r="D58" s="191">
        <f t="shared" si="4"/>
        <v>2088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66</v>
      </c>
      <c r="C59" s="204">
        <v>36</v>
      </c>
      <c r="D59" s="191">
        <f t="shared" si="4"/>
        <v>2376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48</v>
      </c>
      <c r="C60" s="204">
        <v>49</v>
      </c>
      <c r="D60" s="191">
        <f t="shared" si="4"/>
        <v>2352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55</v>
      </c>
      <c r="B61" s="193">
        <f>'Données projet'!D69</f>
        <v>35</v>
      </c>
      <c r="C61" s="204">
        <v>55</v>
      </c>
      <c r="D61" s="191">
        <f t="shared" si="4"/>
        <v>1925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60</v>
      </c>
      <c r="B62" s="193">
        <f>'Données projet'!D70</f>
        <v>656</v>
      </c>
      <c r="C62" s="204">
        <v>60</v>
      </c>
      <c r="D62" s="191">
        <f t="shared" si="4"/>
        <v>39360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30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str">
        <f>IF(O93+1&lt;=MIN('Données projet'!$E$9:$E$18),O93+1,"STOP")</f>
        <v>STOP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2023-10-10T13:38:32Z</dcterms:modified>
</cp:coreProperties>
</file>