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A.S.O\Tour de France 2022 femmes\54 - Lupcourt\Dossier labellisation\"/>
    </mc:Choice>
  </mc:AlternateContent>
  <bookViews>
    <workbookView xWindow="0" yWindow="0" windowWidth="20430" windowHeight="3105" tabRatio="866" firstSheet="1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1" i="1" l="1"/>
  <c r="B231" i="1"/>
  <c r="D219" i="1"/>
  <c r="B219" i="1"/>
  <c r="D153" i="1"/>
  <c r="B153" i="1"/>
  <c r="D151" i="1"/>
  <c r="B151" i="1"/>
  <c r="D149" i="1"/>
  <c r="B149" i="1"/>
  <c r="B148" i="1"/>
  <c r="D147" i="1"/>
  <c r="B147" i="1"/>
  <c r="B146" i="1"/>
  <c r="D145" i="1"/>
  <c r="B145" i="1"/>
  <c r="D143" i="1"/>
  <c r="B143" i="1"/>
  <c r="D141" i="1"/>
  <c r="B141" i="1"/>
  <c r="D124" i="1"/>
  <c r="B124" i="1"/>
  <c r="B123" i="1"/>
  <c r="B122" i="1"/>
  <c r="B121" i="1"/>
  <c r="B120" i="1"/>
  <c r="B119" i="1"/>
  <c r="B118" i="1"/>
  <c r="B117" i="1"/>
  <c r="B116" i="1"/>
  <c r="B115" i="1"/>
  <c r="B114" i="1"/>
  <c r="B95" i="1"/>
  <c r="D95" i="1" s="1"/>
  <c r="B94" i="1"/>
  <c r="B93" i="1"/>
  <c r="B92" i="1"/>
  <c r="B91" i="1"/>
  <c r="B90" i="1"/>
  <c r="B89" i="1"/>
  <c r="B88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I4" i="2" l="1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W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W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C22" i="2"/>
  <c r="EB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Q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B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X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FS113" i="2"/>
  <c r="EW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FS140" i="2"/>
  <c r="EX140" i="2"/>
  <c r="EB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B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FR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FS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EY154" i="2" s="1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W155" i="2"/>
  <c r="EX155" i="2"/>
  <c r="EA155" i="2"/>
  <c r="ED155" i="2" s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AX152" i="2"/>
  <c r="EX156" i="2" l="1"/>
  <c r="DH156" i="2"/>
  <c r="FS156" i="2"/>
  <c r="E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C157" i="2"/>
  <c r="CN156" i="2"/>
  <c r="EX157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V158" i="2" l="1"/>
  <c r="EC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C159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EY159" i="2"/>
  <c r="DG160" i="2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FS161" i="2" l="1"/>
  <c r="EX161" i="2"/>
  <c r="EB161" i="2"/>
  <c r="EA161" i="2"/>
  <c r="ED161" i="2" s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C162" i="2"/>
  <c r="EB162" i="2"/>
  <c r="EW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B163" i="2"/>
  <c r="EV163" i="2"/>
  <c r="EY163" i="2" s="1"/>
  <c r="EA163" i="2"/>
  <c r="ED163" i="2" s="1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DI163" i="2" l="1"/>
  <c r="FR164" i="2"/>
  <c r="FS164" i="2"/>
  <c r="EX164" i="2"/>
  <c r="EV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D165" i="2" s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EA167" i="2"/>
  <c r="EB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DG168" i="2"/>
  <c r="DI167" i="2"/>
  <c r="EV168" i="2"/>
  <c r="EY168" i="2" s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D171" i="2" s="1"/>
  <c r="FS171" i="2"/>
  <c r="HI171" i="2"/>
  <c r="EC171" i="2"/>
  <c r="EX171" i="2"/>
  <c r="DH171" i="2"/>
  <c r="EW171" i="2"/>
  <c r="EY171" i="2" s="1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FS175" i="2" l="1"/>
  <c r="EB175" i="2"/>
  <c r="EA175" i="2"/>
  <c r="EW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FQ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FS178" i="2"/>
  <c r="EA178" i="2"/>
  <c r="ED178" i="2" s="1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DF179" i="2"/>
  <c r="EV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D180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DG182" i="2"/>
  <c r="EX182" i="2"/>
  <c r="EA182" i="2"/>
  <c r="ED182" i="2" s="1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A185" i="2" l="1"/>
  <c r="EV185" i="2"/>
  <c r="EW185" i="2"/>
  <c r="EB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R186" i="2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Y188" i="2" s="1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B189" i="2" l="1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EY189" i="2" s="1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W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C191" i="2" l="1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EB192" i="2"/>
  <c r="EC192" i="2"/>
  <c r="EA192" i="2"/>
  <c r="ED192" i="2" s="1"/>
  <c r="AW192" i="2"/>
  <c r="EX192" i="2"/>
  <c r="EY192" i="2" s="1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B193" i="2" l="1"/>
  <c r="EA193" i="2"/>
  <c r="ED193" i="2" s="1"/>
  <c r="FQ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EA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FQ195" i="2" l="1"/>
  <c r="ED194" i="2"/>
  <c r="DH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FS197" i="2" l="1"/>
  <c r="EC197" i="2"/>
  <c r="EA197" i="2"/>
  <c r="ED197" i="2" s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V198" i="2" l="1"/>
  <c r="EW198" i="2"/>
  <c r="FS198" i="2"/>
  <c r="EX198" i="2"/>
  <c r="EY198" i="2" s="1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FS199" i="2" l="1"/>
  <c r="EB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FS201" i="2"/>
  <c r="EB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CS137" i="2" a="1"/>
  <c r="CS137" i="2" s="1"/>
  <c r="CS129" i="2" a="1"/>
  <c r="CS129" i="2" s="1"/>
  <c r="CS52" i="2" a="1"/>
  <c r="CS52" i="2" s="1"/>
  <c r="CS114" i="2" a="1"/>
  <c r="CS114" i="2" s="1"/>
  <c r="CS116" i="2" a="1"/>
  <c r="CS116" i="2" s="1"/>
  <c r="CS66" i="2" a="1"/>
  <c r="CS66" i="2" s="1"/>
  <c r="CS105" i="2" a="1"/>
  <c r="CS105" i="2" s="1"/>
  <c r="CS77" i="2" a="1"/>
  <c r="CS77" i="2" s="1"/>
  <c r="CS185" i="2" a="1"/>
  <c r="CS185" i="2" s="1"/>
  <c r="CS161" i="2" a="1"/>
  <c r="CS161" i="2" s="1"/>
  <c r="CS24" i="2" a="1"/>
  <c r="CS24" i="2" s="1"/>
  <c r="CS120" i="2" a="1"/>
  <c r="CS120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DI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J92" i="2" l="1"/>
  <c r="FJ126" i="2"/>
  <c r="FJ137" i="2"/>
  <c r="FJ150" i="2"/>
  <c r="FJ52" i="2"/>
  <c r="FJ173" i="2"/>
  <c r="FJ107" i="2"/>
  <c r="FJ11" i="2"/>
  <c r="FJ83" i="2"/>
  <c r="FJ76" i="2"/>
  <c r="FJ197" i="2"/>
  <c r="FJ117" i="2"/>
  <c r="FJ118" i="2"/>
  <c r="FJ180" i="2"/>
  <c r="FJ79" i="2"/>
  <c r="FJ181" i="2"/>
  <c r="FJ62" i="2"/>
  <c r="FJ101" i="2"/>
  <c r="FJ130" i="2"/>
  <c r="FJ66" i="2"/>
  <c r="FJ121" i="2"/>
  <c r="FJ185" i="2"/>
  <c r="FJ165" i="2"/>
  <c r="FJ183" i="2"/>
  <c r="FJ95" i="2"/>
  <c r="FJ175" i="2"/>
  <c r="FJ91" i="2"/>
  <c r="FJ140" i="2"/>
  <c r="FJ13" i="2"/>
  <c r="FJ89" i="2"/>
  <c r="FJ152" i="2"/>
  <c r="FJ158" i="2"/>
  <c r="FJ193" i="2"/>
  <c r="FJ97" i="2"/>
  <c r="FJ144" i="2"/>
  <c r="FJ69" i="2"/>
  <c r="FJ58" i="2"/>
  <c r="FJ43" i="2"/>
  <c r="FJ5" i="2"/>
  <c r="FJ195" i="2"/>
  <c r="FJ156" i="2"/>
  <c r="FJ74" i="2"/>
  <c r="FJ72" i="2"/>
  <c r="FJ162" i="2"/>
  <c r="FJ157" i="2"/>
  <c r="FJ99" i="2"/>
  <c r="FJ104" i="2"/>
  <c r="FJ93" i="2"/>
  <c r="FJ124" i="2"/>
  <c r="FJ6" i="2"/>
  <c r="FJ36" i="2"/>
  <c r="FJ59" i="2"/>
  <c r="FJ177" i="2"/>
  <c r="FJ64" i="2"/>
  <c r="FJ12" i="2"/>
  <c r="FJ159" i="2"/>
  <c r="FJ196" i="2"/>
  <c r="FJ131" i="2"/>
  <c r="FJ169" i="2"/>
  <c r="FJ30" i="2"/>
  <c r="FJ87" i="2"/>
  <c r="FJ149" i="2"/>
  <c r="FJ67" i="2"/>
  <c r="FJ190" i="2"/>
  <c r="FJ166" i="2"/>
  <c r="FJ132" i="2"/>
  <c r="FJ154" i="2"/>
  <c r="FJ178" i="2"/>
  <c r="FJ56" i="2"/>
  <c r="FJ20" i="2"/>
  <c r="FJ114" i="2"/>
  <c r="FJ14" i="2"/>
  <c r="FJ84" i="2"/>
  <c r="FJ191" i="2"/>
  <c r="FJ94" i="2"/>
  <c r="FJ123" i="2"/>
  <c r="FJ86" i="2"/>
  <c r="FJ172" i="2"/>
  <c r="FJ8" i="2"/>
  <c r="FJ81" i="2"/>
  <c r="FJ199" i="2"/>
  <c r="FJ145" i="2"/>
  <c r="FJ45" i="2"/>
  <c r="FJ106" i="2"/>
  <c r="FJ68" i="2"/>
  <c r="FJ160" i="2"/>
  <c r="FJ201" i="2"/>
  <c r="FJ112" i="2"/>
  <c r="FJ24" i="2"/>
  <c r="FJ60" i="2"/>
  <c r="FJ37" i="2"/>
  <c r="FJ47" i="2"/>
  <c r="FJ105" i="2"/>
  <c r="FJ170" i="2"/>
  <c r="FJ134" i="2"/>
  <c r="FJ96" i="2"/>
  <c r="FJ133" i="2"/>
  <c r="FJ194" i="2"/>
  <c r="FJ85" i="2"/>
  <c r="FJ138" i="2"/>
  <c r="FJ141" i="2"/>
  <c r="FJ38" i="2"/>
  <c r="FJ57" i="2"/>
  <c r="FJ176" i="2"/>
  <c r="FJ142" i="2"/>
  <c r="FJ15" i="2"/>
  <c r="FJ33" i="2"/>
  <c r="FJ90" i="2"/>
  <c r="FJ50" i="2"/>
  <c r="FJ17" i="2"/>
  <c r="FJ42" i="2"/>
  <c r="FJ200" i="2"/>
  <c r="FJ34" i="2"/>
  <c r="FJ78" i="2"/>
  <c r="FJ192" i="2"/>
  <c r="FJ75" i="2"/>
  <c r="FJ31" i="2"/>
  <c r="FJ40" i="2"/>
  <c r="FJ46" i="2"/>
  <c r="FJ198" i="2"/>
  <c r="FJ4" i="2"/>
  <c r="FJ22" i="2"/>
  <c r="FJ9" i="2"/>
  <c r="FJ108" i="2"/>
  <c r="FJ98" i="2"/>
  <c r="FJ127" i="2"/>
  <c r="FJ73" i="2"/>
  <c r="FJ186" i="2"/>
  <c r="FJ102" i="2"/>
  <c r="FJ128" i="2"/>
  <c r="FJ63" i="2"/>
  <c r="FJ147" i="2"/>
  <c r="FJ129" i="2"/>
  <c r="FJ48" i="2"/>
  <c r="FJ100" i="2"/>
  <c r="FJ174" i="2"/>
  <c r="FJ148" i="2"/>
  <c r="FJ139" i="2"/>
  <c r="FJ113" i="2"/>
  <c r="FJ202" i="2"/>
  <c r="FJ26" i="2"/>
  <c r="FJ182" i="2"/>
  <c r="FJ111" i="2"/>
  <c r="FJ3" i="2"/>
  <c r="C13" i="4" s="1"/>
  <c r="E13" i="4" s="1"/>
  <c r="F13" i="4" s="1"/>
  <c r="G13" i="4" s="1"/>
  <c r="L13" i="4" s="1"/>
  <c r="FJ189" i="2"/>
  <c r="FJ71" i="2"/>
  <c r="FJ18" i="2"/>
  <c r="FJ80" i="2"/>
  <c r="FJ143" i="2"/>
  <c r="FJ53" i="2"/>
  <c r="FJ21" i="2"/>
  <c r="FJ179" i="2"/>
  <c r="FJ23" i="2"/>
  <c r="FJ41" i="2"/>
  <c r="FJ135" i="2"/>
  <c r="FJ10" i="2"/>
  <c r="FJ49" i="2"/>
  <c r="FJ110" i="2"/>
  <c r="FJ54" i="2"/>
  <c r="FJ184" i="2"/>
  <c r="FJ19" i="2"/>
  <c r="FJ125" i="2"/>
  <c r="FJ25" i="2"/>
  <c r="FJ168" i="2"/>
  <c r="FJ116" i="2"/>
  <c r="FJ163" i="2"/>
  <c r="FJ203" i="2"/>
  <c r="FJ7" i="2"/>
  <c r="FJ146" i="2"/>
  <c r="FJ16" i="2"/>
  <c r="FJ77" i="2"/>
  <c r="FJ65" i="2"/>
  <c r="FJ82" i="2"/>
  <c r="FJ151" i="2"/>
  <c r="FJ32" i="2"/>
  <c r="FJ164" i="2"/>
  <c r="FJ167" i="2"/>
  <c r="FJ27" i="2"/>
  <c r="FJ161" i="2"/>
  <c r="FJ119" i="2"/>
  <c r="FJ188" i="2"/>
  <c r="FJ122" i="2"/>
  <c r="FJ29" i="2"/>
  <c r="FJ136" i="2"/>
  <c r="FJ109" i="2"/>
  <c r="FJ120" i="2"/>
  <c r="FJ55" i="2"/>
  <c r="FJ44" i="2"/>
  <c r="FJ88" i="2"/>
  <c r="FJ70" i="2"/>
  <c r="FJ115" i="2"/>
  <c r="FJ103" i="2"/>
  <c r="FJ61" i="2"/>
  <c r="FJ28" i="2"/>
  <c r="FJ35" i="2"/>
  <c r="FJ39" i="2"/>
  <c r="FJ51" i="2"/>
  <c r="FJ171" i="2"/>
  <c r="FJ153" i="2"/>
  <c r="FJ187" i="2"/>
  <c r="FJ155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DT186" i="2" l="1"/>
  <c r="DT100" i="2"/>
  <c r="DT70" i="2"/>
  <c r="DT121" i="2"/>
  <c r="DT39" i="2"/>
  <c r="DT139" i="2"/>
  <c r="DT68" i="2"/>
  <c r="DT181" i="2"/>
  <c r="DT188" i="2"/>
  <c r="DT79" i="2"/>
  <c r="DT115" i="2"/>
  <c r="DT162" i="2"/>
  <c r="DT35" i="2"/>
  <c r="DT67" i="2"/>
  <c r="DT19" i="2"/>
  <c r="DT97" i="2"/>
  <c r="DT172" i="2"/>
  <c r="DT177" i="2"/>
  <c r="DT42" i="2"/>
  <c r="DT123" i="2"/>
  <c r="DT48" i="2"/>
  <c r="DT33" i="2"/>
  <c r="DT87" i="2"/>
  <c r="DT16" i="2"/>
  <c r="DT24" i="2"/>
  <c r="DT109" i="2"/>
  <c r="DT15" i="2"/>
  <c r="DT185" i="2"/>
  <c r="DT190" i="2"/>
  <c r="DT107" i="2"/>
  <c r="DT151" i="2"/>
  <c r="DT203" i="2"/>
  <c r="DT163" i="2"/>
  <c r="DT62" i="2"/>
  <c r="DT110" i="2"/>
  <c r="DT126" i="2"/>
  <c r="DT145" i="2"/>
  <c r="DT93" i="2"/>
  <c r="DT6" i="2"/>
  <c r="DT114" i="2"/>
  <c r="DT23" i="2"/>
  <c r="DT133" i="2"/>
  <c r="DT84" i="2"/>
  <c r="DT83" i="2"/>
  <c r="DT142" i="2"/>
  <c r="DT183" i="2"/>
  <c r="DT170" i="2"/>
  <c r="DT137" i="2"/>
  <c r="DT37" i="2"/>
  <c r="DT61" i="2"/>
  <c r="DT73" i="2"/>
  <c r="DT66" i="2"/>
  <c r="DT63" i="2"/>
  <c r="DT144" i="2"/>
  <c r="DT22" i="2"/>
  <c r="DT43" i="2"/>
  <c r="DT176" i="2"/>
  <c r="DT167" i="2"/>
  <c r="DT159" i="2"/>
  <c r="DT135" i="2"/>
  <c r="DT180" i="2"/>
  <c r="DT156" i="2"/>
  <c r="DT160" i="2"/>
  <c r="DT122" i="2"/>
  <c r="DT7" i="2"/>
  <c r="DT98" i="2"/>
  <c r="DT85" i="2"/>
  <c r="DT78" i="2"/>
  <c r="DT5" i="2"/>
  <c r="DT155" i="2"/>
  <c r="DT52" i="2"/>
  <c r="DT69" i="2"/>
  <c r="DT36" i="2"/>
  <c r="DT21" i="2"/>
  <c r="DT96" i="2"/>
  <c r="DT81" i="2"/>
  <c r="DT119" i="2"/>
  <c r="DT118" i="2"/>
  <c r="DT72" i="2"/>
  <c r="DT60" i="2"/>
  <c r="DT32" i="2"/>
  <c r="DT88" i="2"/>
  <c r="DT58" i="2"/>
  <c r="DT124" i="2"/>
  <c r="DT127" i="2"/>
  <c r="DT105" i="2"/>
  <c r="DT86" i="2"/>
  <c r="DT178" i="2"/>
  <c r="DT136" i="2"/>
  <c r="DT189" i="2"/>
  <c r="DT200" i="2"/>
  <c r="DT55" i="2"/>
  <c r="DT57" i="2"/>
  <c r="DT154" i="2"/>
  <c r="DT54" i="2"/>
  <c r="DT90" i="2"/>
  <c r="DT175" i="2"/>
  <c r="DT53" i="2"/>
  <c r="DT95" i="2"/>
  <c r="DT128" i="2"/>
  <c r="DT17" i="2"/>
  <c r="DT76" i="2"/>
  <c r="DT46" i="2"/>
  <c r="DT179" i="2"/>
  <c r="DT173" i="2"/>
  <c r="DT99" i="2"/>
  <c r="DT120" i="2"/>
  <c r="DT74" i="2"/>
  <c r="DT91" i="2"/>
  <c r="DT152" i="2"/>
  <c r="DT157" i="2"/>
  <c r="DT11" i="2"/>
  <c r="DT148" i="2"/>
  <c r="DT80" i="2"/>
  <c r="DT164" i="2"/>
  <c r="DT31" i="2"/>
  <c r="DT40" i="2"/>
  <c r="DT111" i="2"/>
  <c r="DT147" i="2"/>
  <c r="DT201" i="2"/>
  <c r="DT26" i="2"/>
  <c r="DT92" i="2"/>
  <c r="DT174" i="2"/>
  <c r="DT102" i="2"/>
  <c r="DT8" i="2"/>
  <c r="DT45" i="2"/>
  <c r="DT47" i="2"/>
  <c r="DT65" i="2"/>
  <c r="DT104" i="2"/>
  <c r="DT89" i="2"/>
  <c r="DT64" i="2"/>
  <c r="DT112" i="2"/>
  <c r="DT129" i="2"/>
  <c r="DT198" i="2"/>
  <c r="DT108" i="2"/>
  <c r="DT199" i="2"/>
  <c r="DT9" i="2"/>
  <c r="DT192" i="2"/>
  <c r="DT149" i="2"/>
  <c r="DT196" i="2"/>
  <c r="DT193" i="2"/>
  <c r="DT75" i="2"/>
  <c r="DT30" i="2"/>
  <c r="DT29" i="2"/>
  <c r="DT194" i="2"/>
  <c r="DT13" i="2"/>
  <c r="DT20" i="2"/>
  <c r="DT169" i="2"/>
  <c r="DT94" i="2"/>
  <c r="DT59" i="2"/>
  <c r="DT34" i="2"/>
  <c r="DT141" i="2"/>
  <c r="DT202" i="2"/>
  <c r="DT113" i="2"/>
  <c r="DT191" i="2"/>
  <c r="DT187" i="2"/>
  <c r="DT28" i="2"/>
  <c r="DT103" i="2"/>
  <c r="DT18" i="2"/>
  <c r="DT130" i="2"/>
  <c r="DT51" i="2"/>
  <c r="DT41" i="2"/>
  <c r="DT82" i="2"/>
  <c r="DT25" i="2"/>
  <c r="DT27" i="2"/>
  <c r="DT184" i="2"/>
  <c r="DT197" i="2"/>
  <c r="DT10" i="2"/>
  <c r="DT132" i="2"/>
  <c r="DT117" i="2"/>
  <c r="DT195" i="2"/>
  <c r="DT134" i="2"/>
  <c r="DT4" i="2"/>
  <c r="DT138" i="2"/>
  <c r="DT49" i="2"/>
  <c r="DT106" i="2"/>
  <c r="DT150" i="2"/>
  <c r="DT143" i="2"/>
  <c r="DT182" i="2"/>
  <c r="DT44" i="2"/>
  <c r="DT14" i="2"/>
  <c r="DT50" i="2"/>
  <c r="DT166" i="2"/>
  <c r="DT140" i="2"/>
  <c r="DT101" i="2"/>
  <c r="DT56" i="2"/>
  <c r="DT146" i="2"/>
  <c r="DT161" i="2"/>
  <c r="DT171" i="2"/>
  <c r="DT131" i="2"/>
  <c r="DT12" i="2"/>
  <c r="DT116" i="2"/>
  <c r="DT3" i="2"/>
  <c r="C11" i="4" s="1"/>
  <c r="E11" i="4" s="1"/>
  <c r="F11" i="4" s="1"/>
  <c r="G11" i="4" s="1"/>
  <c r="L11" i="4" s="1"/>
  <c r="DT71" i="2"/>
  <c r="DT165" i="2"/>
  <c r="DT125" i="2"/>
  <c r="DT38" i="2"/>
  <c r="DT168" i="2"/>
  <c r="DT77" i="2"/>
  <c r="DT153" i="2"/>
  <c r="DT158" i="2"/>
  <c r="EO67" i="2"/>
  <c r="EO199" i="2"/>
  <c r="EO122" i="2"/>
  <c r="EO20" i="2"/>
  <c r="EO118" i="2"/>
  <c r="EO103" i="2"/>
  <c r="EO61" i="2"/>
  <c r="EO160" i="2"/>
  <c r="EO155" i="2"/>
  <c r="EO110" i="2"/>
  <c r="EO24" i="2"/>
  <c r="EO94" i="2"/>
  <c r="EO187" i="2"/>
  <c r="EO143" i="2"/>
  <c r="EO69" i="2"/>
  <c r="EO192" i="2"/>
  <c r="EO188" i="2"/>
  <c r="EO70" i="2"/>
  <c r="EO108" i="2"/>
  <c r="EO8" i="2"/>
  <c r="EO190" i="2"/>
  <c r="EO142" i="2"/>
  <c r="EO46" i="2"/>
  <c r="EO161" i="2"/>
  <c r="EO21" i="2"/>
  <c r="EO33" i="2"/>
  <c r="EO195" i="2"/>
  <c r="EO101" i="2"/>
  <c r="EO12" i="2"/>
  <c r="EO84" i="2"/>
  <c r="EO91" i="2"/>
  <c r="EO152" i="2"/>
  <c r="EO167" i="2"/>
  <c r="EO196" i="2"/>
  <c r="EO177" i="2"/>
  <c r="EO87" i="2"/>
  <c r="EO63" i="2"/>
  <c r="EO5" i="2"/>
  <c r="EO90" i="2"/>
  <c r="EO62" i="2"/>
  <c r="EO132" i="2"/>
  <c r="EO15" i="2"/>
  <c r="EO42" i="2"/>
  <c r="EO85" i="2"/>
  <c r="EO170" i="2"/>
  <c r="EO112" i="2"/>
  <c r="EO156" i="2"/>
  <c r="EO197" i="2"/>
  <c r="EO26" i="2"/>
  <c r="EO136" i="2"/>
  <c r="EO88" i="2"/>
  <c r="EO102" i="2"/>
  <c r="EO78" i="2"/>
  <c r="EO154" i="2"/>
  <c r="EO10" i="2"/>
  <c r="EO19" i="2"/>
  <c r="EO186" i="2"/>
  <c r="EO171" i="2"/>
  <c r="EO18" i="2"/>
  <c r="EO97" i="2"/>
  <c r="EO43" i="2"/>
  <c r="EO138" i="2"/>
  <c r="EO28" i="2"/>
  <c r="EO71" i="2"/>
  <c r="EO139" i="2"/>
  <c r="EO163" i="2"/>
  <c r="EO96" i="2"/>
  <c r="EO9" i="2"/>
  <c r="EO191" i="2"/>
  <c r="EO25" i="2"/>
  <c r="EO133" i="2"/>
  <c r="EO3" i="2"/>
  <c r="C12" i="4" s="1"/>
  <c r="E12" i="4" s="1"/>
  <c r="F12" i="4" s="1"/>
  <c r="G12" i="4" s="1"/>
  <c r="L12" i="4" s="1"/>
  <c r="EO134" i="2"/>
  <c r="EO176" i="2"/>
  <c r="EO57" i="2"/>
  <c r="EO178" i="2"/>
  <c r="EO193" i="2"/>
  <c r="EO66" i="2"/>
  <c r="EO64" i="2"/>
  <c r="EO22" i="2"/>
  <c r="EO60" i="2"/>
  <c r="EO23" i="2"/>
  <c r="EO131" i="2"/>
  <c r="EO113" i="2"/>
  <c r="EO105" i="2"/>
  <c r="EO6" i="2"/>
  <c r="EO120" i="2"/>
  <c r="EO41" i="2"/>
  <c r="EO149" i="2"/>
  <c r="EO158" i="2"/>
  <c r="EO107" i="2"/>
  <c r="EO44" i="2"/>
  <c r="EO114" i="2"/>
  <c r="EO104" i="2"/>
  <c r="EO37" i="2"/>
  <c r="EO159" i="2"/>
  <c r="EO173" i="2"/>
  <c r="EO179" i="2"/>
  <c r="EO166" i="2"/>
  <c r="EO54" i="2"/>
  <c r="EO51" i="2"/>
  <c r="EO14" i="2"/>
  <c r="EO40" i="2"/>
  <c r="EO185" i="2"/>
  <c r="EO7" i="2"/>
  <c r="EO198" i="2"/>
  <c r="EO117" i="2"/>
  <c r="EO27" i="2"/>
  <c r="EO29" i="2"/>
  <c r="EO150" i="2"/>
  <c r="EO74" i="2"/>
  <c r="EO47" i="2"/>
  <c r="EO98" i="2"/>
  <c r="EO38" i="2"/>
  <c r="EO35" i="2"/>
  <c r="EO36" i="2"/>
  <c r="EO17" i="2"/>
  <c r="EO127" i="2"/>
  <c r="EO183" i="2"/>
  <c r="EO52" i="2"/>
  <c r="EO184" i="2"/>
  <c r="EO194" i="2"/>
  <c r="EO32" i="2"/>
  <c r="EO151" i="2"/>
  <c r="EO200" i="2"/>
  <c r="EO65" i="2"/>
  <c r="EO31" i="2"/>
  <c r="EO129" i="2"/>
  <c r="EO80" i="2"/>
  <c r="EO124" i="2"/>
  <c r="EO48" i="2"/>
  <c r="EO181" i="2"/>
  <c r="EO49" i="2"/>
  <c r="EO109" i="2"/>
  <c r="EO164" i="2"/>
  <c r="EO157" i="2"/>
  <c r="EO141" i="2"/>
  <c r="EO56" i="2"/>
  <c r="EO175" i="2"/>
  <c r="EO123" i="2"/>
  <c r="EO68" i="2"/>
  <c r="EO79" i="2"/>
  <c r="EO4" i="2"/>
  <c r="EO83" i="2"/>
  <c r="EO93" i="2"/>
  <c r="EO13" i="2"/>
  <c r="EO140" i="2"/>
  <c r="EO130" i="2"/>
  <c r="EO148" i="2"/>
  <c r="EO180" i="2"/>
  <c r="EO92" i="2"/>
  <c r="EO58" i="2"/>
  <c r="EO95" i="2"/>
  <c r="EO172" i="2"/>
  <c r="EO53" i="2"/>
  <c r="EO137" i="2"/>
  <c r="EO153" i="2"/>
  <c r="EO126" i="2"/>
  <c r="EO75" i="2"/>
  <c r="EO73" i="2"/>
  <c r="EO168" i="2"/>
  <c r="EO119" i="2"/>
  <c r="EO115" i="2"/>
  <c r="EO30" i="2"/>
  <c r="EO145" i="2"/>
  <c r="EO203" i="2"/>
  <c r="EO144" i="2"/>
  <c r="EO128" i="2"/>
  <c r="EO72" i="2"/>
  <c r="EO202" i="2"/>
  <c r="EO34" i="2"/>
  <c r="EO121" i="2"/>
  <c r="EO106" i="2"/>
  <c r="EO174" i="2"/>
  <c r="EO86" i="2"/>
  <c r="EO16" i="2"/>
  <c r="EO189" i="2"/>
  <c r="EO169" i="2"/>
  <c r="EO81" i="2"/>
  <c r="EO99" i="2"/>
  <c r="EO165" i="2"/>
  <c r="EO89" i="2"/>
  <c r="EO59" i="2"/>
  <c r="EO77" i="2"/>
  <c r="EO201" i="2"/>
  <c r="EO11" i="2"/>
  <c r="EO55" i="2"/>
  <c r="EO111" i="2"/>
  <c r="EO50" i="2"/>
  <c r="EO162" i="2"/>
  <c r="EO135" i="2"/>
  <c r="EO82" i="2"/>
  <c r="EO125" i="2"/>
  <c r="EO45" i="2"/>
  <c r="EO76" i="2"/>
  <c r="EO39" i="2"/>
  <c r="EO116" i="2"/>
  <c r="EO100" i="2"/>
  <c r="EO182" i="2"/>
  <c r="EO146" i="2"/>
  <c r="EO147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<sst xmlns="http://schemas.openxmlformats.org/spreadsheetml/2006/main" count="1177" uniqueCount="324">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</sst>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1.7042974025924702</c:v>
                </c:pt>
                <c:pt idx="2">
                  <c:v>2.1887254462288022</c:v>
                </c:pt>
                <c:pt idx="3">
                  <c:v>2.8114063023578826</c:v>
                </c:pt>
                <c:pt idx="4">
                  <c:v>3.6119473150358368</c:v>
                </c:pt>
                <c:pt idx="5">
                  <c:v>4.6413432401622412</c:v>
                </c:pt>
                <c:pt idx="6">
                  <c:v>5.965261048901418</c:v>
                </c:pt>
                <c:pt idx="7">
                  <c:v>7.6682751513835692</c:v>
                </c:pt>
                <c:pt idx="8">
                  <c:v>9.8593288013918841</c:v>
                </c:pt>
                <c:pt idx="9">
                  <c:v>34.340499100461251</c:v>
                </c:pt>
                <c:pt idx="10">
                  <c:v>60.556368030357454</c:v>
                </c:pt>
                <c:pt idx="11">
                  <c:v>87.589856064566405</c:v>
                </c:pt>
                <c:pt idx="12">
                  <c:v>116.63868653131253</c:v>
                </c:pt>
                <c:pt idx="13">
                  <c:v>142.18586719742532</c:v>
                </c:pt>
                <c:pt idx="14">
                  <c:v>168.72649854710286</c:v>
                </c:pt>
                <c:pt idx="15">
                  <c:v>194.06855653987475</c:v>
                </c:pt>
                <c:pt idx="16">
                  <c:v>217.13943416178634</c:v>
                </c:pt>
                <c:pt idx="17">
                  <c:v>237.96432737707607</c:v>
                </c:pt>
                <c:pt idx="18">
                  <c:v>257.6548036297558</c:v>
                </c:pt>
                <c:pt idx="19">
                  <c:v>274.03742715328451</c:v>
                </c:pt>
                <c:pt idx="20">
                  <c:v>289.30799460505648</c:v>
                </c:pt>
                <c:pt idx="21">
                  <c:v>303.47165707820488</c:v>
                </c:pt>
                <c:pt idx="22">
                  <c:v>311.09210560516453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8589408"/>
        <c:axId val="1198591040"/>
      </c:scatterChart>
      <c:valAx>
        <c:axId val="11985894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98591040"/>
        <c:crosses val="autoZero"/>
        <c:crossBetween val="midCat"/>
      </c:valAx>
      <c:valAx>
        <c:axId val="1198591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985894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8739456"/>
        <c:axId val="1438729120"/>
      </c:scatterChart>
      <c:valAx>
        <c:axId val="14387394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8729120"/>
        <c:crosses val="autoZero"/>
        <c:crossBetween val="midCat"/>
      </c:valAx>
      <c:valAx>
        <c:axId val="1438729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87394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211.51703386842772</c:v>
                </c:pt>
                <c:pt idx="32">
                  <c:v>228.30032906802219</c:v>
                </c:pt>
                <c:pt idx="33">
                  <c:v>245.05539887630434</c:v>
                </c:pt>
                <c:pt idx="34">
                  <c:v>261.78444483261882</c:v>
                </c:pt>
                <c:pt idx="35">
                  <c:v>278.48936400091259</c:v>
                </c:pt>
                <c:pt idx="36">
                  <c:v>211.90768212600278</c:v>
                </c:pt>
                <c:pt idx="37">
                  <c:v>227.1303449649258</c:v>
                </c:pt>
                <c:pt idx="38">
                  <c:v>242.32965686946343</c:v>
                </c:pt>
                <c:pt idx="39">
                  <c:v>257.5072889074288</c:v>
                </c:pt>
                <c:pt idx="40">
                  <c:v>272.6646989766358</c:v>
                </c:pt>
                <c:pt idx="41">
                  <c:v>288.96691630985214</c:v>
                </c:pt>
                <c:pt idx="42">
                  <c:v>305.24857979967942</c:v>
                </c:pt>
                <c:pt idx="43">
                  <c:v>321.51093999187799</c:v>
                </c:pt>
                <c:pt idx="44">
                  <c:v>337.75511058999291</c:v>
                </c:pt>
                <c:pt idx="45">
                  <c:v>353.98208942867723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320.34995854628932</c:v>
                </c:pt>
                <c:pt idx="49">
                  <c:v>336.20880231759611</c:v>
                </c:pt>
                <c:pt idx="50">
                  <c:v>352.05117734371055</c:v>
                </c:pt>
                <c:pt idx="51">
                  <c:v>367.49209034996028</c:v>
                </c:pt>
                <c:pt idx="52">
                  <c:v>382.9188457551441</c:v>
                </c:pt>
                <c:pt idx="53">
                  <c:v>398.33209414857424</c:v>
                </c:pt>
                <c:pt idx="54">
                  <c:v>413.73243167051163</c:v>
                </c:pt>
                <c:pt idx="55">
                  <c:v>429.1204064684805</c:v>
                </c:pt>
                <c:pt idx="56">
                  <c:v>362.86133414806528</c:v>
                </c:pt>
                <c:pt idx="57">
                  <c:v>377.52104986809326</c:v>
                </c:pt>
                <c:pt idx="58">
                  <c:v>392.16837634017276</c:v>
                </c:pt>
                <c:pt idx="59">
                  <c:v>406.80384141548683</c:v>
                </c:pt>
                <c:pt idx="60">
                  <c:v>421.42793186976087</c:v>
                </c:pt>
                <c:pt idx="61">
                  <c:v>435.27224940464231</c:v>
                </c:pt>
                <c:pt idx="62">
                  <c:v>449.10711821530072</c:v>
                </c:pt>
                <c:pt idx="63">
                  <c:v>462.93287033289988</c:v>
                </c:pt>
                <c:pt idx="64">
                  <c:v>476.74981634160099</c:v>
                </c:pt>
                <c:pt idx="65">
                  <c:v>490.55824735832402</c:v>
                </c:pt>
                <c:pt idx="66">
                  <c:v>422.96666682108577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462.16500679362093</c:v>
                </c:pt>
                <c:pt idx="70">
                  <c:v>475.21502577729035</c:v>
                </c:pt>
                <c:pt idx="71">
                  <c:v>487.10692264565643</c:v>
                </c:pt>
                <c:pt idx="72">
                  <c:v>498.99265901764255</c:v>
                </c:pt>
                <c:pt idx="73">
                  <c:v>510.87240230317911</c:v>
                </c:pt>
                <c:pt idx="74">
                  <c:v>522.74631149207403</c:v>
                </c:pt>
                <c:pt idx="75">
                  <c:v>534.61453776319524</c:v>
                </c:pt>
                <c:pt idx="76">
                  <c:v>465.42823942861133</c:v>
                </c:pt>
                <c:pt idx="77">
                  <c:v>476.74981634160099</c:v>
                </c:pt>
                <c:pt idx="78">
                  <c:v>488.06567585482804</c:v>
                </c:pt>
                <c:pt idx="79">
                  <c:v>499.37596921206153</c:v>
                </c:pt>
                <c:pt idx="80">
                  <c:v>510.68084024737624</c:v>
                </c:pt>
                <c:pt idx="81">
                  <c:v>521.98042590763998</c:v>
                </c:pt>
                <c:pt idx="82">
                  <c:v>533.27485672740784</c:v>
                </c:pt>
                <c:pt idx="83">
                  <c:v>544.5642572614961</c:v>
                </c:pt>
                <c:pt idx="84">
                  <c:v>555.84874647982645</c:v>
                </c:pt>
                <c:pt idx="85">
                  <c:v>567.12843812854328</c:v>
                </c:pt>
                <c:pt idx="86">
                  <c:v>496.69266671205543</c:v>
                </c:pt>
                <c:pt idx="87">
                  <c:v>506.65768536589218</c:v>
                </c:pt>
                <c:pt idx="88">
                  <c:v>516.61856122298411</c:v>
                </c:pt>
                <c:pt idx="89">
                  <c:v>526.57538542767418</c:v>
                </c:pt>
                <c:pt idx="90">
                  <c:v>536.52824539615074</c:v>
                </c:pt>
                <c:pt idx="91">
                  <c:v>546.477225036753</c:v>
                </c:pt>
                <c:pt idx="92">
                  <c:v>556.42240495339968</c:v>
                </c:pt>
                <c:pt idx="93">
                  <c:v>566.36386263371753</c:v>
                </c:pt>
                <c:pt idx="94">
                  <c:v>576.30167262327768</c:v>
                </c:pt>
                <c:pt idx="95">
                  <c:v>586.23590668718782</c:v>
                </c:pt>
                <c:pt idx="96">
                  <c:v>514.89485591885284</c:v>
                </c:pt>
                <c:pt idx="97">
                  <c:v>523.89509553418213</c:v>
                </c:pt>
                <c:pt idx="98">
                  <c:v>532.89207772163536</c:v>
                </c:pt>
                <c:pt idx="99">
                  <c:v>541.88586523948277</c:v>
                </c:pt>
                <c:pt idx="100">
                  <c:v>550.87651859261814</c:v>
                </c:pt>
                <c:pt idx="101">
                  <c:v>559.86409614971478</c:v>
                </c:pt>
                <c:pt idx="102">
                  <c:v>568.84865425246687</c:v>
                </c:pt>
                <c:pt idx="103">
                  <c:v>577.83024731757303</c:v>
                </c:pt>
                <c:pt idx="104">
                  <c:v>586.80892793204634</c:v>
                </c:pt>
                <c:pt idx="105">
                  <c:v>595.7847469423923</c:v>
                </c:pt>
                <c:pt idx="106">
                  <c:v>525.0438264932726</c:v>
                </c:pt>
                <c:pt idx="107">
                  <c:v>532.70068604986363</c:v>
                </c:pt>
                <c:pt idx="108">
                  <c:v>540.35523076412676</c:v>
                </c:pt>
                <c:pt idx="109">
                  <c:v>548.00749806060401</c:v>
                </c:pt>
                <c:pt idx="110">
                  <c:v>555.6575242331586</c:v>
                </c:pt>
                <c:pt idx="111">
                  <c:v>563.30534449456957</c:v>
                </c:pt>
                <c:pt idx="112">
                  <c:v>570.95099302329265</c:v>
                </c:pt>
                <c:pt idx="113">
                  <c:v>578.59450300758692</c:v>
                </c:pt>
                <c:pt idx="114">
                  <c:v>586.23590668718737</c:v>
                </c:pt>
                <c:pt idx="115">
                  <c:v>593.87523539269193</c:v>
                </c:pt>
                <c:pt idx="116">
                  <c:v>529.63822214325501</c:v>
                </c:pt>
                <c:pt idx="117">
                  <c:v>536.14551536775127</c:v>
                </c:pt>
                <c:pt idx="118">
                  <c:v>542.65114840915487</c:v>
                </c:pt>
                <c:pt idx="119">
                  <c:v>549.1551439856396</c:v>
                </c:pt>
                <c:pt idx="120">
                  <c:v>555.65752423315837</c:v>
                </c:pt>
                <c:pt idx="121">
                  <c:v>562.1583107271523</c:v>
                </c:pt>
                <c:pt idx="122">
                  <c:v>568.65752450320281</c:v>
                </c:pt>
                <c:pt idx="123">
                  <c:v>575.15518607669117</c:v>
                </c:pt>
                <c:pt idx="124">
                  <c:v>581.65131546152202</c:v>
                </c:pt>
                <c:pt idx="125">
                  <c:v>588.1459321879687</c:v>
                </c:pt>
                <c:pt idx="126">
                  <c:v>530.78668966466228</c:v>
                </c:pt>
                <c:pt idx="127">
                  <c:v>536.52824539615006</c:v>
                </c:pt>
                <c:pt idx="128">
                  <c:v>542.26850965950268</c:v>
                </c:pt>
                <c:pt idx="129">
                  <c:v>548.00749806060355</c:v>
                </c:pt>
                <c:pt idx="130">
                  <c:v>553.74522585166198</c:v>
                </c:pt>
                <c:pt idx="131">
                  <c:v>559.48170794289069</c:v>
                </c:pt>
                <c:pt idx="132">
                  <c:v>565.21695891367949</c:v>
                </c:pt>
                <c:pt idx="133">
                  <c:v>570.95099302329209</c:v>
                </c:pt>
                <c:pt idx="134">
                  <c:v>576.68382422111051</c:v>
                </c:pt>
                <c:pt idx="135">
                  <c:v>582.41546615644995</c:v>
                </c:pt>
                <c:pt idx="136">
                  <c:v>531.93510488968548</c:v>
                </c:pt>
                <c:pt idx="137">
                  <c:v>536.91096968482555</c:v>
                </c:pt>
                <c:pt idx="138">
                  <c:v>541.88586523948231</c:v>
                </c:pt>
                <c:pt idx="139">
                  <c:v>546.85980171226049</c:v>
                </c:pt>
                <c:pt idx="140">
                  <c:v>551.83278906179623</c:v>
                </c:pt>
                <c:pt idx="141">
                  <c:v>556.80483705249947</c:v>
                </c:pt>
                <c:pt idx="142">
                  <c:v>561.77595526008179</c:v>
                </c:pt>
                <c:pt idx="143">
                  <c:v>566.74615307687668</c:v>
                </c:pt>
                <c:pt idx="144">
                  <c:v>571.71543971696474</c:v>
                </c:pt>
                <c:pt idx="145">
                  <c:v>576.68382422111085</c:v>
                </c:pt>
                <c:pt idx="146">
                  <c:v>580.88714383067679</c:v>
                </c:pt>
                <c:pt idx="147">
                  <c:v>585.08982917045671</c:v>
                </c:pt>
                <c:pt idx="148">
                  <c:v>589.29188544145063</c:v>
                </c:pt>
                <c:pt idx="149">
                  <c:v>593.4933177643976</c:v>
                </c:pt>
                <c:pt idx="150">
                  <c:v>597.6941311815873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8591584"/>
        <c:axId val="1201094096"/>
      </c:scatterChart>
      <c:valAx>
        <c:axId val="11985915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01094096"/>
        <c:crosses val="autoZero"/>
        <c:crossBetween val="midCat"/>
      </c:valAx>
      <c:valAx>
        <c:axId val="1201094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98591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1.8384859337570063</c:v>
                </c:pt>
                <c:pt idx="2">
                  <c:v>2.179328435244706</c:v>
                </c:pt>
                <c:pt idx="3">
                  <c:v>2.5835983685839596</c:v>
                </c:pt>
                <c:pt idx="4">
                  <c:v>3.0631408068451407</c:v>
                </c:pt>
                <c:pt idx="5">
                  <c:v>3.6320202351102231</c:v>
                </c:pt>
                <c:pt idx="6">
                  <c:v>4.3069376861440878</c:v>
                </c:pt>
                <c:pt idx="7">
                  <c:v>5.1077265000259793</c:v>
                </c:pt>
                <c:pt idx="8">
                  <c:v>6.0579415660975471</c:v>
                </c:pt>
                <c:pt idx="9">
                  <c:v>7.1855597202545356</c:v>
                </c:pt>
                <c:pt idx="10">
                  <c:v>8.5238123196371749</c:v>
                </c:pt>
                <c:pt idx="11">
                  <c:v>10.112175001806468</c:v>
                </c:pt>
                <c:pt idx="12">
                  <c:v>11.997544377547372</c:v>
                </c:pt>
                <c:pt idx="13">
                  <c:v>14.235637049599092</c:v>
                </c:pt>
                <c:pt idx="14">
                  <c:v>16.892653065433223</c:v>
                </c:pt>
                <c:pt idx="15">
                  <c:v>20.047253904954317</c:v>
                </c:pt>
                <c:pt idx="16">
                  <c:v>23.79291461692257</c:v>
                </c:pt>
                <c:pt idx="17">
                  <c:v>28.240721040642256</c:v>
                </c:pt>
                <c:pt idx="18">
                  <c:v>33.522696526948565</c:v>
                </c:pt>
                <c:pt idx="19">
                  <c:v>39.79575861552572</c:v>
                </c:pt>
                <c:pt idx="20">
                  <c:v>47.246425223300974</c:v>
                </c:pt>
                <c:pt idx="21">
                  <c:v>56.096412633700432</c:v>
                </c:pt>
                <c:pt idx="22">
                  <c:v>66.60929464284159</c:v>
                </c:pt>
                <c:pt idx="23">
                  <c:v>79.098424442762266</c:v>
                </c:pt>
                <c:pt idx="24">
                  <c:v>93.936359187985758</c:v>
                </c:pt>
                <c:pt idx="25">
                  <c:v>111.56607287269634</c:v>
                </c:pt>
                <c:pt idx="26">
                  <c:v>132.51429753832994</c:v>
                </c:pt>
                <c:pt idx="27">
                  <c:v>157.40739759934175</c:v>
                </c:pt>
                <c:pt idx="28">
                  <c:v>150.47080067026766</c:v>
                </c:pt>
                <c:pt idx="29">
                  <c:v>163.03802518757752</c:v>
                </c:pt>
                <c:pt idx="30">
                  <c:v>175.5823424815143</c:v>
                </c:pt>
                <c:pt idx="31">
                  <c:v>171.69161142115624</c:v>
                </c:pt>
                <c:pt idx="32">
                  <c:v>184.65292865116098</c:v>
                </c:pt>
                <c:pt idx="33">
                  <c:v>197.5929938437981</c:v>
                </c:pt>
                <c:pt idx="34">
                  <c:v>210.51339559418258</c:v>
                </c:pt>
                <c:pt idx="35">
                  <c:v>223.41551137926174</c:v>
                </c:pt>
                <c:pt idx="36">
                  <c:v>209.7386999787991</c:v>
                </c:pt>
                <c:pt idx="37">
                  <c:v>225.7360456637642</c:v>
                </c:pt>
                <c:pt idx="38">
                  <c:v>241.70742778160744</c:v>
                </c:pt>
                <c:pt idx="39">
                  <c:v>257.6548036297558</c:v>
                </c:pt>
                <c:pt idx="40">
                  <c:v>273.57986831240419</c:v>
                </c:pt>
                <c:pt idx="41">
                  <c:v>248.01198278213079</c:v>
                </c:pt>
                <c:pt idx="42">
                  <c:v>266.13372633265288</c:v>
                </c:pt>
                <c:pt idx="43">
                  <c:v>284.22766637577377</c:v>
                </c:pt>
                <c:pt idx="44">
                  <c:v>302.29582160730934</c:v>
                </c:pt>
                <c:pt idx="45">
                  <c:v>320.33994968118049</c:v>
                </c:pt>
                <c:pt idx="46">
                  <c:v>338.36159407720407</c:v>
                </c:pt>
                <c:pt idx="47">
                  <c:v>356.36212045462412</c:v>
                </c:pt>
                <c:pt idx="48">
                  <c:v>374.34274527279507</c:v>
                </c:pt>
                <c:pt idx="49">
                  <c:v>392.30455862375675</c:v>
                </c:pt>
                <c:pt idx="50">
                  <c:v>410.24854266397256</c:v>
                </c:pt>
                <c:pt idx="51">
                  <c:v>329.54521097109392</c:v>
                </c:pt>
                <c:pt idx="52">
                  <c:v>349.59836202746766</c:v>
                </c:pt>
                <c:pt idx="53">
                  <c:v>369.6262881295645</c:v>
                </c:pt>
                <c:pt idx="54">
                  <c:v>389.63054763275704</c:v>
                </c:pt>
                <c:pt idx="55">
                  <c:v>409.61252588018669</c:v>
                </c:pt>
                <c:pt idx="56">
                  <c:v>429.57346208757514</c:v>
                </c:pt>
                <c:pt idx="57">
                  <c:v>449.51447097001227</c:v>
                </c:pt>
                <c:pt idx="58">
                  <c:v>469.43656033129997</c:v>
                </c:pt>
                <c:pt idx="59">
                  <c:v>489.34064551231751</c:v>
                </c:pt>
                <c:pt idx="60">
                  <c:v>509.22756136675412</c:v>
                </c:pt>
                <c:pt idx="61">
                  <c:v>415.71741193017186</c:v>
                </c:pt>
                <c:pt idx="62">
                  <c:v>433.89355138573887</c:v>
                </c:pt>
                <c:pt idx="63">
                  <c:v>452.05334833358802</c:v>
                </c:pt>
                <c:pt idx="64">
                  <c:v>470.19755134133334</c:v>
                </c:pt>
                <c:pt idx="65">
                  <c:v>488.32684652200686</c:v>
                </c:pt>
                <c:pt idx="66">
                  <c:v>506.44186491750776</c:v>
                </c:pt>
                <c:pt idx="67">
                  <c:v>524.54318877098581</c:v>
                </c:pt>
                <c:pt idx="68">
                  <c:v>542.63135688868078</c:v>
                </c:pt>
                <c:pt idx="69">
                  <c:v>560.70686924994277</c:v>
                </c:pt>
                <c:pt idx="70">
                  <c:v>578.77019099216204</c:v>
                </c:pt>
                <c:pt idx="71">
                  <c:v>491.49482053067413</c:v>
                </c:pt>
                <c:pt idx="72">
                  <c:v>502.89596414017234</c:v>
                </c:pt>
                <c:pt idx="73">
                  <c:v>514.29164038230522</c:v>
                </c:pt>
                <c:pt idx="74">
                  <c:v>525.68198747118436</c:v>
                </c:pt>
                <c:pt idx="75">
                  <c:v>537.06713714333159</c:v>
                </c:pt>
                <c:pt idx="76">
                  <c:v>548.447215095052</c:v>
                </c:pt>
                <c:pt idx="77">
                  <c:v>559.82234138161891</c:v>
                </c:pt>
                <c:pt idx="78">
                  <c:v>571.19263078233746</c:v>
                </c:pt>
                <c:pt idx="79">
                  <c:v>582.55819313503196</c:v>
                </c:pt>
                <c:pt idx="80">
                  <c:v>593.91913364308118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1088112"/>
        <c:axId val="1438737280"/>
      </c:scatterChart>
      <c:valAx>
        <c:axId val="12010881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8737280"/>
        <c:crosses val="autoZero"/>
        <c:crossBetween val="midCat"/>
      </c:valAx>
      <c:valAx>
        <c:axId val="1438737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010881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1.8119367213042523</c:v>
                </c:pt>
                <c:pt idx="2">
                  <c:v>2.2093689668750516</c:v>
                </c:pt>
                <c:pt idx="3">
                  <c:v>2.6943111335874517</c:v>
                </c:pt>
                <c:pt idx="4">
                  <c:v>3.2861020004106578</c:v>
                </c:pt>
                <c:pt idx="5">
                  <c:v>4.0083685621483935</c:v>
                </c:pt>
                <c:pt idx="6">
                  <c:v>4.8899799133622475</c:v>
                </c:pt>
                <c:pt idx="7">
                  <c:v>5.966213936687919</c:v>
                </c:pt>
                <c:pt idx="8">
                  <c:v>7.2801843978443808</c:v>
                </c:pt>
                <c:pt idx="9">
                  <c:v>8.8845867238650502</c:v>
                </c:pt>
                <c:pt idx="10">
                  <c:v>10.843833814193617</c:v>
                </c:pt>
                <c:pt idx="11">
                  <c:v>13.236669246485144</c:v>
                </c:pt>
                <c:pt idx="12">
                  <c:v>16.159364852301447</c:v>
                </c:pt>
                <c:pt idx="13">
                  <c:v>19.729633663859968</c:v>
                </c:pt>
                <c:pt idx="14">
                  <c:v>24.091418666229604</c:v>
                </c:pt>
                <c:pt idx="15">
                  <c:v>29.420753849094982</c:v>
                </c:pt>
                <c:pt idx="16">
                  <c:v>35.932938233032047</c:v>
                </c:pt>
                <c:pt idx="17">
                  <c:v>43.891317679416687</c:v>
                </c:pt>
                <c:pt idx="18">
                  <c:v>53.618035626944398</c:v>
                </c:pt>
                <c:pt idx="19">
                  <c:v>65.50719518535881</c:v>
                </c:pt>
                <c:pt idx="20">
                  <c:v>80.040974635156573</c:v>
                </c:pt>
                <c:pt idx="21">
                  <c:v>97.80936047123727</c:v>
                </c:pt>
                <c:pt idx="22">
                  <c:v>119.53431176581809</c:v>
                </c:pt>
                <c:pt idx="23">
                  <c:v>127.87183025187436</c:v>
                </c:pt>
                <c:pt idx="24">
                  <c:v>147.41479291393856</c:v>
                </c:pt>
                <c:pt idx="25">
                  <c:v>166.89582070164903</c:v>
                </c:pt>
                <c:pt idx="26">
                  <c:v>158.69588956630341</c:v>
                </c:pt>
                <c:pt idx="27">
                  <c:v>176.57443476299522</c:v>
                </c:pt>
                <c:pt idx="28">
                  <c:v>194.41049394787638</c:v>
                </c:pt>
                <c:pt idx="29">
                  <c:v>212.20851486614947</c:v>
                </c:pt>
                <c:pt idx="30">
                  <c:v>229.97213730997649</c:v>
                </c:pt>
                <c:pt idx="31">
                  <c:v>206.03271564587533</c:v>
                </c:pt>
                <c:pt idx="32">
                  <c:v>226.52064342157504</c:v>
                </c:pt>
                <c:pt idx="33">
                  <c:v>246.96613989084696</c:v>
                </c:pt>
                <c:pt idx="34">
                  <c:v>267.37321139326599</c:v>
                </c:pt>
                <c:pt idx="35">
                  <c:v>287.74520244496057</c:v>
                </c:pt>
                <c:pt idx="36">
                  <c:v>246.22783730674089</c:v>
                </c:pt>
                <c:pt idx="37">
                  <c:v>264.91644767126212</c:v>
                </c:pt>
                <c:pt idx="38">
                  <c:v>283.57533816627671</c:v>
                </c:pt>
                <c:pt idx="39">
                  <c:v>302.20673901881219</c:v>
                </c:pt>
                <c:pt idx="40">
                  <c:v>320.81258298345932</c:v>
                </c:pt>
                <c:pt idx="41">
                  <c:v>286.27364112152469</c:v>
                </c:pt>
                <c:pt idx="42">
                  <c:v>303.18661538142965</c:v>
                </c:pt>
                <c:pt idx="43">
                  <c:v>320.07860464143613</c:v>
                </c:pt>
                <c:pt idx="44">
                  <c:v>336.95087205446191</c:v>
                </c:pt>
                <c:pt idx="45">
                  <c:v>353.80454395241946</c:v>
                </c:pt>
                <c:pt idx="46">
                  <c:v>323.50351969461479</c:v>
                </c:pt>
                <c:pt idx="47">
                  <c:v>339.63890781505688</c:v>
                </c:pt>
                <c:pt idx="48">
                  <c:v>355.75743703713033</c:v>
                </c:pt>
                <c:pt idx="49">
                  <c:v>371.8599785946235</c:v>
                </c:pt>
                <c:pt idx="50">
                  <c:v>387.94732211955193</c:v>
                </c:pt>
                <c:pt idx="51">
                  <c:v>357.77111212719302</c:v>
                </c:pt>
                <c:pt idx="52">
                  <c:v>372.71347028292752</c:v>
                </c:pt>
                <c:pt idx="53">
                  <c:v>387.64277426642496</c:v>
                </c:pt>
                <c:pt idx="54">
                  <c:v>402.5595975696238</c:v>
                </c:pt>
                <c:pt idx="55">
                  <c:v>417.46446772037797</c:v>
                </c:pt>
                <c:pt idx="56">
                  <c:v>432.35787151018599</c:v>
                </c:pt>
                <c:pt idx="57">
                  <c:v>447.24025946406249</c:v>
                </c:pt>
                <c:pt idx="58">
                  <c:v>462.11204968448237</c:v>
                </c:pt>
                <c:pt idx="59">
                  <c:v>417.61649833792848</c:v>
                </c:pt>
                <c:pt idx="60">
                  <c:v>431.44635144816431</c:v>
                </c:pt>
                <c:pt idx="61">
                  <c:v>445.26668358390657</c:v>
                </c:pt>
                <c:pt idx="62">
                  <c:v>459.07783184895493</c:v>
                </c:pt>
                <c:pt idx="63">
                  <c:v>472.88011141256703</c:v>
                </c:pt>
                <c:pt idx="64">
                  <c:v>486.67381754865318</c:v>
                </c:pt>
                <c:pt idx="65">
                  <c:v>500.45922743178085</c:v>
                </c:pt>
                <c:pt idx="66">
                  <c:v>514.23660172502764</c:v>
                </c:pt>
                <c:pt idx="67">
                  <c:v>461.80864708305415</c:v>
                </c:pt>
                <c:pt idx="68">
                  <c:v>469.99903447882821</c:v>
                </c:pt>
                <c:pt idx="69">
                  <c:v>478.18638208927251</c:v>
                </c:pt>
                <c:pt idx="70">
                  <c:v>486.3707493197806</c:v>
                </c:pt>
                <c:pt idx="71">
                  <c:v>494.55219341267713</c:v>
                </c:pt>
                <c:pt idx="72">
                  <c:v>502.73076956123822</c:v>
                </c:pt>
                <c:pt idx="73">
                  <c:v>510.90653101590328</c:v>
                </c:pt>
                <c:pt idx="74">
                  <c:v>519.07952918333581</c:v>
                </c:pt>
                <c:pt idx="75">
                  <c:v>501.67074366165338</c:v>
                </c:pt>
                <c:pt idx="76">
                  <c:v>508.48437353815274</c:v>
                </c:pt>
                <c:pt idx="77">
                  <c:v>515.2960740487091</c:v>
                </c:pt>
                <c:pt idx="78">
                  <c:v>522.10587430578664</c:v>
                </c:pt>
                <c:pt idx="79">
                  <c:v>528.91380260016911</c:v>
                </c:pt>
                <c:pt idx="80">
                  <c:v>535.71988643466068</c:v>
                </c:pt>
                <c:pt idx="81">
                  <c:v>542.52415255598589</c:v>
                </c:pt>
                <c:pt idx="82">
                  <c:v>549.32662698500246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8728576"/>
        <c:axId val="1438735648"/>
      </c:scatterChart>
      <c:valAx>
        <c:axId val="14387285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8735648"/>
        <c:crosses val="autoZero"/>
        <c:crossBetween val="midCat"/>
      </c:valAx>
      <c:valAx>
        <c:axId val="1438735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8728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87.624256130804284</c:v>
                </c:pt>
                <c:pt idx="17">
                  <c:v>107.92051495671599</c:v>
                </c:pt>
                <c:pt idx="18">
                  <c:v>128.12250482488196</c:v>
                </c:pt>
                <c:pt idx="19">
                  <c:v>148.24723201695511</c:v>
                </c:pt>
                <c:pt idx="20">
                  <c:v>168.30668061428082</c:v>
                </c:pt>
                <c:pt idx="21">
                  <c:v>115.59337364680665</c:v>
                </c:pt>
                <c:pt idx="22">
                  <c:v>137.4997067322079</c:v>
                </c:pt>
                <c:pt idx="23">
                  <c:v>159.32196170762111</c:v>
                </c:pt>
                <c:pt idx="24">
                  <c:v>181.07329523604912</c:v>
                </c:pt>
                <c:pt idx="25">
                  <c:v>202.76343275622807</c:v>
                </c:pt>
                <c:pt idx="26">
                  <c:v>223.37066471153204</c:v>
                </c:pt>
                <c:pt idx="27">
                  <c:v>243.93430319999132</c:v>
                </c:pt>
                <c:pt idx="28">
                  <c:v>264.45853959036123</c:v>
                </c:pt>
                <c:pt idx="29">
                  <c:v>284.94686117730771</c:v>
                </c:pt>
                <c:pt idx="30">
                  <c:v>305.4022126668512</c:v>
                </c:pt>
                <c:pt idx="31">
                  <c:v>227.82966235272235</c:v>
                </c:pt>
                <c:pt idx="32">
                  <c:v>245.98843749648782</c:v>
                </c:pt>
                <c:pt idx="33">
                  <c:v>264.11677214797504</c:v>
                </c:pt>
                <c:pt idx="34">
                  <c:v>282.21704940359291</c:v>
                </c:pt>
                <c:pt idx="35">
                  <c:v>300.29132163404557</c:v>
                </c:pt>
                <c:pt idx="36">
                  <c:v>316.63952954423013</c:v>
                </c:pt>
                <c:pt idx="37">
                  <c:v>332.96904422153938</c:v>
                </c:pt>
                <c:pt idx="38">
                  <c:v>349.28091133215889</c:v>
                </c:pt>
                <c:pt idx="39">
                  <c:v>365.57607090875041</c:v>
                </c:pt>
                <c:pt idx="40">
                  <c:v>381.85537235272426</c:v>
                </c:pt>
                <c:pt idx="41">
                  <c:v>300.63210759978858</c:v>
                </c:pt>
                <c:pt idx="42">
                  <c:v>314.59704855401958</c:v>
                </c:pt>
                <c:pt idx="43">
                  <c:v>328.5482515646342</c:v>
                </c:pt>
                <c:pt idx="44">
                  <c:v>342.4863822030199</c:v>
                </c:pt>
                <c:pt idx="45">
                  <c:v>356.41204743833833</c:v>
                </c:pt>
                <c:pt idx="46">
                  <c:v>368.29036734139095</c:v>
                </c:pt>
                <c:pt idx="47">
                  <c:v>380.16032837232183</c:v>
                </c:pt>
                <c:pt idx="48">
                  <c:v>392.0222283580228</c:v>
                </c:pt>
                <c:pt idx="49">
                  <c:v>403.87634562786849</c:v>
                </c:pt>
                <c:pt idx="50">
                  <c:v>415.72294083711432</c:v>
                </c:pt>
                <c:pt idx="51">
                  <c:v>360.48557531469902</c:v>
                </c:pt>
                <c:pt idx="52">
                  <c:v>371.34342911371238</c:v>
                </c:pt>
                <c:pt idx="53">
                  <c:v>382.19436148493236</c:v>
                </c:pt>
                <c:pt idx="54">
                  <c:v>393.03859669656578</c:v>
                </c:pt>
                <c:pt idx="55">
                  <c:v>403.87634562786849</c:v>
                </c:pt>
                <c:pt idx="56">
                  <c:v>412.33895235831255</c:v>
                </c:pt>
                <c:pt idx="57">
                  <c:v>420.79781154308029</c:v>
                </c:pt>
                <c:pt idx="58">
                  <c:v>429.25300917701065</c:v>
                </c:pt>
                <c:pt idx="59">
                  <c:v>437.70462758915488</c:v>
                </c:pt>
                <c:pt idx="60">
                  <c:v>446.1527456683495</c:v>
                </c:pt>
                <c:pt idx="61">
                  <c:v>411.32363915605634</c:v>
                </c:pt>
                <c:pt idx="62">
                  <c:v>418.76802245127942</c:v>
                </c:pt>
                <c:pt idx="63">
                  <c:v>426.20955457884071</c:v>
                </c:pt>
                <c:pt idx="64">
                  <c:v>433.64829237194999</c:v>
                </c:pt>
                <c:pt idx="65">
                  <c:v>441.08429055375763</c:v>
                </c:pt>
                <c:pt idx="66">
                  <c:v>447.50412482878772</c:v>
                </c:pt>
                <c:pt idx="67">
                  <c:v>453.92198789781906</c:v>
                </c:pt>
                <c:pt idx="68">
                  <c:v>460.33791158124319</c:v>
                </c:pt>
                <c:pt idx="69">
                  <c:v>466.75192673952944</c:v>
                </c:pt>
                <c:pt idx="70">
                  <c:v>473.16406331526713</c:v>
                </c:pt>
                <c:pt idx="71">
                  <c:v>443.449724046781</c:v>
                </c:pt>
                <c:pt idx="72">
                  <c:v>449.1932259604792</c:v>
                </c:pt>
                <c:pt idx="73">
                  <c:v>454.93515661064163</c:v>
                </c:pt>
                <c:pt idx="74">
                  <c:v>460.67553864161073</c:v>
                </c:pt>
                <c:pt idx="75">
                  <c:v>466.41439408694345</c:v>
                </c:pt>
                <c:pt idx="76">
                  <c:v>471.47683944067597</c:v>
                </c:pt>
                <c:pt idx="77">
                  <c:v>476.53812734890533</c:v>
                </c:pt>
                <c:pt idx="78">
                  <c:v>481.59827184865503</c:v>
                </c:pt>
                <c:pt idx="79">
                  <c:v>486.65728665769001</c:v>
                </c:pt>
                <c:pt idx="80">
                  <c:v>491.71518518509475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8732928"/>
        <c:axId val="1438728032"/>
      </c:scatterChart>
      <c:valAx>
        <c:axId val="14387329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8728032"/>
        <c:crosses val="autoZero"/>
        <c:crossBetween val="midCat"/>
      </c:valAx>
      <c:valAx>
        <c:axId val="1438728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8732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3.2703410613260862</c:v>
                </c:pt>
                <c:pt idx="2">
                  <c:v>3.9161437254808931</c:v>
                </c:pt>
                <c:pt idx="3">
                  <c:v>4.6899445270810372</c:v>
                </c:pt>
                <c:pt idx="4">
                  <c:v>5.617200485549847</c:v>
                </c:pt>
                <c:pt idx="5">
                  <c:v>6.7284480012868242</c:v>
                </c:pt>
                <c:pt idx="6">
                  <c:v>8.0603193640911446</c:v>
                </c:pt>
                <c:pt idx="7">
                  <c:v>9.6567632502780452</c:v>
                </c:pt>
                <c:pt idx="8">
                  <c:v>11.570510247422023</c:v>
                </c:pt>
                <c:pt idx="9">
                  <c:v>13.864832720969302</c:v>
                </c:pt>
                <c:pt idx="10">
                  <c:v>16.61565828443106</c:v>
                </c:pt>
                <c:pt idx="11">
                  <c:v>19.914108093024186</c:v>
                </c:pt>
                <c:pt idx="12">
                  <c:v>23.869545556641487</c:v>
                </c:pt>
                <c:pt idx="13">
                  <c:v>28.613238351676909</c:v>
                </c:pt>
                <c:pt idx="14">
                  <c:v>34.302757391640604</c:v>
                </c:pt>
                <c:pt idx="15">
                  <c:v>41.127261402376554</c:v>
                </c:pt>
                <c:pt idx="16">
                  <c:v>49.313845791603399</c:v>
                </c:pt>
                <c:pt idx="17">
                  <c:v>59.135170630109862</c:v>
                </c:pt>
                <c:pt idx="18">
                  <c:v>70.918626007223153</c:v>
                </c:pt>
                <c:pt idx="19">
                  <c:v>85.057345270772814</c:v>
                </c:pt>
                <c:pt idx="20">
                  <c:v>102.02343949799173</c:v>
                </c:pt>
                <c:pt idx="21">
                  <c:v>115.24488471715169</c:v>
                </c:pt>
                <c:pt idx="22">
                  <c:v>128.42920528646451</c:v>
                </c:pt>
                <c:pt idx="23">
                  <c:v>141.58075430337479</c:v>
                </c:pt>
                <c:pt idx="24">
                  <c:v>154.70300795717847</c:v>
                </c:pt>
                <c:pt idx="25">
                  <c:v>167.79880331835713</c:v>
                </c:pt>
                <c:pt idx="26">
                  <c:v>165.46209858933364</c:v>
                </c:pt>
                <c:pt idx="27">
                  <c:v>181.80332238755173</c:v>
                </c:pt>
                <c:pt idx="28">
                  <c:v>198.11017765361632</c:v>
                </c:pt>
                <c:pt idx="29">
                  <c:v>214.38589248354245</c:v>
                </c:pt>
                <c:pt idx="30">
                  <c:v>230.63316428689711</c:v>
                </c:pt>
                <c:pt idx="31">
                  <c:v>250.55849998563042</c:v>
                </c:pt>
                <c:pt idx="32">
                  <c:v>270.44791665188342</c:v>
                </c:pt>
                <c:pt idx="33">
                  <c:v>290.30442679080193</c:v>
                </c:pt>
                <c:pt idx="34">
                  <c:v>310.1305970635114</c:v>
                </c:pt>
                <c:pt idx="35">
                  <c:v>329.92863915898073</c:v>
                </c:pt>
                <c:pt idx="36">
                  <c:v>251.02143985985217</c:v>
                </c:pt>
                <c:pt idx="37">
                  <c:v>269.06138287277031</c:v>
                </c:pt>
                <c:pt idx="38">
                  <c:v>287.07410223616915</c:v>
                </c:pt>
                <c:pt idx="39">
                  <c:v>305.06154616178657</c:v>
                </c:pt>
                <c:pt idx="40">
                  <c:v>323.02541433745813</c:v>
                </c:pt>
                <c:pt idx="41">
                  <c:v>342.34646391464622</c:v>
                </c:pt>
                <c:pt idx="42">
                  <c:v>361.64355082638076</c:v>
                </c:pt>
                <c:pt idx="43">
                  <c:v>380.91813301943722</c:v>
                </c:pt>
                <c:pt idx="44">
                  <c:v>400.17150890331294</c:v>
                </c:pt>
                <c:pt idx="45">
                  <c:v>419.40484180194295</c:v>
                </c:pt>
                <c:pt idx="46">
                  <c:v>341.8867235390631</c:v>
                </c:pt>
                <c:pt idx="47">
                  <c:v>360.72516312195711</c:v>
                </c:pt>
                <c:pt idx="48">
                  <c:v>379.542094974186</c:v>
                </c:pt>
                <c:pt idx="49">
                  <c:v>398.33873496539167</c:v>
                </c:pt>
                <c:pt idx="50">
                  <c:v>417.11617489634523</c:v>
                </c:pt>
                <c:pt idx="51">
                  <c:v>435.41806774560092</c:v>
                </c:pt>
                <c:pt idx="52">
                  <c:v>453.70345497828924</c:v>
                </c:pt>
                <c:pt idx="53">
                  <c:v>471.97309508291983</c:v>
                </c:pt>
                <c:pt idx="54">
                  <c:v>490.22768306866254</c:v>
                </c:pt>
                <c:pt idx="55">
                  <c:v>508.46785799243207</c:v>
                </c:pt>
                <c:pt idx="56">
                  <c:v>429.92926929891945</c:v>
                </c:pt>
                <c:pt idx="57">
                  <c:v>447.30539808561917</c:v>
                </c:pt>
                <c:pt idx="58">
                  <c:v>464.66708288740648</c:v>
                </c:pt>
                <c:pt idx="59">
                  <c:v>482.01493909873858</c:v>
                </c:pt>
                <c:pt idx="60">
                  <c:v>499.34953422631742</c:v>
                </c:pt>
                <c:pt idx="61">
                  <c:v>515.7600258871305</c:v>
                </c:pt>
                <c:pt idx="62">
                  <c:v>532.15950176791512</c:v>
                </c:pt>
                <c:pt idx="63">
                  <c:v>548.54834896667228</c:v>
                </c:pt>
                <c:pt idx="64">
                  <c:v>564.92692957744998</c:v>
                </c:pt>
                <c:pt idx="65">
                  <c:v>581.29558299844393</c:v>
                </c:pt>
                <c:pt idx="66">
                  <c:v>501.17347881997517</c:v>
                </c:pt>
                <c:pt idx="67">
                  <c:v>516.67139318273325</c:v>
                </c:pt>
                <c:pt idx="68">
                  <c:v>532.15950176791512</c:v>
                </c:pt>
                <c:pt idx="69">
                  <c:v>547.63813003167172</c:v>
                </c:pt>
                <c:pt idx="70">
                  <c:v>563.10758354108657</c:v>
                </c:pt>
                <c:pt idx="71">
                  <c:v>577.20433255089188</c:v>
                </c:pt>
                <c:pt idx="72">
                  <c:v>591.29389935584197</c:v>
                </c:pt>
                <c:pt idx="73">
                  <c:v>605.37647913053661</c:v>
                </c:pt>
                <c:pt idx="74">
                  <c:v>619.45225723298938</c:v>
                </c:pt>
                <c:pt idx="75">
                  <c:v>633.52140991484157</c:v>
                </c:pt>
                <c:pt idx="76">
                  <c:v>551.50634201733726</c:v>
                </c:pt>
                <c:pt idx="77">
                  <c:v>564.92692957744987</c:v>
                </c:pt>
                <c:pt idx="78">
                  <c:v>578.34085151619058</c:v>
                </c:pt>
                <c:pt idx="79">
                  <c:v>591.74828416086518</c:v>
                </c:pt>
                <c:pt idx="80">
                  <c:v>605.14939520020005</c:v>
                </c:pt>
                <c:pt idx="81">
                  <c:v>618.54434429348237</c:v>
                </c:pt>
                <c:pt idx="82">
                  <c:v>631.9332836242138</c:v>
                </c:pt>
                <c:pt idx="83">
                  <c:v>645.31635840442812</c:v>
                </c:pt>
                <c:pt idx="84">
                  <c:v>658.69370733501853</c:v>
                </c:pt>
                <c:pt idx="85">
                  <c:v>672.06546302674553</c:v>
                </c:pt>
                <c:pt idx="86">
                  <c:v>588.56743763742293</c:v>
                </c:pt>
                <c:pt idx="87">
                  <c:v>600.38022262303082</c:v>
                </c:pt>
                <c:pt idx="88">
                  <c:v>612.18817773567719</c:v>
                </c:pt>
                <c:pt idx="89">
                  <c:v>623.99140923584866</c:v>
                </c:pt>
                <c:pt idx="90">
                  <c:v>635.79001903756864</c:v>
                </c:pt>
                <c:pt idx="91">
                  <c:v>647.58410496524004</c:v>
                </c:pt>
                <c:pt idx="92">
                  <c:v>659.37376099081337</c:v>
                </c:pt>
                <c:pt idx="93">
                  <c:v>671.1590774531137</c:v>
                </c:pt>
                <c:pt idx="94">
                  <c:v>682.94014126097579</c:v>
                </c:pt>
                <c:pt idx="95">
                  <c:v>694.71703608163614</c:v>
                </c:pt>
                <c:pt idx="96">
                  <c:v>610.14483413808227</c:v>
                </c:pt>
                <c:pt idx="97">
                  <c:v>620.81407495489407</c:v>
                </c:pt>
                <c:pt idx="98">
                  <c:v>631.47951810462462</c:v>
                </c:pt>
                <c:pt idx="99">
                  <c:v>642.14123675390272</c:v>
                </c:pt>
                <c:pt idx="100">
                  <c:v>652.79930144226262</c:v>
                </c:pt>
                <c:pt idx="101">
                  <c:v>663.45378021872796</c:v>
                </c:pt>
                <c:pt idx="102">
                  <c:v>674.10473876917354</c:v>
                </c:pt>
                <c:pt idx="103">
                  <c:v>684.75224053521981</c:v>
                </c:pt>
                <c:pt idx="104">
                  <c:v>695.39634682535268</c:v>
                </c:pt>
                <c:pt idx="105">
                  <c:v>706.03711691888873</c:v>
                </c:pt>
                <c:pt idx="106">
                  <c:v>622.17583079004783</c:v>
                </c:pt>
                <c:pt idx="107">
                  <c:v>631.25263281623836</c:v>
                </c:pt>
                <c:pt idx="108">
                  <c:v>640.32673608720222</c:v>
                </c:pt>
                <c:pt idx="109">
                  <c:v>649.39818423428153</c:v>
                </c:pt>
                <c:pt idx="110">
                  <c:v>658.46701957061885</c:v>
                </c:pt>
                <c:pt idx="111">
                  <c:v>667.5332831489759</c:v>
                </c:pt>
                <c:pt idx="112">
                  <c:v>676.59701481625132</c:v>
                </c:pt>
                <c:pt idx="113">
                  <c:v>685.65825326492347</c:v>
                </c:pt>
                <c:pt idx="114">
                  <c:v>694.71703608163591</c:v>
                </c:pt>
                <c:pt idx="115">
                  <c:v>703.77339979311603</c:v>
                </c:pt>
                <c:pt idx="116">
                  <c:v>627.62223834541555</c:v>
                </c:pt>
                <c:pt idx="117">
                  <c:v>635.33631061817152</c:v>
                </c:pt>
                <c:pt idx="118">
                  <c:v>643.04844736912321</c:v>
                </c:pt>
                <c:pt idx="119">
                  <c:v>650.75867508421697</c:v>
                </c:pt>
                <c:pt idx="120">
                  <c:v>658.46701957061839</c:v>
                </c:pt>
                <c:pt idx="121">
                  <c:v>666.17350598202131</c:v>
                </c:pt>
                <c:pt idx="122">
                  <c:v>673.87815884272425</c:v>
                </c:pt>
                <c:pt idx="123">
                  <c:v>681.58100207055156</c:v>
                </c:pt>
                <c:pt idx="124">
                  <c:v>689.2820589986826</c:v>
                </c:pt>
                <c:pt idx="125">
                  <c:v>696.98135239645444</c:v>
                </c:pt>
                <c:pt idx="126">
                  <c:v>628.9836870521674</c:v>
                </c:pt>
                <c:pt idx="127">
                  <c:v>635.79001903756773</c:v>
                </c:pt>
                <c:pt idx="128">
                  <c:v>642.59484536690752</c:v>
                </c:pt>
                <c:pt idx="129">
                  <c:v>649.39818423428108</c:v>
                </c:pt>
                <c:pt idx="130">
                  <c:v>656.20005342145203</c:v>
                </c:pt>
                <c:pt idx="131">
                  <c:v>663.00047031146812</c:v>
                </c:pt>
                <c:pt idx="132">
                  <c:v>669.79945190168769</c:v>
                </c:pt>
                <c:pt idx="133">
                  <c:v>676.59701481625063</c:v>
                </c:pt>
                <c:pt idx="134">
                  <c:v>683.39317531802135</c:v>
                </c:pt>
                <c:pt idx="135">
                  <c:v>690.18794932003266</c:v>
                </c:pt>
                <c:pt idx="136">
                  <c:v>630.34507478926355</c:v>
                </c:pt>
                <c:pt idx="137">
                  <c:v>636.24372076531688</c:v>
                </c:pt>
                <c:pt idx="138">
                  <c:v>642.14123675390226</c:v>
                </c:pt>
                <c:pt idx="139">
                  <c:v>648.03763459841321</c:v>
                </c:pt>
                <c:pt idx="140">
                  <c:v>653.93292590910937</c:v>
                </c:pt>
                <c:pt idx="141">
                  <c:v>659.82712206981262</c:v>
                </c:pt>
                <c:pt idx="142">
                  <c:v>665.72023424435088</c:v>
                </c:pt>
                <c:pt idx="143">
                  <c:v>671.61227338276092</c:v>
                </c:pt>
                <c:pt idx="144">
                  <c:v>677.50325022726418</c:v>
                </c:pt>
                <c:pt idx="145">
                  <c:v>683.39317531802192</c:v>
                </c:pt>
                <c:pt idx="146">
                  <c:v>688.37614426922676</c:v>
                </c:pt>
                <c:pt idx="147">
                  <c:v>693.35837375801509</c:v>
                </c:pt>
                <c:pt idx="148">
                  <c:v>698.33986984796502</c:v>
                </c:pt>
                <c:pt idx="149">
                  <c:v>703.32063850908264</c:v>
                </c:pt>
                <c:pt idx="150">
                  <c:v>708.3006856199122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8741088"/>
        <c:axId val="1438731296"/>
      </c:scatterChart>
      <c:valAx>
        <c:axId val="14387410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8731296"/>
        <c:crosses val="autoZero"/>
        <c:crossBetween val="midCat"/>
      </c:valAx>
      <c:valAx>
        <c:axId val="1438731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87410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149.08257770166853</c:v>
                </c:pt>
                <c:pt idx="27">
                  <c:v>163.80222667670475</c:v>
                </c:pt>
                <c:pt idx="28">
                  <c:v>178.49060685103379</c:v>
                </c:pt>
                <c:pt idx="29">
                  <c:v>193.15065517554152</c:v>
                </c:pt>
                <c:pt idx="30">
                  <c:v>207.78482577779434</c:v>
                </c:pt>
                <c:pt idx="31">
                  <c:v>225.73156206865394</c:v>
                </c:pt>
                <c:pt idx="32">
                  <c:v>243.64561889961661</c:v>
                </c:pt>
                <c:pt idx="33">
                  <c:v>261.52973707505009</c:v>
                </c:pt>
                <c:pt idx="34">
                  <c:v>279.38625176640863</c:v>
                </c:pt>
                <c:pt idx="35">
                  <c:v>297.21717518827546</c:v>
                </c:pt>
                <c:pt idx="36">
                  <c:v>226.14852768950928</c:v>
                </c:pt>
                <c:pt idx="37">
                  <c:v>242.39680171814265</c:v>
                </c:pt>
                <c:pt idx="38">
                  <c:v>258.62030742476736</c:v>
                </c:pt>
                <c:pt idx="39">
                  <c:v>274.82081731000375</c:v>
                </c:pt>
                <c:pt idx="40">
                  <c:v>290.99987776518356</c:v>
                </c:pt>
                <c:pt idx="41">
                  <c:v>308.40105034381338</c:v>
                </c:pt>
                <c:pt idx="42">
                  <c:v>325.78042147316603</c:v>
                </c:pt>
                <c:pt idx="43">
                  <c:v>343.13931760637462</c:v>
                </c:pt>
                <c:pt idx="44">
                  <c:v>360.47892004811706</c:v>
                </c:pt>
                <c:pt idx="45">
                  <c:v>377.80028720100813</c:v>
                </c:pt>
                <c:pt idx="46">
                  <c:v>307.98699565569297</c:v>
                </c:pt>
                <c:pt idx="47">
                  <c:v>324.95330656071548</c:v>
                </c:pt>
                <c:pt idx="48">
                  <c:v>341.90004953828526</c:v>
                </c:pt>
                <c:pt idx="49">
                  <c:v>358.82833079757523</c:v>
                </c:pt>
                <c:pt idx="50">
                  <c:v>375.7391436687796</c:v>
                </c:pt>
                <c:pt idx="51">
                  <c:v>392.22152076799472</c:v>
                </c:pt>
                <c:pt idx="52">
                  <c:v>408.68888090830455</c:v>
                </c:pt>
                <c:pt idx="53">
                  <c:v>425.14191416939929</c:v>
                </c:pt>
                <c:pt idx="54">
                  <c:v>441.5812528768941</c:v>
                </c:pt>
                <c:pt idx="55">
                  <c:v>458.00747845053723</c:v>
                </c:pt>
                <c:pt idx="56">
                  <c:v>387.27841746168315</c:v>
                </c:pt>
                <c:pt idx="57">
                  <c:v>402.92696857125196</c:v>
                </c:pt>
                <c:pt idx="58">
                  <c:v>418.56237841299986</c:v>
                </c:pt>
                <c:pt idx="59">
                  <c:v>434.18520687835758</c:v>
                </c:pt>
                <c:pt idx="60">
                  <c:v>449.7959702900435</c:v>
                </c:pt>
                <c:pt idx="61">
                  <c:v>464.57441853711924</c:v>
                </c:pt>
                <c:pt idx="62">
                  <c:v>479.34284452811431</c:v>
                </c:pt>
                <c:pt idx="63">
                  <c:v>494.10160044828439</c:v>
                </c:pt>
                <c:pt idx="64">
                  <c:v>508.85101573406092</c:v>
                </c:pt>
                <c:pt idx="65">
                  <c:v>523.59139917298592</c:v>
                </c:pt>
                <c:pt idx="66">
                  <c:v>451.43852652349534</c:v>
                </c:pt>
                <c:pt idx="67">
                  <c:v>465.39514621826976</c:v>
                </c:pt>
                <c:pt idx="68">
                  <c:v>479.34284452811431</c:v>
                </c:pt>
                <c:pt idx="69">
                  <c:v>493.28191755597277</c:v>
                </c:pt>
                <c:pt idx="70">
                  <c:v>507.21264330953437</c:v>
                </c:pt>
                <c:pt idx="71">
                  <c:v>519.90713388491497</c:v>
                </c:pt>
                <c:pt idx="72">
                  <c:v>532.59509002550351</c:v>
                </c:pt>
                <c:pt idx="73">
                  <c:v>545.27668930291225</c:v>
                </c:pt>
                <c:pt idx="74">
                  <c:v>557.95210035753439</c:v>
                </c:pt>
                <c:pt idx="75">
                  <c:v>570.62148354470401</c:v>
                </c:pt>
                <c:pt idx="76">
                  <c:v>496.76537106586352</c:v>
                </c:pt>
                <c:pt idx="77">
                  <c:v>508.85101573406081</c:v>
                </c:pt>
                <c:pt idx="78">
                  <c:v>520.93059595978104</c:v>
                </c:pt>
                <c:pt idx="79">
                  <c:v>533.00427216719811</c:v>
                </c:pt>
                <c:pt idx="80">
                  <c:v>545.07219692102865</c:v>
                </c:pt>
                <c:pt idx="81">
                  <c:v>557.13451548073306</c:v>
                </c:pt>
                <c:pt idx="82">
                  <c:v>569.19136630423441</c:v>
                </c:pt>
                <c:pt idx="83">
                  <c:v>581.24288150675147</c:v>
                </c:pt>
                <c:pt idx="84">
                  <c:v>593.28918727960843</c:v>
                </c:pt>
                <c:pt idx="85">
                  <c:v>605.33040427327217</c:v>
                </c:pt>
                <c:pt idx="86">
                  <c:v>530.13985807619997</c:v>
                </c:pt>
                <c:pt idx="87">
                  <c:v>540.77748384329061</c:v>
                </c:pt>
                <c:pt idx="88">
                  <c:v>551.41071534837431</c:v>
                </c:pt>
                <c:pt idx="89">
                  <c:v>562.03964926820072</c:v>
                </c:pt>
                <c:pt idx="90">
                  <c:v>572.6643783250679</c:v>
                </c:pt>
                <c:pt idx="91">
                  <c:v>583.28499152050119</c:v>
                </c:pt>
                <c:pt idx="92">
                  <c:v>593.90157435102799</c:v>
                </c:pt>
                <c:pt idx="93">
                  <c:v>604.51420900772746</c:v>
                </c:pt>
                <c:pt idx="94">
                  <c:v>615.12297456104159</c:v>
                </c:pt>
                <c:pt idx="95">
                  <c:v>625.72794713217718</c:v>
                </c:pt>
                <c:pt idx="96">
                  <c:v>549.5706585484287</c:v>
                </c:pt>
                <c:pt idx="97">
                  <c:v>559.17843064711349</c:v>
                </c:pt>
                <c:pt idx="98">
                  <c:v>568.78274759401631</c:v>
                </c:pt>
                <c:pt idx="99">
                  <c:v>578.38367595679654</c:v>
                </c:pt>
                <c:pt idx="100">
                  <c:v>587.98127991295814</c:v>
                </c:pt>
                <c:pt idx="101">
                  <c:v>597.57562137411787</c:v>
                </c:pt>
                <c:pt idx="102">
                  <c:v>607.166760101877</c:v>
                </c:pt>
                <c:pt idx="103">
                  <c:v>616.75475381599449</c:v>
                </c:pt>
                <c:pt idx="104">
                  <c:v>626.33965829548379</c:v>
                </c:pt>
                <c:pt idx="105">
                  <c:v>635.92152747320199</c:v>
                </c:pt>
                <c:pt idx="106">
                  <c:v>560.40470463156839</c:v>
                </c:pt>
                <c:pt idx="107">
                  <c:v>568.57843593837197</c:v>
                </c:pt>
                <c:pt idx="108">
                  <c:v>576.74971189331563</c:v>
                </c:pt>
                <c:pt idx="109">
                  <c:v>584.91857219258861</c:v>
                </c:pt>
                <c:pt idx="110">
                  <c:v>593.08505533306948</c:v>
                </c:pt>
                <c:pt idx="111">
                  <c:v>601.24919866493144</c:v>
                </c:pt>
                <c:pt idx="112">
                  <c:v>609.41103844124234</c:v>
                </c:pt>
                <c:pt idx="113">
                  <c:v>617.57060986476847</c:v>
                </c:pt>
                <c:pt idx="114">
                  <c:v>625.72794713217684</c:v>
                </c:pt>
                <c:pt idx="115">
                  <c:v>633.88308347581403</c:v>
                </c:pt>
                <c:pt idx="116">
                  <c:v>565.30924032241217</c:v>
                </c:pt>
                <c:pt idx="117">
                  <c:v>572.2558115651201</c:v>
                </c:pt>
                <c:pt idx="118">
                  <c:v>579.20062185262373</c:v>
                </c:pt>
                <c:pt idx="119">
                  <c:v>586.14369528207601</c:v>
                </c:pt>
                <c:pt idx="120">
                  <c:v>593.08505533306914</c:v>
                </c:pt>
                <c:pt idx="121">
                  <c:v>600.02472489066042</c:v>
                </c:pt>
                <c:pt idx="122">
                  <c:v>606.96272626727841</c:v>
                </c:pt>
                <c:pt idx="123">
                  <c:v>613.89908122357554</c:v>
                </c:pt>
                <c:pt idx="124">
                  <c:v>620.83381098828852</c:v>
                </c:pt>
                <c:pt idx="125">
                  <c:v>627.766936277166</c:v>
                </c:pt>
                <c:pt idx="126">
                  <c:v>566.53523487867528</c:v>
                </c:pt>
                <c:pt idx="127">
                  <c:v>572.6643783250671</c:v>
                </c:pt>
                <c:pt idx="128">
                  <c:v>578.79215191198784</c:v>
                </c:pt>
                <c:pt idx="129">
                  <c:v>584.91857219258816</c:v>
                </c:pt>
                <c:pt idx="130">
                  <c:v>591.04365534487738</c:v>
                </c:pt>
                <c:pt idx="131">
                  <c:v>597.16741718410879</c:v>
                </c:pt>
                <c:pt idx="132">
                  <c:v>603.28987317463304</c:v>
                </c:pt>
                <c:pt idx="133">
                  <c:v>609.41103844124189</c:v>
                </c:pt>
                <c:pt idx="134">
                  <c:v>615.53092778003656</c:v>
                </c:pt>
                <c:pt idx="135">
                  <c:v>621.64955566883771</c:v>
                </c:pt>
                <c:pt idx="136">
                  <c:v>567.76117396419511</c:v>
                </c:pt>
                <c:pt idx="137">
                  <c:v>573.07293899689319</c:v>
                </c:pt>
                <c:pt idx="138">
                  <c:v>578.38367595679597</c:v>
                </c:pt>
                <c:pt idx="139">
                  <c:v>583.69339561912909</c:v>
                </c:pt>
                <c:pt idx="140">
                  <c:v>589.0021085470114</c:v>
                </c:pt>
                <c:pt idx="141">
                  <c:v>594.30982509754745</c:v>
                </c:pt>
                <c:pt idx="142">
                  <c:v>599.61655542768824</c:v>
                </c:pt>
                <c:pt idx="143">
                  <c:v>604.92230949987606</c:v>
                </c:pt>
                <c:pt idx="144">
                  <c:v>610.22709708748118</c:v>
                </c:pt>
                <c:pt idx="145">
                  <c:v>615.53092778003713</c:v>
                </c:pt>
                <c:pt idx="146">
                  <c:v>620.0180441010242</c:v>
                </c:pt>
                <c:pt idx="147">
                  <c:v>624.50448765243209</c:v>
                </c:pt>
                <c:pt idx="148">
                  <c:v>628.99026395095802</c:v>
                </c:pt>
                <c:pt idx="149">
                  <c:v>633.47537842816757</c:v>
                </c:pt>
                <c:pt idx="150">
                  <c:v>637.95983643241379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8729664"/>
        <c:axId val="1438736192"/>
      </c:scatterChart>
      <c:valAx>
        <c:axId val="1438729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8736192"/>
        <c:crosses val="autoZero"/>
        <c:crossBetween val="midCat"/>
      </c:valAx>
      <c:valAx>
        <c:axId val="1438736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8729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2.2237370335339155</c:v>
                </c:pt>
                <c:pt idx="2">
                  <c:v>2.8551057905220838</c:v>
                </c:pt>
                <c:pt idx="3">
                  <c:v>3.6664526016105534</c:v>
                </c:pt>
                <c:pt idx="4">
                  <c:v>4.7092751349455169</c:v>
                </c:pt>
                <c:pt idx="5">
                  <c:v>6.0498579465884035</c:v>
                </c:pt>
                <c:pt idx="6">
                  <c:v>7.7735321354963425</c:v>
                </c:pt>
                <c:pt idx="7">
                  <c:v>9.9901657422727119</c:v>
                </c:pt>
                <c:pt idx="8">
                  <c:v>12.841241462302449</c:v>
                </c:pt>
                <c:pt idx="9">
                  <c:v>16.508981805982817</c:v>
                </c:pt>
                <c:pt idx="10">
                  <c:v>21.228115546950253</c:v>
                </c:pt>
                <c:pt idx="11">
                  <c:v>27.301051946538653</c:v>
                </c:pt>
                <c:pt idx="12">
                  <c:v>35.117452191659261</c:v>
                </c:pt>
                <c:pt idx="13">
                  <c:v>45.179475417802273</c:v>
                </c:pt>
                <c:pt idx="14">
                  <c:v>58.134348586780305</c:v>
                </c:pt>
                <c:pt idx="15">
                  <c:v>74.816389879517146</c:v>
                </c:pt>
                <c:pt idx="16">
                  <c:v>89.336953064344058</c:v>
                </c:pt>
                <c:pt idx="17">
                  <c:v>103.79822097947148</c:v>
                </c:pt>
                <c:pt idx="18">
                  <c:v>118.20964174983392</c:v>
                </c:pt>
                <c:pt idx="19">
                  <c:v>132.57815986744802</c:v>
                </c:pt>
                <c:pt idx="20">
                  <c:v>146.90908607065367</c:v>
                </c:pt>
                <c:pt idx="21">
                  <c:v>123.19919977804646</c:v>
                </c:pt>
                <c:pt idx="22">
                  <c:v>139.01683142261138</c:v>
                </c:pt>
                <c:pt idx="23">
                  <c:v>154.79121219766498</c:v>
                </c:pt>
                <c:pt idx="24">
                  <c:v>170.52737422542671</c:v>
                </c:pt>
                <c:pt idx="25">
                  <c:v>186.22934307037494</c:v>
                </c:pt>
                <c:pt idx="26">
                  <c:v>201.90040892569834</c:v>
                </c:pt>
                <c:pt idx="27">
                  <c:v>217.54330888367704</c:v>
                </c:pt>
                <c:pt idx="28">
                  <c:v>233.1603538810335</c:v>
                </c:pt>
                <c:pt idx="29">
                  <c:v>248.75351977263492</c:v>
                </c:pt>
                <c:pt idx="30">
                  <c:v>264.32451433073027</c:v>
                </c:pt>
                <c:pt idx="31">
                  <c:v>219.85852553656548</c:v>
                </c:pt>
                <c:pt idx="32">
                  <c:v>234.60514077955398</c:v>
                </c:pt>
                <c:pt idx="33">
                  <c:v>249.33060885818921</c:v>
                </c:pt>
                <c:pt idx="34">
                  <c:v>264.03635482953871</c:v>
                </c:pt>
                <c:pt idx="35">
                  <c:v>278.72363197672894</c:v>
                </c:pt>
                <c:pt idx="36">
                  <c:v>292.81857421305534</c:v>
                </c:pt>
                <c:pt idx="37">
                  <c:v>306.89837346468784</c:v>
                </c:pt>
                <c:pt idx="38">
                  <c:v>320.96382238441493</c:v>
                </c:pt>
                <c:pt idx="39">
                  <c:v>335.01563846802929</c:v>
                </c:pt>
                <c:pt idx="40">
                  <c:v>349.05447410055416</c:v>
                </c:pt>
                <c:pt idx="41">
                  <c:v>298.85458006272216</c:v>
                </c:pt>
                <c:pt idx="42">
                  <c:v>311.77981081702836</c:v>
                </c:pt>
                <c:pt idx="43">
                  <c:v>324.69315596665723</c:v>
                </c:pt>
                <c:pt idx="44">
                  <c:v>337.59515490696043</c:v>
                </c:pt>
                <c:pt idx="45">
                  <c:v>350.48630242966357</c:v>
                </c:pt>
                <c:pt idx="46">
                  <c:v>362.79479092212119</c:v>
                </c:pt>
                <c:pt idx="47">
                  <c:v>375.09415467865216</c:v>
                </c:pt>
                <c:pt idx="48">
                  <c:v>387.38473510985074</c:v>
                </c:pt>
                <c:pt idx="49">
                  <c:v>399.66685019122309</c:v>
                </c:pt>
                <c:pt idx="50">
                  <c:v>411.94079675783945</c:v>
                </c:pt>
                <c:pt idx="51">
                  <c:v>360.50554109831916</c:v>
                </c:pt>
                <c:pt idx="52">
                  <c:v>371.94865504264652</c:v>
                </c:pt>
                <c:pt idx="53">
                  <c:v>383.38409516212931</c:v>
                </c:pt>
                <c:pt idx="54">
                  <c:v>394.81212266433744</c:v>
                </c:pt>
                <c:pt idx="55">
                  <c:v>406.23298239796094</c:v>
                </c:pt>
                <c:pt idx="56">
                  <c:v>417.07636960303017</c:v>
                </c:pt>
                <c:pt idx="57">
                  <c:v>427.91368129854686</c:v>
                </c:pt>
                <c:pt idx="58">
                  <c:v>438.74509307281846</c:v>
                </c:pt>
                <c:pt idx="59">
                  <c:v>449.57077113572541</c:v>
                </c:pt>
                <c:pt idx="60">
                  <c:v>460.39087303823135</c:v>
                </c:pt>
                <c:pt idx="61">
                  <c:v>411.94079675783956</c:v>
                </c:pt>
                <c:pt idx="62">
                  <c:v>421.92538095054618</c:v>
                </c:pt>
                <c:pt idx="63">
                  <c:v>431.90487882746362</c:v>
                </c:pt>
                <c:pt idx="64">
                  <c:v>441.87942451482263</c:v>
                </c:pt>
                <c:pt idx="65">
                  <c:v>451.84914558797851</c:v>
                </c:pt>
                <c:pt idx="66">
                  <c:v>461.52951293255063</c:v>
                </c:pt>
                <c:pt idx="67">
                  <c:v>471.20554832072509</c:v>
                </c:pt>
                <c:pt idx="68">
                  <c:v>480.87735326927742</c:v>
                </c:pt>
                <c:pt idx="69">
                  <c:v>490.54502487748613</c:v>
                </c:pt>
                <c:pt idx="70">
                  <c:v>500.20865610450045</c:v>
                </c:pt>
                <c:pt idx="71">
                  <c:v>453.55776511510743</c:v>
                </c:pt>
                <c:pt idx="72">
                  <c:v>462.38345350022195</c:v>
                </c:pt>
                <c:pt idx="73">
                  <c:v>471.20554832072509</c:v>
                </c:pt>
                <c:pt idx="74">
                  <c:v>480.02412636541754</c:v>
                </c:pt>
                <c:pt idx="75">
                  <c:v>488.83926137072336</c:v>
                </c:pt>
                <c:pt idx="76">
                  <c:v>497.08262379025592</c:v>
                </c:pt>
                <c:pt idx="77">
                  <c:v>505.32309099425015</c:v>
                </c:pt>
                <c:pt idx="78">
                  <c:v>513.56071686770599</c:v>
                </c:pt>
                <c:pt idx="79">
                  <c:v>521.79555342549793</c:v>
                </c:pt>
                <c:pt idx="80">
                  <c:v>530.02765090640958</c:v>
                </c:pt>
                <c:pt idx="81">
                  <c:v>488.27064548957691</c:v>
                </c:pt>
                <c:pt idx="82">
                  <c:v>496.22999735796839</c:v>
                </c:pt>
                <c:pt idx="83">
                  <c:v>504.18664494899684</c:v>
                </c:pt>
                <c:pt idx="84">
                  <c:v>512.14063697174436</c:v>
                </c:pt>
                <c:pt idx="85">
                  <c:v>520.09202049842736</c:v>
                </c:pt>
                <c:pt idx="86">
                  <c:v>527.47315219785958</c:v>
                </c:pt>
                <c:pt idx="87">
                  <c:v>534.85210929012067</c:v>
                </c:pt>
                <c:pt idx="88">
                  <c:v>542.2289260170171</c:v>
                </c:pt>
                <c:pt idx="89">
                  <c:v>549.60363561240104</c:v>
                </c:pt>
                <c:pt idx="90">
                  <c:v>556.97627034526124</c:v>
                </c:pt>
                <c:pt idx="91">
                  <c:v>517.25253721854165</c:v>
                </c:pt>
                <c:pt idx="92">
                  <c:v>524.35063312052034</c:v>
                </c:pt>
                <c:pt idx="93">
                  <c:v>531.44670479748049</c:v>
                </c:pt>
                <c:pt idx="94">
                  <c:v>538.54078309901695</c:v>
                </c:pt>
                <c:pt idx="95">
                  <c:v>545.63289799541474</c:v>
                </c:pt>
                <c:pt idx="96">
                  <c:v>552.43950816964661</c:v>
                </c:pt>
                <c:pt idx="97">
                  <c:v>559.24436078689996</c:v>
                </c:pt>
                <c:pt idx="98">
                  <c:v>566.04748025569222</c:v>
                </c:pt>
                <c:pt idx="99">
                  <c:v>572.84889034980722</c:v>
                </c:pt>
                <c:pt idx="100">
                  <c:v>579.6486142323032</c:v>
                </c:pt>
                <c:pt idx="101">
                  <c:v>546.48382123393628</c:v>
                </c:pt>
                <c:pt idx="102">
                  <c:v>553.00664600905327</c:v>
                </c:pt>
                <c:pt idx="103">
                  <c:v>559.52785853396074</c:v>
                </c:pt>
                <c:pt idx="104">
                  <c:v>566.04748025569234</c:v>
                </c:pt>
                <c:pt idx="105">
                  <c:v>572.56553208678508</c:v>
                </c:pt>
                <c:pt idx="106">
                  <c:v>578.79874018454814</c:v>
                </c:pt>
                <c:pt idx="107">
                  <c:v>585.03054802713257</c:v>
                </c:pt>
                <c:pt idx="108">
                  <c:v>591.2609726382899</c:v>
                </c:pt>
                <c:pt idx="109">
                  <c:v>597.49003065363388</c:v>
                </c:pt>
                <c:pt idx="110">
                  <c:v>603.71773833353313</c:v>
                </c:pt>
                <c:pt idx="111">
                  <c:v>6.6944552106818241E-12</c:v>
                </c:pt>
                <c:pt idx="112">
                  <c:v>6.6944552106818241E-12</c:v>
                </c:pt>
                <c:pt idx="113">
                  <c:v>6.6944552106818241E-12</c:v>
                </c:pt>
                <c:pt idx="114">
                  <c:v>6.6944552106818241E-12</c:v>
                </c:pt>
                <c:pt idx="115">
                  <c:v>6.6944552106818241E-12</c:v>
                </c:pt>
                <c:pt idx="116">
                  <c:v>6.6944552106818241E-12</c:v>
                </c:pt>
                <c:pt idx="117">
                  <c:v>6.6944552106818241E-12</c:v>
                </c:pt>
                <c:pt idx="118">
                  <c:v>6.6944552106818241E-12</c:v>
                </c:pt>
                <c:pt idx="119">
                  <c:v>6.6944552106818241E-12</c:v>
                </c:pt>
                <c:pt idx="120">
                  <c:v>6.6944552106818241E-12</c:v>
                </c:pt>
                <c:pt idx="121">
                  <c:v>6.6944552106818241E-12</c:v>
                </c:pt>
                <c:pt idx="122">
                  <c:v>6.6944552106818241E-12</c:v>
                </c:pt>
                <c:pt idx="123">
                  <c:v>6.6944552106818241E-12</c:v>
                </c:pt>
                <c:pt idx="124">
                  <c:v>6.6944552106818241E-12</c:v>
                </c:pt>
                <c:pt idx="125">
                  <c:v>6.6944552106818241E-12</c:v>
                </c:pt>
                <c:pt idx="126">
                  <c:v>6.6944552106818241E-12</c:v>
                </c:pt>
                <c:pt idx="127">
                  <c:v>6.6944552106818241E-12</c:v>
                </c:pt>
                <c:pt idx="128">
                  <c:v>6.6944552106818241E-12</c:v>
                </c:pt>
                <c:pt idx="129">
                  <c:v>6.6944552106818241E-12</c:v>
                </c:pt>
                <c:pt idx="130">
                  <c:v>6.6944552106818241E-12</c:v>
                </c:pt>
                <c:pt idx="131">
                  <c:v>6.6944552106818241E-12</c:v>
                </c:pt>
                <c:pt idx="132">
                  <c:v>6.6944552106818241E-12</c:v>
                </c:pt>
                <c:pt idx="133">
                  <c:v>6.6944552106818241E-12</c:v>
                </c:pt>
                <c:pt idx="134">
                  <c:v>6.6944552106818241E-12</c:v>
                </c:pt>
                <c:pt idx="135">
                  <c:v>6.6944552106818241E-12</c:v>
                </c:pt>
                <c:pt idx="136">
                  <c:v>6.6944552106818241E-12</c:v>
                </c:pt>
                <c:pt idx="137">
                  <c:v>6.6944552106818241E-12</c:v>
                </c:pt>
                <c:pt idx="138">
                  <c:v>6.6944552106818241E-12</c:v>
                </c:pt>
                <c:pt idx="139">
                  <c:v>6.6944552106818241E-12</c:v>
                </c:pt>
                <c:pt idx="140">
                  <c:v>6.6944552106818241E-12</c:v>
                </c:pt>
                <c:pt idx="141">
                  <c:v>6.6944552106818241E-12</c:v>
                </c:pt>
                <c:pt idx="142">
                  <c:v>6.6944552106818241E-12</c:v>
                </c:pt>
                <c:pt idx="143">
                  <c:v>6.6944552106818241E-12</c:v>
                </c:pt>
                <c:pt idx="144">
                  <c:v>6.6944552106818241E-12</c:v>
                </c:pt>
                <c:pt idx="145">
                  <c:v>6.6944552106818241E-12</c:v>
                </c:pt>
                <c:pt idx="146">
                  <c:v>6.6944552106818241E-12</c:v>
                </c:pt>
                <c:pt idx="147">
                  <c:v>6.6944552106818241E-12</c:v>
                </c:pt>
                <c:pt idx="148">
                  <c:v>6.6944552106818241E-12</c:v>
                </c:pt>
                <c:pt idx="149">
                  <c:v>6.6944552106818241E-12</c:v>
                </c:pt>
                <c:pt idx="150">
                  <c:v>6.6944552106818241E-12</c:v>
                </c:pt>
                <c:pt idx="151">
                  <c:v>6.6944552106818241E-12</c:v>
                </c:pt>
                <c:pt idx="152">
                  <c:v>6.6944552106818241E-12</c:v>
                </c:pt>
                <c:pt idx="153">
                  <c:v>6.6944552106818241E-12</c:v>
                </c:pt>
                <c:pt idx="154">
                  <c:v>6.6944552106818241E-12</c:v>
                </c:pt>
                <c:pt idx="155">
                  <c:v>6.6944552106818241E-12</c:v>
                </c:pt>
                <c:pt idx="156">
                  <c:v>6.6944552106818241E-12</c:v>
                </c:pt>
                <c:pt idx="157">
                  <c:v>6.6944552106818241E-12</c:v>
                </c:pt>
                <c:pt idx="158">
                  <c:v>6.6944552106818241E-12</c:v>
                </c:pt>
                <c:pt idx="159">
                  <c:v>6.6944552106818241E-12</c:v>
                </c:pt>
                <c:pt idx="160">
                  <c:v>6.6944552106818241E-12</c:v>
                </c:pt>
                <c:pt idx="161">
                  <c:v>6.6944552106818241E-12</c:v>
                </c:pt>
                <c:pt idx="162">
                  <c:v>6.6944552106818241E-12</c:v>
                </c:pt>
                <c:pt idx="163">
                  <c:v>6.6944552106818241E-12</c:v>
                </c:pt>
                <c:pt idx="164">
                  <c:v>6.6944552106818241E-12</c:v>
                </c:pt>
                <c:pt idx="165">
                  <c:v>6.6944552106818241E-12</c:v>
                </c:pt>
                <c:pt idx="166">
                  <c:v>6.6944552106818241E-12</c:v>
                </c:pt>
                <c:pt idx="167">
                  <c:v>6.6944552106818241E-12</c:v>
                </c:pt>
                <c:pt idx="168">
                  <c:v>6.6944552106818241E-12</c:v>
                </c:pt>
                <c:pt idx="169">
                  <c:v>6.6944552106818241E-12</c:v>
                </c:pt>
                <c:pt idx="170">
                  <c:v>6.6944552106818241E-12</c:v>
                </c:pt>
                <c:pt idx="171">
                  <c:v>6.6944552106818241E-12</c:v>
                </c:pt>
                <c:pt idx="172">
                  <c:v>6.6944552106818241E-12</c:v>
                </c:pt>
                <c:pt idx="173">
                  <c:v>6.6944552106818241E-12</c:v>
                </c:pt>
                <c:pt idx="174">
                  <c:v>6.6944552106818241E-12</c:v>
                </c:pt>
                <c:pt idx="175">
                  <c:v>6.6944552106818241E-12</c:v>
                </c:pt>
                <c:pt idx="176">
                  <c:v>6.6944552106818241E-12</c:v>
                </c:pt>
                <c:pt idx="177">
                  <c:v>6.6944552106818241E-12</c:v>
                </c:pt>
                <c:pt idx="178">
                  <c:v>6.6944552106818241E-12</c:v>
                </c:pt>
                <c:pt idx="179">
                  <c:v>6.6944552106818241E-12</c:v>
                </c:pt>
                <c:pt idx="180">
                  <c:v>6.6944552106818241E-12</c:v>
                </c:pt>
                <c:pt idx="181">
                  <c:v>6.6944552106818241E-12</c:v>
                </c:pt>
                <c:pt idx="182">
                  <c:v>6.6944552106818241E-12</c:v>
                </c:pt>
                <c:pt idx="183">
                  <c:v>6.6944552106818241E-12</c:v>
                </c:pt>
                <c:pt idx="184">
                  <c:v>6.6944552106818241E-12</c:v>
                </c:pt>
                <c:pt idx="185">
                  <c:v>6.6944552106818241E-12</c:v>
                </c:pt>
                <c:pt idx="186">
                  <c:v>6.6944552106818241E-12</c:v>
                </c:pt>
                <c:pt idx="187">
                  <c:v>6.6944552106818241E-12</c:v>
                </c:pt>
                <c:pt idx="188">
                  <c:v>6.6944552106818241E-12</c:v>
                </c:pt>
                <c:pt idx="189">
                  <c:v>6.6944552106818241E-12</c:v>
                </c:pt>
                <c:pt idx="190">
                  <c:v>6.6944552106818241E-12</c:v>
                </c:pt>
                <c:pt idx="191">
                  <c:v>6.6944552106818241E-12</c:v>
                </c:pt>
                <c:pt idx="192">
                  <c:v>6.6944552106818241E-12</c:v>
                </c:pt>
                <c:pt idx="193">
                  <c:v>6.6944552106818241E-12</c:v>
                </c:pt>
                <c:pt idx="194">
                  <c:v>6.6944552106818241E-12</c:v>
                </c:pt>
                <c:pt idx="195">
                  <c:v>6.6944552106818241E-12</c:v>
                </c:pt>
                <c:pt idx="196">
                  <c:v>6.6944552106818241E-12</c:v>
                </c:pt>
                <c:pt idx="197">
                  <c:v>6.6944552106818241E-12</c:v>
                </c:pt>
                <c:pt idx="198">
                  <c:v>6.6944552106818241E-12</c:v>
                </c:pt>
                <c:pt idx="199">
                  <c:v>6.6944552106818241E-12</c:v>
                </c:pt>
                <c:pt idx="200">
                  <c:v>6.6944552106818241E-12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8732384"/>
        <c:axId val="1438726944"/>
      </c:scatterChart>
      <c:valAx>
        <c:axId val="14387323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8726944"/>
        <c:crosses val="autoZero"/>
        <c:crossBetween val="midCat"/>
      </c:valAx>
      <c:valAx>
        <c:axId val="1438726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87323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8734560"/>
        <c:axId val="1438727488"/>
      </c:scatterChart>
      <c:valAx>
        <c:axId val="14387345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8727488"/>
        <c:crosses val="autoZero"/>
        <c:crossBetween val="midCat"/>
      </c:valAx>
      <c:valAx>
        <c:axId val="143872748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87345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C1" zoomScale="80" zoomScaleNormal="80" workbookViewId="0">
      <selection activeCell="E17" sqref="E1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5.5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112</v>
      </c>
      <c r="C9" s="35">
        <v>0.3</v>
      </c>
      <c r="D9" s="36">
        <f t="shared" ref="D9:D18" si="0">C9*$C$5</f>
        <v>1.65</v>
      </c>
      <c r="E9" s="37">
        <v>22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14</v>
      </c>
      <c r="C10" s="35">
        <v>0.25</v>
      </c>
      <c r="D10" s="36">
        <f t="shared" si="0"/>
        <v>1.375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35</v>
      </c>
      <c r="C11" s="35">
        <v>0.1</v>
      </c>
      <c r="D11" s="36">
        <f t="shared" si="0"/>
        <v>0.55000000000000004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41</v>
      </c>
      <c r="C12" s="35">
        <v>0.1</v>
      </c>
      <c r="D12" s="36">
        <f t="shared" si="0"/>
        <v>0.55000000000000004</v>
      </c>
      <c r="E12" s="37">
        <v>82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22</v>
      </c>
      <c r="C13" s="35">
        <v>0.1</v>
      </c>
      <c r="D13" s="36">
        <f t="shared" si="0"/>
        <v>0.55000000000000004</v>
      </c>
      <c r="E13" s="37">
        <v>80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52</v>
      </c>
      <c r="C14" s="35">
        <v>0.05</v>
      </c>
      <c r="D14" s="36">
        <f t="shared" si="0"/>
        <v>0.27500000000000002</v>
      </c>
      <c r="E14" s="37">
        <v>150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1</v>
      </c>
      <c r="C15" s="35">
        <v>0.05</v>
      </c>
      <c r="D15" s="36">
        <f t="shared" si="0"/>
        <v>0.27500000000000002</v>
      </c>
      <c r="E15" s="37">
        <v>150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 t="s">
        <v>50</v>
      </c>
      <c r="C16" s="35">
        <v>0.05</v>
      </c>
      <c r="D16" s="36">
        <f t="shared" si="0"/>
        <v>0.27500000000000002</v>
      </c>
      <c r="E16" s="37">
        <v>110</v>
      </c>
      <c r="F16" s="38" t="str">
        <f t="array" ref="F16">IF(E16="","",IF(INDEX(A:A,MAX(IF(ISNUMBER($A$218:$A$237),ROW($A$218:$A$237),"")))&lt;&gt;E16,"Corrigez : révolution incorrecte","OK"))</f>
        <v>OK</v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5.5000000000000009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Koster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8</v>
      </c>
      <c r="B36" s="63">
        <v>8</v>
      </c>
      <c r="C36" s="63"/>
      <c r="D36" s="63"/>
      <c r="E36" s="54"/>
      <c r="F36" s="54"/>
      <c r="G36" s="54"/>
      <c r="H36" s="54"/>
      <c r="I36" s="52">
        <f>IFERROR(B36/A36,"")</f>
        <v>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9</v>
      </c>
      <c r="B37" s="63">
        <v>29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21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10</v>
      </c>
      <c r="B38" s="63">
        <v>52</v>
      </c>
      <c r="C38" s="63"/>
      <c r="D38" s="63"/>
      <c r="E38" s="54"/>
      <c r="F38" s="54"/>
      <c r="G38" s="54"/>
      <c r="H38" s="54"/>
      <c r="I38" s="56">
        <f t="shared" si="1"/>
        <v>23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11</v>
      </c>
      <c r="B39" s="63">
        <v>76</v>
      </c>
      <c r="C39" s="63"/>
      <c r="D39" s="63"/>
      <c r="E39" s="54"/>
      <c r="F39" s="54"/>
      <c r="G39" s="54"/>
      <c r="H39" s="54"/>
      <c r="I39" s="52">
        <f t="shared" si="1"/>
        <v>24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12</v>
      </c>
      <c r="B40" s="63">
        <v>102</v>
      </c>
      <c r="C40" s="63"/>
      <c r="D40" s="63"/>
      <c r="E40" s="54"/>
      <c r="F40" s="54"/>
      <c r="G40" s="54"/>
      <c r="H40" s="54"/>
      <c r="I40" s="52">
        <f t="shared" si="1"/>
        <v>26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13</v>
      </c>
      <c r="B41" s="63">
        <v>125</v>
      </c>
      <c r="C41" s="63"/>
      <c r="D41" s="63"/>
      <c r="E41" s="54"/>
      <c r="F41" s="54"/>
      <c r="G41" s="54"/>
      <c r="H41" s="54"/>
      <c r="I41" s="56">
        <f t="shared" si="1"/>
        <v>23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14</v>
      </c>
      <c r="B42" s="63">
        <v>149</v>
      </c>
      <c r="C42" s="63"/>
      <c r="D42" s="63"/>
      <c r="E42" s="54"/>
      <c r="F42" s="54"/>
      <c r="G42" s="54"/>
      <c r="H42" s="54"/>
      <c r="I42" s="56">
        <f t="shared" si="1"/>
        <v>24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15</v>
      </c>
      <c r="B43" s="63">
        <v>172</v>
      </c>
      <c r="C43" s="63"/>
      <c r="D43" s="63"/>
      <c r="E43" s="54"/>
      <c r="F43" s="54"/>
      <c r="G43" s="54"/>
      <c r="H43" s="54"/>
      <c r="I43" s="52">
        <f t="shared" si="1"/>
        <v>23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16</v>
      </c>
      <c r="B44" s="63">
        <v>193</v>
      </c>
      <c r="C44" s="63"/>
      <c r="D44" s="63"/>
      <c r="E44" s="54"/>
      <c r="F44" s="54"/>
      <c r="G44" s="54"/>
      <c r="H44" s="54"/>
      <c r="I44" s="52">
        <f t="shared" si="1"/>
        <v>21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17</v>
      </c>
      <c r="B45" s="63">
        <v>212</v>
      </c>
      <c r="C45" s="63"/>
      <c r="D45" s="63"/>
      <c r="E45" s="54"/>
      <c r="F45" s="54"/>
      <c r="G45" s="54"/>
      <c r="H45" s="54"/>
      <c r="I45" s="52">
        <f t="shared" si="1"/>
        <v>19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18</v>
      </c>
      <c r="B46" s="63">
        <v>230</v>
      </c>
      <c r="C46" s="63"/>
      <c r="D46" s="63"/>
      <c r="E46" s="54"/>
      <c r="F46" s="54"/>
      <c r="G46" s="54"/>
      <c r="H46" s="54"/>
      <c r="I46" s="52">
        <f t="shared" si="1"/>
        <v>18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19</v>
      </c>
      <c r="B47" s="63">
        <v>245</v>
      </c>
      <c r="C47" s="63"/>
      <c r="D47" s="63"/>
      <c r="E47" s="54"/>
      <c r="F47" s="54"/>
      <c r="G47" s="54"/>
      <c r="H47" s="54"/>
      <c r="I47" s="52">
        <f t="shared" si="1"/>
        <v>15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20</v>
      </c>
      <c r="B48" s="63">
        <v>259</v>
      </c>
      <c r="C48" s="63"/>
      <c r="D48" s="63"/>
      <c r="E48" s="54"/>
      <c r="F48" s="54"/>
      <c r="G48" s="54"/>
      <c r="H48" s="54"/>
      <c r="I48" s="52">
        <f t="shared" si="1"/>
        <v>14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21</v>
      </c>
      <c r="B49" s="63">
        <v>272</v>
      </c>
      <c r="C49" s="63"/>
      <c r="D49" s="63"/>
      <c r="E49" s="54"/>
      <c r="F49" s="54"/>
      <c r="G49" s="54"/>
      <c r="H49" s="54"/>
      <c r="I49" s="52">
        <f t="shared" si="1"/>
        <v>13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22</v>
      </c>
      <c r="B50" s="53">
        <v>279</v>
      </c>
      <c r="C50" s="53">
        <v>1</v>
      </c>
      <c r="D50" s="53">
        <v>279</v>
      </c>
      <c r="E50" s="54">
        <v>0.78</v>
      </c>
      <c r="F50" s="54"/>
      <c r="G50" s="54">
        <v>0.22</v>
      </c>
      <c r="H50" s="54"/>
      <c r="I50" s="52">
        <f t="shared" si="1"/>
        <v>7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sessile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53">
        <v>42</v>
      </c>
      <c r="C62" s="53"/>
      <c r="D62" s="53"/>
      <c r="E62" s="54"/>
      <c r="F62" s="54"/>
      <c r="G62" s="54"/>
      <c r="H62" s="54"/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53">
        <v>70</v>
      </c>
      <c r="C63" s="53">
        <v>1</v>
      </c>
      <c r="D63" s="53">
        <v>8</v>
      </c>
      <c r="E63" s="54"/>
      <c r="F63" s="54"/>
      <c r="G63" s="54"/>
      <c r="H63" s="54">
        <v>1</v>
      </c>
      <c r="I63" s="52">
        <f>IF(A63&lt;&gt;0,(B63-(B62-D62))/(A63-A62),"")</f>
        <v>5.6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53">
        <v>97</v>
      </c>
      <c r="C64" s="53"/>
      <c r="D64" s="53"/>
      <c r="E64" s="54"/>
      <c r="F64" s="54"/>
      <c r="G64" s="54"/>
      <c r="H64" s="54"/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53">
        <v>140</v>
      </c>
      <c r="C65" s="53">
        <v>2</v>
      </c>
      <c r="D65" s="53">
        <v>42</v>
      </c>
      <c r="E65" s="54"/>
      <c r="F65" s="54"/>
      <c r="G65" s="54"/>
      <c r="H65" s="54"/>
      <c r="I65" s="52">
        <f>IF(A65&lt;&gt;0,(B65-(B64-D64))/(A65-A64),"")</f>
        <v>8.6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53">
        <v>137</v>
      </c>
      <c r="C66" s="53"/>
      <c r="D66" s="53"/>
      <c r="E66" s="54"/>
      <c r="F66" s="54"/>
      <c r="G66" s="54"/>
      <c r="H66" s="54"/>
      <c r="I66" s="52">
        <f t="shared" ref="I66:I81" si="2">IF(A66&lt;&gt;0,(B66-(B65-D65))/(A66-A65),"")</f>
        <v>7.8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53">
        <v>179</v>
      </c>
      <c r="C67" s="53">
        <v>3</v>
      </c>
      <c r="D67" s="53">
        <v>42</v>
      </c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53">
        <v>178</v>
      </c>
      <c r="C68" s="53"/>
      <c r="D68" s="53"/>
      <c r="E68" s="54"/>
      <c r="F68" s="54"/>
      <c r="G68" s="54"/>
      <c r="H68" s="54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53">
        <v>218</v>
      </c>
      <c r="C69" s="53">
        <v>4</v>
      </c>
      <c r="D69" s="53">
        <v>42</v>
      </c>
      <c r="E69" s="54"/>
      <c r="F69" s="54"/>
      <c r="G69" s="54"/>
      <c r="H69" s="54"/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214</v>
      </c>
      <c r="C70" s="53"/>
      <c r="D70" s="53"/>
      <c r="E70" s="54"/>
      <c r="F70" s="54"/>
      <c r="G70" s="54"/>
      <c r="H70" s="54"/>
      <c r="I70" s="52">
        <f t="shared" si="2"/>
        <v>7.6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53">
        <v>250</v>
      </c>
      <c r="C71" s="53">
        <v>5</v>
      </c>
      <c r="D71" s="53">
        <v>42</v>
      </c>
      <c r="E71" s="54"/>
      <c r="F71" s="54"/>
      <c r="G71" s="54"/>
      <c r="H71" s="54"/>
      <c r="I71" s="52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53">
        <v>242</v>
      </c>
      <c r="C72" s="53"/>
      <c r="D72" s="53"/>
      <c r="E72" s="54"/>
      <c r="F72" s="54"/>
      <c r="G72" s="54"/>
      <c r="H72" s="54"/>
      <c r="I72" s="52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53">
        <v>273</v>
      </c>
      <c r="C73" s="53">
        <v>6</v>
      </c>
      <c r="D73" s="53">
        <v>42</v>
      </c>
      <c r="E73" s="54"/>
      <c r="F73" s="54"/>
      <c r="G73" s="54"/>
      <c r="H73" s="54"/>
      <c r="I73" s="52">
        <f t="shared" si="2"/>
        <v>6.2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v>290</v>
      </c>
      <c r="C74" s="53">
        <v>7</v>
      </c>
      <c r="D74" s="53">
        <v>42</v>
      </c>
      <c r="E74" s="54"/>
      <c r="F74" s="54"/>
      <c r="G74" s="54"/>
      <c r="H74" s="54"/>
      <c r="I74" s="52">
        <f t="shared" si="2"/>
        <v>5.9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95</v>
      </c>
      <c r="B75" s="53">
        <v>300</v>
      </c>
      <c r="C75" s="53">
        <v>8</v>
      </c>
      <c r="D75" s="53">
        <v>42</v>
      </c>
      <c r="E75" s="54"/>
      <c r="F75" s="54"/>
      <c r="G75" s="54"/>
      <c r="H75" s="54"/>
      <c r="I75" s="52">
        <f t="shared" si="2"/>
        <v>5.2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105</v>
      </c>
      <c r="B76" s="53">
        <v>305</v>
      </c>
      <c r="C76" s="53">
        <v>9</v>
      </c>
      <c r="D76" s="53">
        <v>41</v>
      </c>
      <c r="E76" s="54"/>
      <c r="F76" s="54"/>
      <c r="G76" s="54"/>
      <c r="H76" s="54"/>
      <c r="I76" s="52">
        <f t="shared" si="2"/>
        <v>4.7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115</v>
      </c>
      <c r="B77" s="53">
        <v>304</v>
      </c>
      <c r="C77" s="53">
        <v>10</v>
      </c>
      <c r="D77" s="53">
        <v>37</v>
      </c>
      <c r="E77" s="54"/>
      <c r="F77" s="54"/>
      <c r="G77" s="54"/>
      <c r="H77" s="54"/>
      <c r="I77" s="52">
        <f t="shared" si="2"/>
        <v>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125</v>
      </c>
      <c r="B78" s="53">
        <v>301</v>
      </c>
      <c r="C78" s="53">
        <v>11</v>
      </c>
      <c r="D78" s="53">
        <v>33</v>
      </c>
      <c r="E78" s="54"/>
      <c r="F78" s="54"/>
      <c r="G78" s="54"/>
      <c r="H78" s="54"/>
      <c r="I78" s="52">
        <f t="shared" si="2"/>
        <v>3.4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135</v>
      </c>
      <c r="B79" s="53">
        <v>298</v>
      </c>
      <c r="C79" s="53">
        <v>12</v>
      </c>
      <c r="D79" s="53">
        <v>29</v>
      </c>
      <c r="E79" s="54"/>
      <c r="F79" s="54"/>
      <c r="G79" s="54"/>
      <c r="H79" s="54"/>
      <c r="I79" s="52">
        <f t="shared" si="2"/>
        <v>3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145</v>
      </c>
      <c r="B80" s="53">
        <v>295</v>
      </c>
      <c r="C80" s="53"/>
      <c r="D80" s="53"/>
      <c r="E80" s="54"/>
      <c r="F80" s="54"/>
      <c r="G80" s="54"/>
      <c r="H80" s="54"/>
      <c r="I80" s="52">
        <f t="shared" si="2"/>
        <v>2.6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150</v>
      </c>
      <c r="B81" s="53">
        <v>306</v>
      </c>
      <c r="C81" s="53">
        <v>13</v>
      </c>
      <c r="D81" s="53">
        <v>306</v>
      </c>
      <c r="E81" s="54"/>
      <c r="F81" s="54"/>
      <c r="G81" s="54"/>
      <c r="H81" s="54"/>
      <c r="I81" s="52">
        <f t="shared" si="2"/>
        <v>2.2000000000000002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Pin laricio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27</v>
      </c>
      <c r="B88" s="63">
        <f>103+15</f>
        <v>118</v>
      </c>
      <c r="C88" s="63">
        <v>1</v>
      </c>
      <c r="D88" s="63">
        <v>15</v>
      </c>
      <c r="E88" s="54"/>
      <c r="F88" s="54"/>
      <c r="G88" s="54"/>
      <c r="H88" s="93">
        <v>1</v>
      </c>
      <c r="I88" s="56">
        <f>IFERROR(B88/A88,"")</f>
        <v>4.3703703703703702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63">
        <f>119+13</f>
        <v>132</v>
      </c>
      <c r="C89" s="63">
        <v>2</v>
      </c>
      <c r="D89" s="63">
        <v>13</v>
      </c>
      <c r="E89" s="54"/>
      <c r="F89" s="54"/>
      <c r="G89" s="54"/>
      <c r="H89" s="93">
        <v>1</v>
      </c>
      <c r="I89" s="56">
        <f t="shared" ref="I89:I107" si="3">IF(A89&lt;&gt;0,(B89-(B88-D88))/(A89-A88),"")</f>
        <v>9.6666666666666661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35</v>
      </c>
      <c r="B90" s="63">
        <f>146+23</f>
        <v>169</v>
      </c>
      <c r="C90" s="63">
        <v>3</v>
      </c>
      <c r="D90" s="63">
        <v>23</v>
      </c>
      <c r="E90" s="93"/>
      <c r="F90" s="93"/>
      <c r="G90" s="93"/>
      <c r="H90" s="93"/>
      <c r="I90" s="56">
        <f t="shared" si="3"/>
        <v>10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40</v>
      </c>
      <c r="B91" s="63">
        <f>174+34</f>
        <v>208</v>
      </c>
      <c r="C91" s="63">
        <v>4</v>
      </c>
      <c r="D91" s="63">
        <v>34</v>
      </c>
      <c r="E91" s="93"/>
      <c r="F91" s="93"/>
      <c r="G91" s="93"/>
      <c r="H91" s="93"/>
      <c r="I91" s="56">
        <f t="shared" si="3"/>
        <v>12.4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50</v>
      </c>
      <c r="B92" s="63">
        <f>236+79</f>
        <v>315</v>
      </c>
      <c r="C92" s="63">
        <v>5</v>
      </c>
      <c r="D92" s="63">
        <v>79</v>
      </c>
      <c r="E92" s="93"/>
      <c r="F92" s="93"/>
      <c r="G92" s="93"/>
      <c r="H92" s="93"/>
      <c r="I92" s="56">
        <f t="shared" si="3"/>
        <v>14.1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60</v>
      </c>
      <c r="B93" s="63">
        <f>305+88</f>
        <v>393</v>
      </c>
      <c r="C93" s="63">
        <v>6</v>
      </c>
      <c r="D93" s="63">
        <v>88</v>
      </c>
      <c r="E93" s="93"/>
      <c r="F93" s="93"/>
      <c r="G93" s="93"/>
      <c r="H93" s="93"/>
      <c r="I93" s="56">
        <f t="shared" si="3"/>
        <v>15.7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70</v>
      </c>
      <c r="B94" s="63">
        <f>370+78</f>
        <v>448</v>
      </c>
      <c r="C94" s="63">
        <v>7</v>
      </c>
      <c r="D94" s="63">
        <v>78</v>
      </c>
      <c r="E94" s="93"/>
      <c r="F94" s="93"/>
      <c r="G94" s="93"/>
      <c r="H94" s="93"/>
      <c r="I94" s="56">
        <f t="shared" si="3"/>
        <v>14.3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80</v>
      </c>
      <c r="B95" s="63">
        <f>415+45</f>
        <v>460</v>
      </c>
      <c r="C95" s="63">
        <v>8</v>
      </c>
      <c r="D95" s="63">
        <f>B95</f>
        <v>460</v>
      </c>
      <c r="E95" s="93"/>
      <c r="F95" s="93"/>
      <c r="G95" s="93"/>
      <c r="H95" s="93"/>
      <c r="I95" s="56">
        <f t="shared" si="3"/>
        <v>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Pin sylvestre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22</v>
      </c>
      <c r="B114" s="63">
        <f>84+9</f>
        <v>93</v>
      </c>
      <c r="C114" s="53">
        <v>1</v>
      </c>
      <c r="D114" s="63">
        <v>9</v>
      </c>
      <c r="E114" s="54"/>
      <c r="F114" s="54"/>
      <c r="G114" s="54"/>
      <c r="H114" s="54">
        <v>1</v>
      </c>
      <c r="I114" s="56">
        <f>IFERROR(B114/A114,"")</f>
        <v>4.2272727272727275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25</v>
      </c>
      <c r="B115" s="63">
        <f>110+21</f>
        <v>131</v>
      </c>
      <c r="C115" s="53">
        <v>2</v>
      </c>
      <c r="D115" s="63">
        <v>21</v>
      </c>
      <c r="E115" s="54"/>
      <c r="F115" s="54"/>
      <c r="G115" s="54">
        <v>0.4</v>
      </c>
      <c r="H115" s="54">
        <v>0.6</v>
      </c>
      <c r="I115" s="56">
        <f t="shared" ref="I115:I133" si="4">IF(A115&lt;&gt;0,(B115-(B114-D114))/(A115-A114),"")</f>
        <v>15.666666666666666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30</v>
      </c>
      <c r="B116" s="63">
        <f>146+36</f>
        <v>182</v>
      </c>
      <c r="C116" s="53">
        <v>3</v>
      </c>
      <c r="D116" s="63">
        <v>36</v>
      </c>
      <c r="E116" s="54"/>
      <c r="F116" s="54">
        <v>0.2</v>
      </c>
      <c r="G116" s="54">
        <v>0.3</v>
      </c>
      <c r="H116" s="54">
        <v>0.5</v>
      </c>
      <c r="I116" s="56">
        <f t="shared" si="4"/>
        <v>14.4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35</v>
      </c>
      <c r="B117" s="63">
        <f>180+49</f>
        <v>229</v>
      </c>
      <c r="C117" s="53">
        <v>4</v>
      </c>
      <c r="D117" s="63">
        <v>49</v>
      </c>
      <c r="E117" s="54"/>
      <c r="F117" s="54"/>
      <c r="G117" s="54"/>
      <c r="H117" s="54"/>
      <c r="I117" s="56">
        <f t="shared" si="4"/>
        <v>16.600000000000001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40</v>
      </c>
      <c r="B118" s="63">
        <f>214+42</f>
        <v>256</v>
      </c>
      <c r="C118" s="53">
        <v>5</v>
      </c>
      <c r="D118" s="63">
        <v>42</v>
      </c>
      <c r="E118" s="54"/>
      <c r="F118" s="54"/>
      <c r="G118" s="54"/>
      <c r="H118" s="54"/>
      <c r="I118" s="56">
        <f t="shared" si="4"/>
        <v>15.2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45</v>
      </c>
      <c r="B119" s="63">
        <f>245+38</f>
        <v>283</v>
      </c>
      <c r="C119" s="53">
        <v>6</v>
      </c>
      <c r="D119" s="63">
        <v>38</v>
      </c>
      <c r="E119" s="54"/>
      <c r="F119" s="54"/>
      <c r="G119" s="54"/>
      <c r="H119" s="54"/>
      <c r="I119" s="56">
        <f t="shared" si="4"/>
        <v>13.8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50</v>
      </c>
      <c r="B120" s="63">
        <f>274+37</f>
        <v>311</v>
      </c>
      <c r="C120" s="63">
        <v>7</v>
      </c>
      <c r="D120" s="63">
        <v>37</v>
      </c>
      <c r="E120" s="93"/>
      <c r="F120" s="93"/>
      <c r="G120" s="93"/>
      <c r="H120" s="93"/>
      <c r="I120" s="56">
        <f t="shared" si="4"/>
        <v>13.2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58</v>
      </c>
      <c r="B121" s="63">
        <f>324+48</f>
        <v>372</v>
      </c>
      <c r="C121" s="63">
        <v>8</v>
      </c>
      <c r="D121" s="63">
        <v>48</v>
      </c>
      <c r="E121" s="93"/>
      <c r="F121" s="93"/>
      <c r="G121" s="93"/>
      <c r="H121" s="93"/>
      <c r="I121" s="56">
        <f t="shared" si="4"/>
        <v>12.25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66</v>
      </c>
      <c r="B122" s="63">
        <f>365+50</f>
        <v>415</v>
      </c>
      <c r="C122" s="63">
        <v>9</v>
      </c>
      <c r="D122" s="63">
        <v>50</v>
      </c>
      <c r="E122" s="93"/>
      <c r="F122" s="93"/>
      <c r="G122" s="93"/>
      <c r="H122" s="93"/>
      <c r="I122" s="56">
        <f t="shared" si="4"/>
        <v>11.375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74</v>
      </c>
      <c r="B123" s="63">
        <f>399+20</f>
        <v>419</v>
      </c>
      <c r="C123" s="63">
        <v>10</v>
      </c>
      <c r="D123" s="63">
        <v>20</v>
      </c>
      <c r="E123" s="93"/>
      <c r="F123" s="93"/>
      <c r="G123" s="93"/>
      <c r="H123" s="93"/>
      <c r="I123" s="56">
        <f t="shared" si="4"/>
        <v>6.75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82</v>
      </c>
      <c r="B124" s="63">
        <f>427+17</f>
        <v>444</v>
      </c>
      <c r="C124" s="63">
        <v>11</v>
      </c>
      <c r="D124" s="63">
        <f>B124</f>
        <v>444</v>
      </c>
      <c r="E124" s="93"/>
      <c r="F124" s="93"/>
      <c r="G124" s="93"/>
      <c r="H124" s="93"/>
      <c r="I124" s="56">
        <f t="shared" si="4"/>
        <v>5.625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Erable plane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15</v>
      </c>
      <c r="B140" s="63">
        <v>37</v>
      </c>
      <c r="C140" s="53"/>
      <c r="D140" s="63"/>
      <c r="E140" s="54"/>
      <c r="F140" s="54"/>
      <c r="G140" s="54"/>
      <c r="H140" s="54"/>
      <c r="I140" s="60">
        <f>IFERROR(B140/A140,"")</f>
        <v>2.4666666666666668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20</v>
      </c>
      <c r="B141" s="63">
        <f>80+15</f>
        <v>95</v>
      </c>
      <c r="C141" s="53">
        <v>1</v>
      </c>
      <c r="D141" s="63">
        <f>15+28</f>
        <v>43</v>
      </c>
      <c r="E141" s="54"/>
      <c r="F141" s="54"/>
      <c r="G141" s="54"/>
      <c r="H141" s="54"/>
      <c r="I141" s="60">
        <f t="shared" ref="I141:I159" si="5">IF(A141&lt;&gt;0,(B141-(B140-D140))/(A141-A140),"")</f>
        <v>11.6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25</v>
      </c>
      <c r="B142" s="63">
        <v>115</v>
      </c>
      <c r="C142" s="53"/>
      <c r="D142" s="63"/>
      <c r="E142" s="54"/>
      <c r="F142" s="54"/>
      <c r="G142" s="54"/>
      <c r="H142" s="54"/>
      <c r="I142" s="60">
        <f t="shared" si="5"/>
        <v>12.6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30</v>
      </c>
      <c r="B143" s="63">
        <f>147+28</f>
        <v>175</v>
      </c>
      <c r="C143" s="53">
        <v>2</v>
      </c>
      <c r="D143" s="63">
        <f>28+28</f>
        <v>56</v>
      </c>
      <c r="E143" s="54"/>
      <c r="F143" s="54"/>
      <c r="G143" s="54"/>
      <c r="H143" s="54"/>
      <c r="I143" s="60">
        <f t="shared" si="5"/>
        <v>12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35</v>
      </c>
      <c r="B144" s="63">
        <v>172</v>
      </c>
      <c r="C144" s="53"/>
      <c r="D144" s="63"/>
      <c r="E144" s="54"/>
      <c r="F144" s="54"/>
      <c r="G144" s="54"/>
      <c r="H144" s="54"/>
      <c r="I144" s="60">
        <f t="shared" si="5"/>
        <v>10.6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40</v>
      </c>
      <c r="B145" s="63">
        <f>192+28</f>
        <v>220</v>
      </c>
      <c r="C145" s="53">
        <v>3</v>
      </c>
      <c r="D145" s="63">
        <f>28+28</f>
        <v>56</v>
      </c>
      <c r="E145" s="54"/>
      <c r="F145" s="54"/>
      <c r="G145" s="54"/>
      <c r="H145" s="54"/>
      <c r="I145" s="60">
        <f t="shared" si="5"/>
        <v>9.6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45</v>
      </c>
      <c r="B146" s="63">
        <f>205</f>
        <v>205</v>
      </c>
      <c r="C146" s="53"/>
      <c r="D146" s="63"/>
      <c r="E146" s="54"/>
      <c r="F146" s="54"/>
      <c r="G146" s="54"/>
      <c r="H146" s="54"/>
      <c r="I146" s="60">
        <f t="shared" si="5"/>
        <v>8.1999999999999993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50</v>
      </c>
      <c r="B147" s="63">
        <f>218+22</f>
        <v>240</v>
      </c>
      <c r="C147" s="53">
        <v>4</v>
      </c>
      <c r="D147" s="63">
        <f>22+17</f>
        <v>39</v>
      </c>
      <c r="E147" s="54"/>
      <c r="F147" s="54"/>
      <c r="G147" s="54"/>
      <c r="H147" s="54"/>
      <c r="I147" s="60">
        <f>IF(A147&lt;&gt;0,(B147-(B146-D146))/(A147-A146),"")</f>
        <v>7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55</v>
      </c>
      <c r="B148" s="63">
        <f>233</f>
        <v>233</v>
      </c>
      <c r="C148" s="53"/>
      <c r="D148" s="63"/>
      <c r="E148" s="54"/>
      <c r="F148" s="54"/>
      <c r="G148" s="54"/>
      <c r="H148" s="54"/>
      <c r="I148" s="60">
        <f t="shared" si="5"/>
        <v>6.4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60</v>
      </c>
      <c r="B149" s="63">
        <f>245+13</f>
        <v>258</v>
      </c>
      <c r="C149" s="53">
        <v>5</v>
      </c>
      <c r="D149" s="63">
        <f>13+12</f>
        <v>25</v>
      </c>
      <c r="E149" s="54"/>
      <c r="F149" s="54"/>
      <c r="G149" s="54"/>
      <c r="H149" s="54"/>
      <c r="I149" s="60">
        <f t="shared" si="5"/>
        <v>5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65</v>
      </c>
      <c r="B150" s="63">
        <v>255</v>
      </c>
      <c r="C150" s="53"/>
      <c r="D150" s="63"/>
      <c r="E150" s="54"/>
      <c r="F150" s="54"/>
      <c r="G150" s="54"/>
      <c r="H150" s="54"/>
      <c r="I150" s="60">
        <f t="shared" si="5"/>
        <v>4.4000000000000004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>
        <v>70</v>
      </c>
      <c r="B151" s="63">
        <f>263+11</f>
        <v>274</v>
      </c>
      <c r="C151" s="53">
        <v>6</v>
      </c>
      <c r="D151" s="63">
        <f>11+10</f>
        <v>21</v>
      </c>
      <c r="E151" s="54"/>
      <c r="F151" s="54"/>
      <c r="G151" s="54"/>
      <c r="H151" s="54"/>
      <c r="I151" s="60">
        <f t="shared" si="5"/>
        <v>3.8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>
        <v>75</v>
      </c>
      <c r="B152" s="63">
        <v>270</v>
      </c>
      <c r="C152" s="53"/>
      <c r="D152" s="63"/>
      <c r="E152" s="57"/>
      <c r="F152" s="57"/>
      <c r="G152" s="57"/>
      <c r="H152" s="57"/>
      <c r="I152" s="60">
        <f t="shared" si="5"/>
        <v>3.4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>
        <v>80</v>
      </c>
      <c r="B153" s="63">
        <f>276+9</f>
        <v>285</v>
      </c>
      <c r="C153" s="53">
        <v>7</v>
      </c>
      <c r="D153" s="63">
        <f>B153</f>
        <v>285</v>
      </c>
      <c r="E153" s="57"/>
      <c r="F153" s="57"/>
      <c r="G153" s="57"/>
      <c r="H153" s="57"/>
      <c r="I153" s="60">
        <f t="shared" si="5"/>
        <v>3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Cormier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20</v>
      </c>
      <c r="B166" s="53">
        <v>42</v>
      </c>
      <c r="C166" s="53"/>
      <c r="D166" s="53"/>
      <c r="E166" s="54"/>
      <c r="F166" s="54"/>
      <c r="G166" s="54"/>
      <c r="H166" s="54"/>
      <c r="I166" s="52">
        <f>IFERROR(B166/A166,"")</f>
        <v>2.1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25</v>
      </c>
      <c r="B167" s="53">
        <v>70</v>
      </c>
      <c r="C167" s="53">
        <v>1</v>
      </c>
      <c r="D167" s="53">
        <v>8</v>
      </c>
      <c r="E167" s="54"/>
      <c r="F167" s="54"/>
      <c r="G167" s="54"/>
      <c r="H167" s="54">
        <v>1</v>
      </c>
      <c r="I167" s="52">
        <f t="shared" ref="I167:I185" si="6">IF(A167&lt;&gt;0,(B167-(B166-D166))/(A167-A166),"")</f>
        <v>5.6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30</v>
      </c>
      <c r="B168" s="53">
        <v>97</v>
      </c>
      <c r="C168" s="53"/>
      <c r="D168" s="53"/>
      <c r="E168" s="54"/>
      <c r="F168" s="54"/>
      <c r="G168" s="54"/>
      <c r="H168" s="54"/>
      <c r="I168" s="52">
        <f t="shared" si="6"/>
        <v>7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35</v>
      </c>
      <c r="B169" s="53">
        <v>140</v>
      </c>
      <c r="C169" s="53">
        <v>2</v>
      </c>
      <c r="D169" s="53">
        <v>42</v>
      </c>
      <c r="E169" s="54"/>
      <c r="F169" s="54"/>
      <c r="G169" s="54"/>
      <c r="H169" s="54"/>
      <c r="I169" s="52">
        <f t="shared" si="6"/>
        <v>8.6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40</v>
      </c>
      <c r="B170" s="53">
        <v>137</v>
      </c>
      <c r="C170" s="53"/>
      <c r="D170" s="53"/>
      <c r="E170" s="54"/>
      <c r="F170" s="54"/>
      <c r="G170" s="54"/>
      <c r="H170" s="54"/>
      <c r="I170" s="52">
        <f t="shared" si="6"/>
        <v>7.8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45</v>
      </c>
      <c r="B171" s="53">
        <v>179</v>
      </c>
      <c r="C171" s="53">
        <v>3</v>
      </c>
      <c r="D171" s="53">
        <v>42</v>
      </c>
      <c r="E171" s="54"/>
      <c r="F171" s="54"/>
      <c r="G171" s="54"/>
      <c r="H171" s="54"/>
      <c r="I171" s="52">
        <f t="shared" si="6"/>
        <v>8.4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50</v>
      </c>
      <c r="B172" s="53">
        <v>178</v>
      </c>
      <c r="C172" s="53"/>
      <c r="D172" s="53"/>
      <c r="E172" s="54"/>
      <c r="F172" s="54"/>
      <c r="G172" s="54"/>
      <c r="H172" s="54"/>
      <c r="I172" s="52">
        <f t="shared" si="6"/>
        <v>8.1999999999999993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55</v>
      </c>
      <c r="B173" s="53">
        <v>218</v>
      </c>
      <c r="C173" s="53">
        <v>4</v>
      </c>
      <c r="D173" s="53">
        <v>42</v>
      </c>
      <c r="E173" s="54"/>
      <c r="F173" s="54"/>
      <c r="G173" s="54"/>
      <c r="H173" s="54"/>
      <c r="I173" s="52">
        <f t="shared" si="6"/>
        <v>8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60</v>
      </c>
      <c r="B174" s="53">
        <v>214</v>
      </c>
      <c r="C174" s="53"/>
      <c r="D174" s="53"/>
      <c r="E174" s="54"/>
      <c r="F174" s="54"/>
      <c r="G174" s="54"/>
      <c r="H174" s="54"/>
      <c r="I174" s="52">
        <f t="shared" si="6"/>
        <v>7.6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>
        <v>65</v>
      </c>
      <c r="B175" s="53">
        <v>250</v>
      </c>
      <c r="C175" s="53">
        <v>5</v>
      </c>
      <c r="D175" s="53">
        <v>42</v>
      </c>
      <c r="E175" s="54"/>
      <c r="F175" s="54"/>
      <c r="G175" s="54"/>
      <c r="H175" s="54"/>
      <c r="I175" s="52">
        <f t="shared" si="6"/>
        <v>7.2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>
        <v>70</v>
      </c>
      <c r="B176" s="53">
        <v>242</v>
      </c>
      <c r="C176" s="53"/>
      <c r="D176" s="53"/>
      <c r="E176" s="54"/>
      <c r="F176" s="54"/>
      <c r="G176" s="54"/>
      <c r="H176" s="54"/>
      <c r="I176" s="52">
        <f t="shared" si="6"/>
        <v>6.8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>
        <v>75</v>
      </c>
      <c r="B177" s="53">
        <v>273</v>
      </c>
      <c r="C177" s="53">
        <v>6</v>
      </c>
      <c r="D177" s="53">
        <v>42</v>
      </c>
      <c r="E177" s="54"/>
      <c r="F177" s="54"/>
      <c r="G177" s="54"/>
      <c r="H177" s="54"/>
      <c r="I177" s="52">
        <f t="shared" si="6"/>
        <v>6.2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>
        <v>85</v>
      </c>
      <c r="B178" s="53">
        <v>290</v>
      </c>
      <c r="C178" s="53">
        <v>7</v>
      </c>
      <c r="D178" s="53">
        <v>42</v>
      </c>
      <c r="E178" s="54"/>
      <c r="F178" s="54"/>
      <c r="G178" s="54"/>
      <c r="H178" s="54"/>
      <c r="I178" s="52">
        <f t="shared" si="6"/>
        <v>5.9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>
        <v>95</v>
      </c>
      <c r="B179" s="53">
        <v>300</v>
      </c>
      <c r="C179" s="53">
        <v>8</v>
      </c>
      <c r="D179" s="53">
        <v>42</v>
      </c>
      <c r="E179" s="54"/>
      <c r="F179" s="54"/>
      <c r="G179" s="54"/>
      <c r="H179" s="54"/>
      <c r="I179" s="52">
        <f t="shared" si="6"/>
        <v>5.2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>
        <v>105</v>
      </c>
      <c r="B180" s="53">
        <v>305</v>
      </c>
      <c r="C180" s="53">
        <v>9</v>
      </c>
      <c r="D180" s="53">
        <v>41</v>
      </c>
      <c r="E180" s="54"/>
      <c r="F180" s="54"/>
      <c r="G180" s="54"/>
      <c r="H180" s="54"/>
      <c r="I180" s="52">
        <f t="shared" si="6"/>
        <v>4.7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>
        <v>115</v>
      </c>
      <c r="B181" s="53">
        <v>304</v>
      </c>
      <c r="C181" s="53">
        <v>10</v>
      </c>
      <c r="D181" s="53">
        <v>37</v>
      </c>
      <c r="E181" s="54"/>
      <c r="F181" s="54"/>
      <c r="G181" s="54"/>
      <c r="H181" s="54"/>
      <c r="I181" s="52">
        <f t="shared" si="6"/>
        <v>4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>
        <v>125</v>
      </c>
      <c r="B182" s="53">
        <v>301</v>
      </c>
      <c r="C182" s="53">
        <v>11</v>
      </c>
      <c r="D182" s="53">
        <v>33</v>
      </c>
      <c r="E182" s="54"/>
      <c r="F182" s="54"/>
      <c r="G182" s="54"/>
      <c r="H182" s="54"/>
      <c r="I182" s="52">
        <f t="shared" si="6"/>
        <v>3.4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>
        <v>135</v>
      </c>
      <c r="B183" s="53">
        <v>298</v>
      </c>
      <c r="C183" s="53">
        <v>12</v>
      </c>
      <c r="D183" s="53">
        <v>29</v>
      </c>
      <c r="E183" s="54"/>
      <c r="F183" s="54"/>
      <c r="G183" s="54"/>
      <c r="H183" s="54"/>
      <c r="I183" s="52">
        <f t="shared" si="6"/>
        <v>3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>
        <v>145</v>
      </c>
      <c r="B184" s="53">
        <v>295</v>
      </c>
      <c r="C184" s="53"/>
      <c r="D184" s="53"/>
      <c r="E184" s="54"/>
      <c r="F184" s="54"/>
      <c r="G184" s="54"/>
      <c r="H184" s="54"/>
      <c r="I184" s="52">
        <f t="shared" si="6"/>
        <v>2.6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>
        <v>150</v>
      </c>
      <c r="B185" s="53">
        <v>306</v>
      </c>
      <c r="C185" s="53">
        <v>13</v>
      </c>
      <c r="D185" s="53">
        <v>306</v>
      </c>
      <c r="E185" s="54"/>
      <c r="F185" s="54"/>
      <c r="G185" s="54"/>
      <c r="H185" s="54"/>
      <c r="I185" s="52">
        <f t="shared" si="6"/>
        <v>2.2000000000000002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Alisier torminal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20</v>
      </c>
      <c r="B192" s="53">
        <v>42</v>
      </c>
      <c r="C192" s="53"/>
      <c r="D192" s="53"/>
      <c r="E192" s="54"/>
      <c r="F192" s="54"/>
      <c r="G192" s="54"/>
      <c r="H192" s="54"/>
      <c r="I192" s="52">
        <f>IFERROR(B192/A192,"")</f>
        <v>2.1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25</v>
      </c>
      <c r="B193" s="53">
        <v>70</v>
      </c>
      <c r="C193" s="53">
        <v>1</v>
      </c>
      <c r="D193" s="53">
        <v>8</v>
      </c>
      <c r="E193" s="54"/>
      <c r="F193" s="54"/>
      <c r="G193" s="54"/>
      <c r="H193" s="54">
        <v>1</v>
      </c>
      <c r="I193" s="52">
        <f t="shared" ref="I193:I211" si="7">IF(A193&lt;&gt;0,(B193-(B192-D192))/(A193-A192),"")</f>
        <v>5.6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30</v>
      </c>
      <c r="B194" s="53">
        <v>97</v>
      </c>
      <c r="C194" s="53"/>
      <c r="D194" s="53"/>
      <c r="E194" s="54"/>
      <c r="F194" s="54"/>
      <c r="G194" s="54"/>
      <c r="H194" s="54"/>
      <c r="I194" s="52">
        <f t="shared" si="7"/>
        <v>7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35</v>
      </c>
      <c r="B195" s="53">
        <v>140</v>
      </c>
      <c r="C195" s="53">
        <v>2</v>
      </c>
      <c r="D195" s="53">
        <v>42</v>
      </c>
      <c r="E195" s="54"/>
      <c r="F195" s="54"/>
      <c r="G195" s="54"/>
      <c r="H195" s="54"/>
      <c r="I195" s="52">
        <f t="shared" si="7"/>
        <v>8.6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40</v>
      </c>
      <c r="B196" s="53">
        <v>137</v>
      </c>
      <c r="C196" s="53"/>
      <c r="D196" s="53"/>
      <c r="E196" s="54"/>
      <c r="F196" s="54"/>
      <c r="G196" s="54"/>
      <c r="H196" s="54"/>
      <c r="I196" s="52">
        <f t="shared" si="7"/>
        <v>7.8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45</v>
      </c>
      <c r="B197" s="53">
        <v>179</v>
      </c>
      <c r="C197" s="53">
        <v>3</v>
      </c>
      <c r="D197" s="53">
        <v>42</v>
      </c>
      <c r="E197" s="54"/>
      <c r="F197" s="54"/>
      <c r="G197" s="54"/>
      <c r="H197" s="54"/>
      <c r="I197" s="52">
        <f t="shared" si="7"/>
        <v>8.4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50</v>
      </c>
      <c r="B198" s="53">
        <v>178</v>
      </c>
      <c r="C198" s="53"/>
      <c r="D198" s="53"/>
      <c r="E198" s="54"/>
      <c r="F198" s="54"/>
      <c r="G198" s="54"/>
      <c r="H198" s="54"/>
      <c r="I198" s="52">
        <f t="shared" si="7"/>
        <v>8.1999999999999993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>
        <v>55</v>
      </c>
      <c r="B199" s="53">
        <v>218</v>
      </c>
      <c r="C199" s="53">
        <v>4</v>
      </c>
      <c r="D199" s="53">
        <v>42</v>
      </c>
      <c r="E199" s="54"/>
      <c r="F199" s="54"/>
      <c r="G199" s="54"/>
      <c r="H199" s="54"/>
      <c r="I199" s="52">
        <f t="shared" si="7"/>
        <v>8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>
        <v>60</v>
      </c>
      <c r="B200" s="53">
        <v>214</v>
      </c>
      <c r="C200" s="53"/>
      <c r="D200" s="53"/>
      <c r="E200" s="54"/>
      <c r="F200" s="54"/>
      <c r="G200" s="54"/>
      <c r="H200" s="54"/>
      <c r="I200" s="52">
        <f t="shared" si="7"/>
        <v>7.6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>
        <v>65</v>
      </c>
      <c r="B201" s="53">
        <v>250</v>
      </c>
      <c r="C201" s="53">
        <v>5</v>
      </c>
      <c r="D201" s="53">
        <v>42</v>
      </c>
      <c r="E201" s="54"/>
      <c r="F201" s="54"/>
      <c r="G201" s="54"/>
      <c r="H201" s="54"/>
      <c r="I201" s="52">
        <f t="shared" si="7"/>
        <v>7.2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>
        <v>70</v>
      </c>
      <c r="B202" s="53">
        <v>242</v>
      </c>
      <c r="C202" s="53"/>
      <c r="D202" s="53"/>
      <c r="E202" s="54"/>
      <c r="F202" s="54"/>
      <c r="G202" s="54"/>
      <c r="H202" s="54"/>
      <c r="I202" s="52">
        <f t="shared" si="7"/>
        <v>6.8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>
        <v>75</v>
      </c>
      <c r="B203" s="53">
        <v>273</v>
      </c>
      <c r="C203" s="53">
        <v>6</v>
      </c>
      <c r="D203" s="53">
        <v>42</v>
      </c>
      <c r="E203" s="54"/>
      <c r="F203" s="54"/>
      <c r="G203" s="54"/>
      <c r="H203" s="54"/>
      <c r="I203" s="52">
        <f t="shared" si="7"/>
        <v>6.2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>
        <v>85</v>
      </c>
      <c r="B204" s="53">
        <v>290</v>
      </c>
      <c r="C204" s="53">
        <v>7</v>
      </c>
      <c r="D204" s="53">
        <v>42</v>
      </c>
      <c r="E204" s="54"/>
      <c r="F204" s="54"/>
      <c r="G204" s="54"/>
      <c r="H204" s="54"/>
      <c r="I204" s="52">
        <f t="shared" si="7"/>
        <v>5.9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>
        <v>95</v>
      </c>
      <c r="B205" s="53">
        <v>300</v>
      </c>
      <c r="C205" s="53">
        <v>8</v>
      </c>
      <c r="D205" s="53">
        <v>42</v>
      </c>
      <c r="E205" s="54"/>
      <c r="F205" s="54"/>
      <c r="G205" s="54"/>
      <c r="H205" s="54"/>
      <c r="I205" s="52">
        <f t="shared" si="7"/>
        <v>5.2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>
        <v>105</v>
      </c>
      <c r="B206" s="53">
        <v>305</v>
      </c>
      <c r="C206" s="53">
        <v>9</v>
      </c>
      <c r="D206" s="53">
        <v>41</v>
      </c>
      <c r="E206" s="54"/>
      <c r="F206" s="54"/>
      <c r="G206" s="54"/>
      <c r="H206" s="54"/>
      <c r="I206" s="52">
        <f t="shared" si="7"/>
        <v>4.7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>
        <v>115</v>
      </c>
      <c r="B207" s="53">
        <v>304</v>
      </c>
      <c r="C207" s="53">
        <v>10</v>
      </c>
      <c r="D207" s="53">
        <v>37</v>
      </c>
      <c r="E207" s="54"/>
      <c r="F207" s="54"/>
      <c r="G207" s="54"/>
      <c r="H207" s="54"/>
      <c r="I207" s="52">
        <f t="shared" si="7"/>
        <v>4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>
        <v>125</v>
      </c>
      <c r="B208" s="53">
        <v>301</v>
      </c>
      <c r="C208" s="53">
        <v>11</v>
      </c>
      <c r="D208" s="53">
        <v>33</v>
      </c>
      <c r="E208" s="54"/>
      <c r="F208" s="54"/>
      <c r="G208" s="54"/>
      <c r="H208" s="54"/>
      <c r="I208" s="52">
        <f t="shared" si="7"/>
        <v>3.4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>
        <v>135</v>
      </c>
      <c r="B209" s="53">
        <v>298</v>
      </c>
      <c r="C209" s="53">
        <v>12</v>
      </c>
      <c r="D209" s="53">
        <v>29</v>
      </c>
      <c r="E209" s="54"/>
      <c r="F209" s="54"/>
      <c r="G209" s="54"/>
      <c r="H209" s="54"/>
      <c r="I209" s="52">
        <f t="shared" si="7"/>
        <v>3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>
        <v>145</v>
      </c>
      <c r="B210" s="53">
        <v>295</v>
      </c>
      <c r="C210" s="53"/>
      <c r="D210" s="53"/>
      <c r="E210" s="54"/>
      <c r="F210" s="54"/>
      <c r="G210" s="54"/>
      <c r="H210" s="54"/>
      <c r="I210" s="52">
        <f t="shared" si="7"/>
        <v>2.6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>
        <v>150</v>
      </c>
      <c r="B211" s="53">
        <v>306</v>
      </c>
      <c r="C211" s="53">
        <v>13</v>
      </c>
      <c r="D211" s="53">
        <v>306</v>
      </c>
      <c r="E211" s="54"/>
      <c r="F211" s="54"/>
      <c r="G211" s="54"/>
      <c r="H211" s="54"/>
      <c r="I211" s="52">
        <f t="shared" si="7"/>
        <v>2.2000000000000002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>Tilleul</v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>
        <v>15</v>
      </c>
      <c r="B218" s="63">
        <v>49</v>
      </c>
      <c r="C218" s="53"/>
      <c r="D218" s="63"/>
      <c r="E218" s="66"/>
      <c r="F218" s="66"/>
      <c r="G218" s="66"/>
      <c r="H218" s="66"/>
      <c r="I218" s="56">
        <f>IFERROR(B218/A218,"")</f>
        <v>3.2666666666666666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>
        <v>20</v>
      </c>
      <c r="B219" s="63">
        <f>87+11</f>
        <v>98</v>
      </c>
      <c r="C219" s="53">
        <v>1</v>
      </c>
      <c r="D219" s="63">
        <f>11+16</f>
        <v>27</v>
      </c>
      <c r="E219" s="66"/>
      <c r="F219" s="66"/>
      <c r="G219" s="66"/>
      <c r="H219" s="66"/>
      <c r="I219" s="56">
        <f t="shared" ref="I219:I237" si="8">IF(A219&lt;&gt;0,(B219-(B218-D218))/(A219-A218),"")</f>
        <v>9.8000000000000007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>
        <v>25</v>
      </c>
      <c r="B220" s="63">
        <v>125</v>
      </c>
      <c r="C220" s="53"/>
      <c r="D220" s="63"/>
      <c r="E220" s="66"/>
      <c r="F220" s="66"/>
      <c r="G220" s="66"/>
      <c r="H220" s="66"/>
      <c r="I220" s="56">
        <f t="shared" si="8"/>
        <v>10.8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>
        <v>30</v>
      </c>
      <c r="B221" s="58">
        <v>179</v>
      </c>
      <c r="C221" s="58">
        <v>2</v>
      </c>
      <c r="D221" s="58">
        <v>41</v>
      </c>
      <c r="E221" s="66"/>
      <c r="F221" s="66"/>
      <c r="G221" s="66"/>
      <c r="H221" s="66"/>
      <c r="I221" s="56">
        <f t="shared" si="8"/>
        <v>10.8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>
        <v>35</v>
      </c>
      <c r="B222" s="58">
        <v>189</v>
      </c>
      <c r="C222" s="58"/>
      <c r="D222" s="58"/>
      <c r="E222" s="66"/>
      <c r="F222" s="66"/>
      <c r="G222" s="66"/>
      <c r="H222" s="66"/>
      <c r="I222" s="56">
        <f t="shared" si="8"/>
        <v>10.199999999999999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>
        <v>40</v>
      </c>
      <c r="B223" s="58">
        <v>238</v>
      </c>
      <c r="C223" s="58">
        <v>3</v>
      </c>
      <c r="D223" s="58">
        <v>44</v>
      </c>
      <c r="E223" s="66"/>
      <c r="F223" s="66"/>
      <c r="G223" s="66"/>
      <c r="H223" s="66"/>
      <c r="I223" s="56">
        <f t="shared" si="8"/>
        <v>9.8000000000000007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>
        <v>45</v>
      </c>
      <c r="B224" s="58">
        <v>239</v>
      </c>
      <c r="C224" s="58"/>
      <c r="D224" s="58"/>
      <c r="E224" s="66"/>
      <c r="F224" s="66"/>
      <c r="G224" s="66"/>
      <c r="H224" s="66"/>
      <c r="I224" s="56">
        <f t="shared" si="8"/>
        <v>9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>
        <v>50</v>
      </c>
      <c r="B225" s="58">
        <v>282</v>
      </c>
      <c r="C225" s="58">
        <v>4</v>
      </c>
      <c r="D225" s="58">
        <v>44</v>
      </c>
      <c r="E225" s="66"/>
      <c r="F225" s="66"/>
      <c r="G225" s="66"/>
      <c r="H225" s="66"/>
      <c r="I225" s="56">
        <f t="shared" si="8"/>
        <v>8.6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>
        <v>55</v>
      </c>
      <c r="B226" s="58">
        <v>278</v>
      </c>
      <c r="C226" s="58"/>
      <c r="D226" s="58"/>
      <c r="E226" s="66"/>
      <c r="F226" s="66"/>
      <c r="G226" s="66"/>
      <c r="H226" s="66"/>
      <c r="I226" s="56">
        <f t="shared" si="8"/>
        <v>8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>
        <v>60</v>
      </c>
      <c r="B227" s="58">
        <v>316</v>
      </c>
      <c r="C227" s="58">
        <v>5</v>
      </c>
      <c r="D227" s="58">
        <v>41</v>
      </c>
      <c r="E227" s="66"/>
      <c r="F227" s="66"/>
      <c r="G227" s="66"/>
      <c r="H227" s="66"/>
      <c r="I227" s="56">
        <f t="shared" si="8"/>
        <v>7.6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>
        <v>65</v>
      </c>
      <c r="B228" s="58">
        <v>310</v>
      </c>
      <c r="C228" s="58"/>
      <c r="D228" s="58"/>
      <c r="E228" s="66"/>
      <c r="F228" s="66"/>
      <c r="G228" s="66"/>
      <c r="H228" s="66"/>
      <c r="I228" s="56">
        <f t="shared" si="8"/>
        <v>7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>
        <v>70</v>
      </c>
      <c r="B229" s="58">
        <v>344</v>
      </c>
      <c r="C229" s="58">
        <v>6</v>
      </c>
      <c r="D229" s="58">
        <v>39</v>
      </c>
      <c r="E229" s="66"/>
      <c r="F229" s="66"/>
      <c r="G229" s="66"/>
      <c r="H229" s="66"/>
      <c r="I229" s="56">
        <f t="shared" si="8"/>
        <v>6.8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>
        <v>75</v>
      </c>
      <c r="B230" s="58">
        <v>336</v>
      </c>
      <c r="C230" s="58"/>
      <c r="D230" s="58"/>
      <c r="E230" s="67"/>
      <c r="F230" s="67"/>
      <c r="G230" s="67"/>
      <c r="H230" s="67"/>
      <c r="I230" s="56">
        <f t="shared" si="8"/>
        <v>6.2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>
        <v>80</v>
      </c>
      <c r="B231" s="63">
        <f>347+18</f>
        <v>365</v>
      </c>
      <c r="C231" s="94">
        <v>7</v>
      </c>
      <c r="D231" s="63">
        <f>18+17</f>
        <v>35</v>
      </c>
      <c r="E231" s="57"/>
      <c r="F231" s="57"/>
      <c r="G231" s="57"/>
      <c r="H231" s="57"/>
      <c r="I231" s="56">
        <f t="shared" si="8"/>
        <v>5.8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>
        <v>85</v>
      </c>
      <c r="B232" s="53">
        <v>358</v>
      </c>
      <c r="C232" s="53"/>
      <c r="D232" s="53"/>
      <c r="E232" s="57"/>
      <c r="F232" s="57"/>
      <c r="G232" s="57"/>
      <c r="H232" s="57"/>
      <c r="I232" s="56">
        <f t="shared" si="8"/>
        <v>5.6</v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>
        <v>90</v>
      </c>
      <c r="B233" s="53">
        <v>384</v>
      </c>
      <c r="C233" s="53">
        <v>8</v>
      </c>
      <c r="D233" s="53">
        <v>33</v>
      </c>
      <c r="E233" s="57"/>
      <c r="F233" s="57"/>
      <c r="G233" s="57"/>
      <c r="H233" s="57"/>
      <c r="I233" s="56">
        <f t="shared" si="8"/>
        <v>5.2</v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>
        <v>95</v>
      </c>
      <c r="B234" s="53">
        <v>376</v>
      </c>
      <c r="C234" s="53"/>
      <c r="D234" s="53"/>
      <c r="E234" s="57"/>
      <c r="F234" s="57"/>
      <c r="G234" s="57"/>
      <c r="H234" s="57"/>
      <c r="I234" s="56">
        <f t="shared" si="8"/>
        <v>5</v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>
        <v>100</v>
      </c>
      <c r="B235" s="53">
        <v>400</v>
      </c>
      <c r="C235" s="53">
        <v>9</v>
      </c>
      <c r="D235" s="53">
        <v>28</v>
      </c>
      <c r="E235" s="57"/>
      <c r="F235" s="57"/>
      <c r="G235" s="57"/>
      <c r="H235" s="57"/>
      <c r="I235" s="56">
        <f t="shared" si="8"/>
        <v>4.8</v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>
        <v>105</v>
      </c>
      <c r="B236" s="53">
        <v>395</v>
      </c>
      <c r="C236" s="53"/>
      <c r="D236" s="53"/>
      <c r="E236" s="57"/>
      <c r="F236" s="57"/>
      <c r="G236" s="57"/>
      <c r="H236" s="57"/>
      <c r="I236" s="56">
        <f t="shared" si="8"/>
        <v>4.5999999999999996</v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>
        <v>110</v>
      </c>
      <c r="B237" s="53">
        <v>417</v>
      </c>
      <c r="C237" s="53">
        <v>10</v>
      </c>
      <c r="D237" s="53">
        <v>417</v>
      </c>
      <c r="E237" s="57"/>
      <c r="F237" s="57"/>
      <c r="G237" s="57"/>
      <c r="H237" s="57"/>
      <c r="I237" s="56">
        <f t="shared" si="8"/>
        <v>4.4000000000000004</v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18" sqref="B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Koster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sessile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Pin laricio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Pin sylvestre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Erable plane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Cormier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>Alisier torminal</v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>Tilleul</v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132.280299502248</v>
      </c>
      <c r="T3" s="62">
        <f>IF('Données projet'!E9&gt;30,$R$33-$H$33,LOOKUP('Données projet'!$E$9,$A$3:$A$203,R3:R203)-LOOKUP('Données projet'!$E$9,$A$3:$A$203,$H$3:$H$203))</f>
        <v>337.98099449405339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430.40491895612814</v>
      </c>
      <c r="AO3" s="62">
        <f>IF('Données projet'!E10&gt;30,$AM$33-$H$33,LOOKUP('Données projet'!$E$10,$A$3:$A$203,AM3:AM203)-LOOKUP('Données projet'!$E$10,$A$3:$A$203,$H$3:$H$203))</f>
        <v>231.36959598460686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295.83974441964551</v>
      </c>
      <c r="BJ3" s="62">
        <f>IF('Données projet'!E11&gt;30,$BH$33-$H$33,LOOKUP('Données projet'!$E$11,$A$3:$A$203,BH3:BH203)-LOOKUP('Données projet'!$E$11,$A$3:$A$203,$H$3:$H$203))</f>
        <v>212.24900914818096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309.71642374647882</v>
      </c>
      <c r="CE3" s="62">
        <f>IF('Données projet'!E12&gt;30,$CC$33-$H$33,LOOKUP('Données projet'!$E$12,$A$3:$A$203,CC3:CC203)-LOOKUP('Données projet'!$E$12,$A$3:$A$203,$H$3:$H$203))</f>
        <v>266.63880397664315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312.53381881960331</v>
      </c>
      <c r="CZ3" s="62">
        <f>IF('Données projet'!E13&gt;30,$CX$33-$H$33,LOOKUP('Données projet'!$E$13,$A$3:$A$203,CX3:CX203)-LOOKUP('Données projet'!$E$13,$A$3:$A$203,$H$3:$H$203))</f>
        <v>342.06887933351783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503.92230226365683</v>
      </c>
      <c r="DU3" s="62">
        <f>IF('Données projet'!E14&gt;30,$DS$33-$H$33,LOOKUP('Données projet'!$E$14,$A$3:$A$203,DS3:DS203)-LOOKUP('Données projet'!$E$14,$A$3:$A$203,$H$3:$H$203))</f>
        <v>267.2998309535638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256.66666666666669</v>
      </c>
      <c r="EO3" s="62">
        <f ca="1">AVERAGE(OFFSET($EN$3,0,0,'Données projet'!$E$15+1,1))-AVERAGE(OFFSET($H$3,0,0,'Données projet'!$E$15+1,1))</f>
        <v>457.16923206840744</v>
      </c>
      <c r="EP3" s="62">
        <f>IF('Données projet'!E15&gt;30,$EN$33-$H$33,LOOKUP('Données projet'!$E$15,$A$3:$A$203,EN3:EN203)-LOOKUP('Données projet'!$E$15,$A$3:$A$203,$H$3:$H$203))</f>
        <v>244.45149244446094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256.66666666666669</v>
      </c>
      <c r="FJ3" s="62">
        <f ca="1">AVERAGE(OFFSET($FI$3,0,0,'Données projet'!$E$16+1,1))-AVERAGE(OFFSET($H$3,0,0,'Données projet'!$E$16+1,1))</f>
        <v>385.97853124853452</v>
      </c>
      <c r="FK3" s="62">
        <f>IF('Données projet'!E16&gt;30,$FI$33-$H$33,LOOKUP('Données projet'!$E$16,$A$3:$A$203,FI3:FI203)-LOOKUP('Données projet'!$E$16,$A$3:$A$203,$H$3:$H$203))</f>
        <v>300.99118099739695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</v>
      </c>
      <c r="N4" s="14">
        <f>IF('Données projet'!$A$36&gt;35,N3+M4-V3,IF(A4&lt;'Données projet'!$A$36,$K$205^A4,IF(A4='Données projet'!$A$36,'Données projet'!$B$36,N3+M4-V3)))</f>
        <v>1.2968395546510096</v>
      </c>
      <c r="O4" s="14">
        <f>N4*VLOOKUP('Données projet'!$B$9,Paramètres!$A$1:$I$89,3,0)*VLOOKUP('Données projet'!$B$9,Paramètres!$A$1:$I$89,5,0)</f>
        <v>0.65952072391331751</v>
      </c>
      <c r="P4" s="14">
        <f>EXP(-1.0587+0.8836*LN(O4)+0.284)</f>
        <v>0.31902323929767035</v>
      </c>
      <c r="Q4" s="22">
        <f t="shared" ref="Q4:Q34" si="2">(O4+P4)*0.475*44/12</f>
        <v>1.7042974025924702</v>
      </c>
      <c r="R4" s="62">
        <f t="shared" si="0"/>
        <v>259.59318629148135</v>
      </c>
      <c r="S4" s="62">
        <f ca="1">AVERAGE(OFFSET($R$3,0,0,'Données projet'!$E$9+1,1))-AVERAGE(OFFSET($H$3,0,0,'Données projet'!$E$9+1,1))</f>
        <v>132.280299502248</v>
      </c>
      <c r="T4" s="62">
        <f>$T$3</f>
        <v>337.98099449405339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1.0907244698905405</v>
      </c>
      <c r="AK4" s="14">
        <f>EXP(-1.0587+0.8836*LN(AJ4)+0.284)</f>
        <v>0.49759623852608204</v>
      </c>
      <c r="AL4" s="22">
        <f t="shared" ref="AL4:AL67" si="4">(AJ4+AK4)*0.475*44/12</f>
        <v>2.7663252338256172</v>
      </c>
      <c r="AM4" s="62">
        <f t="shared" ref="AM4:AM67" si="5">AL4+(AD4+AE4)*44/12</f>
        <v>260.65521412271448</v>
      </c>
      <c r="AN4" s="62">
        <f ca="1">AVERAGE(OFFSET($AM$3,0,0,'Données projet'!$E$10+1,1))-AVERAGE(OFFSET($H$3,0,0,'Données projet'!$E$10+1,1))</f>
        <v>430.40491895612814</v>
      </c>
      <c r="AO4" s="62">
        <f>$AO$3</f>
        <v>231.36959598460686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4.3703703703703702</v>
      </c>
      <c r="BD4" s="13">
        <f>IF('Données projet'!$A$88&gt;35,BD3+BC4-BL3,IF(A4&lt;'Données projet'!$A$88,$BA$205^A4,IF(A4='Données projet'!$A$88,'Données projet'!$B$88,BD3+BC4-BL3)))</f>
        <v>1.1932635389591795</v>
      </c>
      <c r="BE4" s="14">
        <f>BD4*VLOOKUP('Données projet'!$B$11,Paramètres!$A$1:$I$89,3,0)*VLOOKUP('Données projet'!$B$11,Paramètres!$A$1:$I$89,5,0)</f>
        <v>0.71357159629758937</v>
      </c>
      <c r="BF4" s="14">
        <f>EXP(-1.0587+0.8836*LN(BE4)+0.284)</f>
        <v>0.34201841351504586</v>
      </c>
      <c r="BG4" s="22">
        <f t="shared" ref="BG4:BG67" si="7">(BE4+BF4)*0.475*44/12</f>
        <v>1.8384859337570063</v>
      </c>
      <c r="BH4" s="62">
        <f t="shared" ref="BH4:BH67" si="8">BG4+(AY4+AZ4)*44/12</f>
        <v>259.72737482264586</v>
      </c>
      <c r="BI4" s="62">
        <f ca="1">AVERAGE(OFFSET($BH$3,0,0,'Données projet'!$E$11+1,1))-AVERAGE(OFFSET($H$3,0,0,'Données projet'!$E$11+1,1))</f>
        <v>295.83974441964551</v>
      </c>
      <c r="BJ4" s="62">
        <f>$BJ$3</f>
        <v>212.24900914818096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4.2272727272727275</v>
      </c>
      <c r="BY4" s="13">
        <f>IF('Données projet'!$A$114&gt;35,BY3+BX4-CG3,IF(A4&lt;'Données projet'!$A$114,$BV$205^A4,IF(A4='Données projet'!$A$114,'Données projet'!$B$114,BY3+BX4-CG3)))</f>
        <v>1.2287866875939204</v>
      </c>
      <c r="BZ4" s="14">
        <f>BY4*VLOOKUP('Données projet'!$B$12,Paramètres!$A$1:$I$89,3,0)*VLOOKUP('Données projet'!$B$12,Paramètres!$A$1:$I$89,5,0)</f>
        <v>0.70286598530372246</v>
      </c>
      <c r="CA4" s="14">
        <f>EXP(-1.0587+0.8836*LN(BZ4)+0.284)</f>
        <v>0.33748045755039374</v>
      </c>
      <c r="CB4" s="22">
        <f t="shared" ref="CB4:CB67" si="10">(BZ4+CA4)*0.475*44/12</f>
        <v>1.8119367213042523</v>
      </c>
      <c r="CC4" s="62">
        <f t="shared" ref="CC4:CC67" si="11">CB4+(BT4+BU4)*44/12</f>
        <v>259.70082561019314</v>
      </c>
      <c r="CD4" s="62">
        <f ca="1">AVERAGE(OFFSET($CC$3,0,0,'Données projet'!$E$12+1,1))-AVERAGE(OFFSET($H$3,0,0,'Données projet'!$E$12+1,1))</f>
        <v>309.71642374647882</v>
      </c>
      <c r="CE4" s="62">
        <f>$CE$3</f>
        <v>266.63880397664315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2.4666666666666668</v>
      </c>
      <c r="CT4" s="13">
        <f>IF('Données projet'!$A$140&gt;35,CT3+CS4-DB3,IF(A4&lt;'Données projet'!$A$140,$CQ$205^A4,IF(A4='Données projet'!$A$140,'Données projet'!$B$140,CT3+CS4-DB3)))</f>
        <v>1.2721747796233518</v>
      </c>
      <c r="CU4" s="18">
        <f>CT4*VLOOKUP('Données projet'!$B$13,Paramètres!$A$1:$I$89,3,0)*VLOOKUP('Données projet'!$B$13,Paramètres!$A$1:$I$89,5,0)</f>
        <v>1.0121422546683387</v>
      </c>
      <c r="CV4" s="14">
        <f>EXP(-1.0587+0.8836*LN(CU4)+0.284)</f>
        <v>0.46578286063395047</v>
      </c>
      <c r="CW4" s="22">
        <f t="shared" ref="CW4:CW67" si="13">(CU4+CV4)*0.475*44/12</f>
        <v>2.574052909151487</v>
      </c>
      <c r="CX4" s="62">
        <f t="shared" ref="CX4:CX67" si="14">CW4+(CO4+CP4)*44/12</f>
        <v>260.46294179804033</v>
      </c>
      <c r="CY4" s="62">
        <f ca="1">AVERAGE(OFFSET($CX$3,0,0,'Données projet'!$E$13+1,1))-AVERAGE(OFFSET($H$3,0,0,'Données projet'!$E$13+1,1))</f>
        <v>312.53381881960331</v>
      </c>
      <c r="CZ4" s="62">
        <f>$CZ$3</f>
        <v>342.06887933351783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2.1</v>
      </c>
      <c r="DO4" s="13">
        <f>IF('Données projet'!$A$166&gt;35,DO3+DN4-DW3,IF(A4&lt;'Données projet'!$A$166,$DL$205^A4,IF(A4='Données projet'!$A$166,'Données projet'!$B$166,DO3+DN4-DW3)))</f>
        <v>1.2054868146447177</v>
      </c>
      <c r="DP4" s="18">
        <f>DO4*VLOOKUP('Données projet'!$B$14,Paramètres!$A$1:$I$89,3,0)*VLOOKUP('Données projet'!$B$14,Paramètres!$A$1:$I$89,5,0)</f>
        <v>1.2975860072835741</v>
      </c>
      <c r="DQ4" s="14">
        <f>EXP(-1.0587+0.8836*LN(DP4)+0.284)</f>
        <v>0.58012177912374829</v>
      </c>
      <c r="DR4" s="22">
        <f t="shared" ref="DR4:DR67" si="16">(DP4+DQ4)*0.475*44/12</f>
        <v>3.2703410613260862</v>
      </c>
      <c r="DS4" s="62">
        <f t="shared" ref="DS4:DS67" si="17">DR4+(DJ4+DK4)*44/12</f>
        <v>261.15922995021492</v>
      </c>
      <c r="DT4" s="62">
        <f ca="1">AVERAGE(OFFSET($DS$3,0,0,'Données projet'!$E$14+1,1))-AVERAGE(OFFSET($H$3,0,0,'Données projet'!$E$14+1,1))</f>
        <v>503.92230226365683</v>
      </c>
      <c r="DU4" s="62">
        <f>$DU$3</f>
        <v>267.2998309535638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2.1</v>
      </c>
      <c r="EJ4" s="13">
        <f>IF('Données projet'!$A$192&gt;35,EJ3+EI4-ER3,IF(A4&lt;'Données projet'!$A$192,$EG$205^A4,IF(A4='Données projet'!$A$192,'Données projet'!$B$192,EJ3+EI4-ER3)))</f>
        <v>1.2054868146447177</v>
      </c>
      <c r="EK4" s="18">
        <f>EJ4*VLOOKUP('Données projet'!$B$15,Paramètres!$A$1:$I$89,3,0)*VLOOKUP('Données projet'!$B$15,Paramètres!$A$1:$I$89,5,0)</f>
        <v>1.165946847124371</v>
      </c>
      <c r="EL4" s="14">
        <f>EXP(-1.0587+0.8836*LN(EK4)+0.284)</f>
        <v>0.52780002987456354</v>
      </c>
      <c r="EM4" s="22">
        <f t="shared" ref="EM4:EM67" si="19">(EK4+EL4)*0.475*44/12</f>
        <v>2.9499424774398109</v>
      </c>
      <c r="EN4" s="62">
        <f t="shared" ref="EN4:EN67" si="20">EM4+(EE4+EF4)*44/12</f>
        <v>260.83883136632869</v>
      </c>
      <c r="EO4" s="62">
        <f ca="1">AVERAGE(OFFSET($EN$3,0,0,'Données projet'!$E$15+1,1))-AVERAGE(OFFSET($H$3,0,0,'Données projet'!$E$15+1,1))</f>
        <v>457.16923206840744</v>
      </c>
      <c r="EP4" s="62">
        <f>$EP$3</f>
        <v>244.45149244446094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3.2666666666666666</v>
      </c>
      <c r="FE4" s="13">
        <f>IF('Données projet'!$A$218&gt;35,FE3+FD4-FM3,IF(A4&lt;'Données projet'!$A$218,$FB$205^A4,IF(A4='Données projet'!$A$218,'Données projet'!$B$218,FE3+FD4-FM3)))</f>
        <v>1.296223046030661</v>
      </c>
      <c r="FF4" s="18">
        <f>FE4*VLOOKUP('Données projet'!$B$16,Paramètres!$A$1:$I$89,3,0)*VLOOKUP('Données projet'!$B$16,Paramètres!$A$1:$I$89,5,0)</f>
        <v>0.86950641927736738</v>
      </c>
      <c r="FG4" s="14">
        <f>EXP(-1.0587+0.8836*LN(FF4)+0.284)</f>
        <v>0.40728039423492857</v>
      </c>
      <c r="FH4" s="22">
        <f t="shared" ref="FH4:FH67" si="22">(FF4+FG4)*0.475*44/12</f>
        <v>2.2237370335339155</v>
      </c>
      <c r="FI4" s="62">
        <f t="shared" ref="FI4:FI67" si="23">FH4+(EZ4+FA4)*44/12</f>
        <v>260.11262592242275</v>
      </c>
      <c r="FJ4" s="62">
        <f ca="1">AVERAGE(OFFSET($FI$3,0,0,'Données projet'!$E$16+1,1))-AVERAGE(OFFSET($H$3,0,0,'Données projet'!$E$16+1,1))</f>
        <v>385.97853124853452</v>
      </c>
      <c r="FK4" s="62">
        <f>$FK$3</f>
        <v>300.99118099739695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</v>
      </c>
      <c r="N5" s="14">
        <f>IF('Données projet'!$A$36&gt;35,N4+M5-V4,IF(A5&lt;'Données projet'!$A$36,$K$205^A5,IF(A5='Données projet'!$A$36,'Données projet'!$B$36,N4+M5-V4)))</f>
        <v>1.681792830507429</v>
      </c>
      <c r="O5" s="14">
        <f>N5*VLOOKUP('Données projet'!$B$9,Paramètres!$A$1:$I$89,3,0)*VLOOKUP('Données projet'!$B$9,Paramètres!$A$1:$I$89,5,0)</f>
        <v>0.85529256188285807</v>
      </c>
      <c r="P5" s="14">
        <f t="shared" ref="P5:P68" si="33">EXP(-1.0587+0.8836*LN(O5)+0.284)</f>
        <v>0.40139190485138254</v>
      </c>
      <c r="Q5" s="22">
        <f t="shared" si="2"/>
        <v>2.1887254462288022</v>
      </c>
      <c r="R5" s="62">
        <f t="shared" si="0"/>
        <v>261.29983655733997</v>
      </c>
      <c r="S5" s="62">
        <f ca="1">AVERAGE(OFFSET($R$3,0,0,'Données projet'!$E$9+1,1))-AVERAGE(OFFSET($H$3,0,0,'Données projet'!$E$9+1,1))</f>
        <v>132.280299502248</v>
      </c>
      <c r="T5" s="62">
        <f t="shared" ref="T5:T68" si="34">$T$3</f>
        <v>337.98099449405339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1.3148539668633961</v>
      </c>
      <c r="AK5" s="14">
        <f t="shared" ref="AK5:AK68" si="35">EXP(-1.0587+0.8836*LN(AJ5)+0.284)</f>
        <v>0.58693801963664449</v>
      </c>
      <c r="AL5" s="22">
        <f t="shared" si="4"/>
        <v>3.3122877098209038</v>
      </c>
      <c r="AM5" s="62">
        <f t="shared" si="5"/>
        <v>262.42339882093205</v>
      </c>
      <c r="AN5" s="62">
        <f ca="1">AVERAGE(OFFSET($AM$3,0,0,'Données projet'!$E$10+1,1))-AVERAGE(OFFSET($H$3,0,0,'Données projet'!$E$10+1,1))</f>
        <v>430.40491895612814</v>
      </c>
      <c r="AO5" s="62">
        <f t="shared" ref="AO5:AO68" si="36">$AO$3</f>
        <v>231.36959598460686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4.3703703703703702</v>
      </c>
      <c r="BD5" s="13">
        <f>IF('Données projet'!$A$88&gt;35,BD4+BC5-BL4,IF(A5&lt;'Données projet'!$A$88,$BA$205^A5,IF(A5='Données projet'!$A$88,'Données projet'!$B$88,BD4+BC5-BL4)))</f>
        <v>1.4238778734093853</v>
      </c>
      <c r="BE5" s="14">
        <f>BD5*VLOOKUP('Données projet'!$B$11,Paramètres!$A$1:$I$89,3,0)*VLOOKUP('Données projet'!$B$11,Paramètres!$A$1:$I$89,5,0)</f>
        <v>0.85147896829881242</v>
      </c>
      <c r="BF5" s="14">
        <f t="shared" ref="BF5:BF68" si="37">EXP(-1.0587+0.8836*LN(BE5)+0.284)</f>
        <v>0.39981008543020569</v>
      </c>
      <c r="BG5" s="22">
        <f t="shared" si="7"/>
        <v>2.179328435244706</v>
      </c>
      <c r="BH5" s="62">
        <f t="shared" si="8"/>
        <v>261.29043954635586</v>
      </c>
      <c r="BI5" s="62">
        <f ca="1">AVERAGE(OFFSET($BH$3,0,0,'Données projet'!$E$11+1,1))-AVERAGE(OFFSET($H$3,0,0,'Données projet'!$E$11+1,1))</f>
        <v>295.83974441964551</v>
      </c>
      <c r="BJ5" s="62">
        <f t="shared" ref="BJ5:BJ68" si="38">$BJ$3</f>
        <v>212.24900914818096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4.2272727272727275</v>
      </c>
      <c r="BY5" s="13">
        <f>IF('Données projet'!$A$114&gt;35,BY4+BX5-CG4,IF(A5&lt;'Données projet'!$A$114,$BV$205^A5,IF(A5='Données projet'!$A$114,'Données projet'!$B$114,BY4+BX5-CG4)))</f>
        <v>1.5099167236080389</v>
      </c>
      <c r="BZ5" s="14">
        <f>BY5*VLOOKUP('Données projet'!$B$12,Paramètres!$A$1:$I$89,3,0)*VLOOKUP('Données projet'!$B$12,Paramètres!$A$1:$I$89,5,0)</f>
        <v>0.86367236590379826</v>
      </c>
      <c r="CA5" s="14">
        <f t="shared" ref="CA5:CA68" si="39">EXP(-1.0587+0.8836*LN(BZ5)+0.284)</f>
        <v>0.40486483995747546</v>
      </c>
      <c r="CB5" s="22">
        <f t="shared" si="10"/>
        <v>2.2093689668750516</v>
      </c>
      <c r="CC5" s="62">
        <f t="shared" si="11"/>
        <v>261.32048007798619</v>
      </c>
      <c r="CD5" s="62">
        <f ca="1">AVERAGE(OFFSET($CC$3,0,0,'Données projet'!$E$12+1,1))-AVERAGE(OFFSET($H$3,0,0,'Données projet'!$E$12+1,1))</f>
        <v>309.71642374647882</v>
      </c>
      <c r="CE5" s="62">
        <f t="shared" ref="CE5:CE68" si="40">$CE$3</f>
        <v>266.63880397664315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2.4666666666666668</v>
      </c>
      <c r="CT5" s="13">
        <f>IF('Données projet'!$A$140&gt;35,CT4+CS5-DB4,IF(A5&lt;'Données projet'!$A$140,$CQ$205^A5,IF(A5='Données projet'!$A$140,'Données projet'!$B$140,CT4+CS5-DB4)))</f>
        <v>1.6184286699097237</v>
      </c>
      <c r="CU5" s="18">
        <f>CT5*VLOOKUP('Données projet'!$B$13,Paramètres!$A$1:$I$89,3,0)*VLOOKUP('Données projet'!$B$13,Paramètres!$A$1:$I$89,5,0)</f>
        <v>1.2876218497801761</v>
      </c>
      <c r="CV5" s="14">
        <f t="shared" ref="CV5:CV68" si="41">EXP(-1.0587+0.8836*LN(CU5)+0.284)</f>
        <v>0.57618379541883336</v>
      </c>
      <c r="CW5" s="22">
        <f t="shared" si="13"/>
        <v>3.2461281653882743</v>
      </c>
      <c r="CX5" s="62">
        <f t="shared" si="14"/>
        <v>262.3572392764994</v>
      </c>
      <c r="CY5" s="62">
        <f ca="1">AVERAGE(OFFSET($CX$3,0,0,'Données projet'!$E$13+1,1))-AVERAGE(OFFSET($H$3,0,0,'Données projet'!$E$13+1,1))</f>
        <v>312.53381881960331</v>
      </c>
      <c r="CZ5" s="62">
        <f t="shared" ref="CZ5:CZ68" si="42">$CZ$3</f>
        <v>342.06887933351783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2.1</v>
      </c>
      <c r="DO5" s="13">
        <f>IF('Données projet'!$A$166&gt;35,DO4+DN5-DW4,IF(A5&lt;'Données projet'!$A$166,$DL$205^A5,IF(A5='Données projet'!$A$166,'Données projet'!$B$166,DO4+DN5-DW4)))</f>
        <v>1.4531984602822681</v>
      </c>
      <c r="DP5" s="18">
        <f>DO5*VLOOKUP('Données projet'!$B$14,Paramètres!$A$1:$I$89,3,0)*VLOOKUP('Données projet'!$B$14,Paramètres!$A$1:$I$89,5,0)</f>
        <v>1.5642228226478332</v>
      </c>
      <c r="DQ5" s="14">
        <f t="shared" ref="DQ5:DQ68" si="43">EXP(-1.0587+0.8836*LN(DP5)+0.284)</f>
        <v>0.68428075179095682</v>
      </c>
      <c r="DR5" s="22">
        <f t="shared" si="16"/>
        <v>3.9161437254808931</v>
      </c>
      <c r="DS5" s="62">
        <f t="shared" si="17"/>
        <v>263.02725483659202</v>
      </c>
      <c r="DT5" s="62">
        <f ca="1">AVERAGE(OFFSET($DS$3,0,0,'Données projet'!$E$14+1,1))-AVERAGE(OFFSET($H$3,0,0,'Données projet'!$E$14+1,1))</f>
        <v>503.92230226365683</v>
      </c>
      <c r="DU5" s="62">
        <f t="shared" ref="DU5:DU68" si="44">$DU$3</f>
        <v>267.2998309535638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2.1</v>
      </c>
      <c r="EJ5" s="13">
        <f>IF('Données projet'!$A$192&gt;35,EJ4+EI5-ER4,IF(A5&lt;'Données projet'!$A$192,$EG$205^A5,IF(A5='Données projet'!$A$192,'Données projet'!$B$192,EJ4+EI5-ER4)))</f>
        <v>1.4531984602822681</v>
      </c>
      <c r="EK5" s="18">
        <f>EJ5*VLOOKUP('Données projet'!$B$15,Paramètres!$A$1:$I$89,3,0)*VLOOKUP('Données projet'!$B$15,Paramètres!$A$1:$I$89,5,0)</f>
        <v>1.4055335507850097</v>
      </c>
      <c r="EL5" s="14">
        <f t="shared" ref="EL5:EL68" si="45">EXP(-1.0587+0.8836*LN(EK5)+0.284)</f>
        <v>0.62256480317525631</v>
      </c>
      <c r="EM5" s="22">
        <f t="shared" si="19"/>
        <v>3.5322712998141292</v>
      </c>
      <c r="EN5" s="62">
        <f t="shared" si="20"/>
        <v>262.64338241092526</v>
      </c>
      <c r="EO5" s="62">
        <f ca="1">AVERAGE(OFFSET($EN$3,0,0,'Données projet'!$E$15+1,1))-AVERAGE(OFFSET($H$3,0,0,'Données projet'!$E$15+1,1))</f>
        <v>457.16923206840744</v>
      </c>
      <c r="EP5" s="62">
        <f t="shared" ref="EP5:EP68" si="46">$EP$3</f>
        <v>244.45149244446094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3.2666666666666666</v>
      </c>
      <c r="FE5" s="13">
        <f>IF('Données projet'!$A$218&gt;35,FE4+FD5-FM4,IF(A5&lt;'Données projet'!$A$218,$FB$205^A5,IF(A5='Données projet'!$A$218,'Données projet'!$B$218,FE4+FD5-FM4)))</f>
        <v>1.6801941850610049</v>
      </c>
      <c r="FF5" s="18">
        <f>FE5*VLOOKUP('Données projet'!$B$16,Paramètres!$A$1:$I$89,3,0)*VLOOKUP('Données projet'!$B$16,Paramètres!$A$1:$I$89,5,0)</f>
        <v>1.1270742593389222</v>
      </c>
      <c r="FG5" s="14">
        <f t="shared" ref="FG5:FG68" si="47">EXP(-1.0587+0.8836*LN(FF5)+0.284)</f>
        <v>0.51222093139146085</v>
      </c>
      <c r="FH5" s="22">
        <f t="shared" si="22"/>
        <v>2.8551057905220838</v>
      </c>
      <c r="FI5" s="62">
        <f t="shared" si="23"/>
        <v>261.96621690163323</v>
      </c>
      <c r="FJ5" s="62">
        <f ca="1">AVERAGE(OFFSET($FI$3,0,0,'Données projet'!$E$16+1,1))-AVERAGE(OFFSET($H$3,0,0,'Données projet'!$E$16+1,1))</f>
        <v>385.97853124853452</v>
      </c>
      <c r="FK5" s="62">
        <f t="shared" ref="FK5:FK68" si="48">$FK$3</f>
        <v>300.99118099739695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</v>
      </c>
      <c r="N6" s="14">
        <f>IF('Données projet'!$A$36&gt;35,N5+M6-V5,IF(A6&lt;'Données projet'!$A$36,$K$205^A6,IF(A6='Données projet'!$A$36,'Données projet'!$B$36,N5+M6-V5)))</f>
        <v>2.1810154653305154</v>
      </c>
      <c r="O6" s="14">
        <f>N6*VLOOKUP('Données projet'!$B$9,Paramètres!$A$1:$I$89,3,0)*VLOOKUP('Données projet'!$B$9,Paramètres!$A$1:$I$89,5,0)</f>
        <v>1.109177225048487</v>
      </c>
      <c r="P6" s="14">
        <f t="shared" si="33"/>
        <v>0.50502735046800051</v>
      </c>
      <c r="Q6" s="22">
        <f t="shared" si="2"/>
        <v>2.8114063023578826</v>
      </c>
      <c r="R6" s="62">
        <f t="shared" si="0"/>
        <v>263.14473963569122</v>
      </c>
      <c r="S6" s="62">
        <f ca="1">AVERAGE(OFFSET($R$3,0,0,'Données projet'!$E$9+1,1))-AVERAGE(OFFSET($H$3,0,0,'Données projet'!$E$9+1,1))</f>
        <v>132.280299502248</v>
      </c>
      <c r="T6" s="62">
        <f t="shared" si="34"/>
        <v>337.98099449405339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1.5850391202371266</v>
      </c>
      <c r="AK6" s="14">
        <f t="shared" si="35"/>
        <v>0.69232082604846479</v>
      </c>
      <c r="AL6" s="22">
        <f t="shared" si="4"/>
        <v>3.966401906447405</v>
      </c>
      <c r="AM6" s="62">
        <f t="shared" si="5"/>
        <v>264.29973523978072</v>
      </c>
      <c r="AN6" s="62">
        <f ca="1">AVERAGE(OFFSET($AM$3,0,0,'Données projet'!$E$10+1,1))-AVERAGE(OFFSET($H$3,0,0,'Données projet'!$E$10+1,1))</f>
        <v>430.40491895612814</v>
      </c>
      <c r="AO6" s="62">
        <f t="shared" si="36"/>
        <v>231.36959598460686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4.3703703703703702</v>
      </c>
      <c r="BD6" s="13">
        <f>IF('Données projet'!$A$88&gt;35,BD5+BC6-BL5,IF(A6&lt;'Données projet'!$A$88,$BA$205^A6,IF(A6='Données projet'!$A$88,'Données projet'!$B$88,BD5+BC6-BL5)))</f>
        <v>1.6990615502701536</v>
      </c>
      <c r="BE6" s="14">
        <f>BD6*VLOOKUP('Données projet'!$B$11,Paramètres!$A$1:$I$89,3,0)*VLOOKUP('Données projet'!$B$11,Paramètres!$A$1:$I$89,5,0)</f>
        <v>1.0160388070615518</v>
      </c>
      <c r="BF6" s="14">
        <f t="shared" si="37"/>
        <v>0.46736695480483653</v>
      </c>
      <c r="BG6" s="22">
        <f t="shared" si="7"/>
        <v>2.5835983685839596</v>
      </c>
      <c r="BH6" s="62">
        <f t="shared" si="8"/>
        <v>262.91693170191729</v>
      </c>
      <c r="BI6" s="62">
        <f ca="1">AVERAGE(OFFSET($BH$3,0,0,'Données projet'!$E$11+1,1))-AVERAGE(OFFSET($H$3,0,0,'Données projet'!$E$11+1,1))</f>
        <v>295.83974441964551</v>
      </c>
      <c r="BJ6" s="62">
        <f t="shared" si="38"/>
        <v>212.24900914818096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4.2272727272727275</v>
      </c>
      <c r="BY6" s="13">
        <f>IF('Données projet'!$A$114&gt;35,BY5+BX6-CG5,IF(A6&lt;'Données projet'!$A$114,$BV$205^A6,IF(A6='Données projet'!$A$114,'Données projet'!$B$114,BY5+BX6-CG5)))</f>
        <v>1.8553655693449871</v>
      </c>
      <c r="BZ6" s="14">
        <f>BY6*VLOOKUP('Données projet'!$B$12,Paramètres!$A$1:$I$89,3,0)*VLOOKUP('Données projet'!$B$12,Paramètres!$A$1:$I$89,5,0)</f>
        <v>1.0612691056653327</v>
      </c>
      <c r="CA6" s="14">
        <f t="shared" si="39"/>
        <v>0.48570379400210395</v>
      </c>
      <c r="CB6" s="22">
        <f t="shared" si="10"/>
        <v>2.6943111335874517</v>
      </c>
      <c r="CC6" s="62">
        <f t="shared" si="11"/>
        <v>263.02764446692078</v>
      </c>
      <c r="CD6" s="62">
        <f ca="1">AVERAGE(OFFSET($CC$3,0,0,'Données projet'!$E$12+1,1))-AVERAGE(OFFSET($H$3,0,0,'Données projet'!$E$12+1,1))</f>
        <v>309.71642374647882</v>
      </c>
      <c r="CE6" s="62">
        <f t="shared" si="40"/>
        <v>266.63880397664315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2.4666666666666668</v>
      </c>
      <c r="CT6" s="13">
        <f>IF('Données projet'!$A$140&gt;35,CT5+CS6-DB5,IF(A6&lt;'Données projet'!$A$140,$CQ$205^A6,IF(A6='Données projet'!$A$140,'Données projet'!$B$140,CT5+CS6-DB5)))</f>
        <v>2.0589241364785171</v>
      </c>
      <c r="CU6" s="18">
        <f>CT6*VLOOKUP('Données projet'!$B$13,Paramètres!$A$1:$I$89,3,0)*VLOOKUP('Données projet'!$B$13,Paramètres!$A$1:$I$89,5,0)</f>
        <v>1.6380800429823084</v>
      </c>
      <c r="CV6" s="14">
        <f t="shared" si="41"/>
        <v>0.71275221602487127</v>
      </c>
      <c r="CW6" s="22">
        <f t="shared" si="13"/>
        <v>4.0943661844375043</v>
      </c>
      <c r="CX6" s="62">
        <f t="shared" si="14"/>
        <v>264.4276995177708</v>
      </c>
      <c r="CY6" s="62">
        <f ca="1">AVERAGE(OFFSET($CX$3,0,0,'Données projet'!$E$13+1,1))-AVERAGE(OFFSET($H$3,0,0,'Données projet'!$E$13+1,1))</f>
        <v>312.53381881960331</v>
      </c>
      <c r="CZ6" s="62">
        <f t="shared" si="42"/>
        <v>342.06887933351783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2.1</v>
      </c>
      <c r="DO6" s="13">
        <f>IF('Données projet'!$A$166&gt;35,DO5+DN6-DW5,IF(A6&lt;'Données projet'!$A$166,$DL$205^A6,IF(A6='Données projet'!$A$166,'Données projet'!$B$166,DO5+DN6-DW5)))</f>
        <v>1.7518115829322798</v>
      </c>
      <c r="DP6" s="18">
        <f>DO6*VLOOKUP('Données projet'!$B$14,Paramètres!$A$1:$I$89,3,0)*VLOOKUP('Données projet'!$B$14,Paramètres!$A$1:$I$89,5,0)</f>
        <v>1.885649987868306</v>
      </c>
      <c r="DQ6" s="14">
        <f t="shared" si="43"/>
        <v>0.8071411281590839</v>
      </c>
      <c r="DR6" s="22">
        <f t="shared" si="16"/>
        <v>4.6899445270810372</v>
      </c>
      <c r="DS6" s="62">
        <f t="shared" si="17"/>
        <v>265.02327786041434</v>
      </c>
      <c r="DT6" s="62">
        <f ca="1">AVERAGE(OFFSET($DS$3,0,0,'Données projet'!$E$14+1,1))-AVERAGE(OFFSET($H$3,0,0,'Données projet'!$E$14+1,1))</f>
        <v>503.92230226365683</v>
      </c>
      <c r="DU6" s="62">
        <f t="shared" si="44"/>
        <v>267.2998309535638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2.1</v>
      </c>
      <c r="EJ6" s="13">
        <f>IF('Données projet'!$A$192&gt;35,EJ5+EI6-ER5,IF(A6&lt;'Données projet'!$A$192,$EG$205^A6,IF(A6='Données projet'!$A$192,'Données projet'!$B$192,EJ5+EI6-ER5)))</f>
        <v>1.7518115829322798</v>
      </c>
      <c r="EK6" s="18">
        <f>EJ6*VLOOKUP('Données projet'!$B$15,Paramètres!$A$1:$I$89,3,0)*VLOOKUP('Données projet'!$B$15,Paramètres!$A$1:$I$89,5,0)</f>
        <v>1.694352163012101</v>
      </c>
      <c r="EL6" s="14">
        <f t="shared" si="45"/>
        <v>0.73434428233124405</v>
      </c>
      <c r="EM6" s="22">
        <f t="shared" si="19"/>
        <v>4.2299796423063247</v>
      </c>
      <c r="EN6" s="62">
        <f t="shared" si="20"/>
        <v>264.56331297563963</v>
      </c>
      <c r="EO6" s="62">
        <f ca="1">AVERAGE(OFFSET($EN$3,0,0,'Données projet'!$E$15+1,1))-AVERAGE(OFFSET($H$3,0,0,'Données projet'!$E$15+1,1))</f>
        <v>457.16923206840744</v>
      </c>
      <c r="EP6" s="62">
        <f t="shared" si="46"/>
        <v>244.45149244446094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3.2666666666666666</v>
      </c>
      <c r="FE6" s="13">
        <f>IF('Données projet'!$A$218&gt;35,FE5+FD6-FM5,IF(A6&lt;'Données projet'!$A$218,$FB$205^A6,IF(A6='Données projet'!$A$218,'Données projet'!$B$218,FE5+FD6-FM5)))</f>
        <v>2.1779064244827797</v>
      </c>
      <c r="FF6" s="18">
        <f>FE6*VLOOKUP('Données projet'!$B$16,Paramètres!$A$1:$I$89,3,0)*VLOOKUP('Données projet'!$B$16,Paramètres!$A$1:$I$89,5,0)</f>
        <v>1.4609396295430486</v>
      </c>
      <c r="FG6" s="14">
        <f t="shared" si="47"/>
        <v>0.64420062018549917</v>
      </c>
      <c r="FH6" s="22">
        <f t="shared" si="22"/>
        <v>3.6664526016105534</v>
      </c>
      <c r="FI6" s="62">
        <f t="shared" si="23"/>
        <v>263.99978593494387</v>
      </c>
      <c r="FJ6" s="62">
        <f ca="1">AVERAGE(OFFSET($FI$3,0,0,'Données projet'!$E$16+1,1))-AVERAGE(OFFSET($H$3,0,0,'Données projet'!$E$16+1,1))</f>
        <v>385.97853124853452</v>
      </c>
      <c r="FK6" s="62">
        <f t="shared" si="48"/>
        <v>300.99118099739695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</v>
      </c>
      <c r="N7" s="14">
        <f>IF('Données projet'!$A$36&gt;35,N6+M7-V6,IF(A7&lt;'Données projet'!$A$36,$K$205^A7,IF(A7='Données projet'!$A$36,'Données projet'!$B$36,N6+M7-V6)))</f>
        <v>2.8284271247461898</v>
      </c>
      <c r="O7" s="14">
        <f>N7*VLOOKUP('Données projet'!$B$9,Paramètres!$A$1:$I$89,3,0)*VLOOKUP('Données projet'!$B$9,Paramètres!$A$1:$I$89,5,0)</f>
        <v>1.4384248985609225</v>
      </c>
      <c r="P7" s="14">
        <f t="shared" si="33"/>
        <v>0.63542044978501278</v>
      </c>
      <c r="Q7" s="22">
        <f t="shared" si="2"/>
        <v>3.6119473150358368</v>
      </c>
      <c r="R7" s="62">
        <f t="shared" si="0"/>
        <v>265.16750287059136</v>
      </c>
      <c r="S7" s="62">
        <f ca="1">AVERAGE(OFFSET($R$3,0,0,'Données projet'!$E$9+1,1))-AVERAGE(OFFSET($H$3,0,0,'Données projet'!$E$9+1,1))</f>
        <v>132.280299502248</v>
      </c>
      <c r="T7" s="62">
        <f t="shared" si="34"/>
        <v>337.98099449405339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1.9107437601419195</v>
      </c>
      <c r="AK7" s="14">
        <f t="shared" si="35"/>
        <v>0.81662477151702284</v>
      </c>
      <c r="AL7" s="22">
        <f t="shared" si="4"/>
        <v>4.7501668593059909</v>
      </c>
      <c r="AM7" s="62">
        <f t="shared" si="5"/>
        <v>266.30572241486152</v>
      </c>
      <c r="AN7" s="62">
        <f ca="1">AVERAGE(OFFSET($AM$3,0,0,'Données projet'!$E$10+1,1))-AVERAGE(OFFSET($H$3,0,0,'Données projet'!$E$10+1,1))</f>
        <v>430.40491895612814</v>
      </c>
      <c r="AO7" s="62">
        <f t="shared" si="36"/>
        <v>231.36959598460686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4.3703703703703702</v>
      </c>
      <c r="BD7" s="13">
        <f>IF('Données projet'!$A$88&gt;35,BD6+BC7-BL6,IF(A7&lt;'Données projet'!$A$88,$BA$205^A7,IF(A7='Données projet'!$A$88,'Données projet'!$B$88,BD6+BC7-BL6)))</f>
        <v>2.0274281983848335</v>
      </c>
      <c r="BE7" s="14">
        <f>BD7*VLOOKUP('Données projet'!$B$11,Paramètres!$A$1:$I$89,3,0)*VLOOKUP('Données projet'!$B$11,Paramètres!$A$1:$I$89,5,0)</f>
        <v>1.2124020626341305</v>
      </c>
      <c r="BF7" s="14">
        <f t="shared" si="37"/>
        <v>0.54633907048269681</v>
      </c>
      <c r="BG7" s="22">
        <f t="shared" si="7"/>
        <v>3.0631408068451407</v>
      </c>
      <c r="BH7" s="62">
        <f t="shared" si="8"/>
        <v>264.61869636240067</v>
      </c>
      <c r="BI7" s="62">
        <f ca="1">AVERAGE(OFFSET($BH$3,0,0,'Données projet'!$E$11+1,1))-AVERAGE(OFFSET($H$3,0,0,'Données projet'!$E$11+1,1))</f>
        <v>295.83974441964551</v>
      </c>
      <c r="BJ7" s="62">
        <f t="shared" si="38"/>
        <v>212.24900914818096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4.2272727272727275</v>
      </c>
      <c r="BY7" s="13">
        <f>IF('Données projet'!$A$114&gt;35,BY6+BX7-CG6,IF(A7&lt;'Données projet'!$A$114,$BV$205^A7,IF(A7='Données projet'!$A$114,'Données projet'!$B$114,BY6+BX7-CG6)))</f>
        <v>2.2798485122312346</v>
      </c>
      <c r="BZ7" s="14">
        <f>BY7*VLOOKUP('Données projet'!$B$12,Paramètres!$A$1:$I$89,3,0)*VLOOKUP('Données projet'!$B$12,Paramètres!$A$1:$I$89,5,0)</f>
        <v>1.3040733489962664</v>
      </c>
      <c r="CA7" s="14">
        <f t="shared" si="39"/>
        <v>0.58268378042612079</v>
      </c>
      <c r="CB7" s="22">
        <f t="shared" si="10"/>
        <v>3.2861020004106578</v>
      </c>
      <c r="CC7" s="62">
        <f t="shared" si="11"/>
        <v>264.84165755596621</v>
      </c>
      <c r="CD7" s="62">
        <f ca="1">AVERAGE(OFFSET($CC$3,0,0,'Données projet'!$E$12+1,1))-AVERAGE(OFFSET($H$3,0,0,'Données projet'!$E$12+1,1))</f>
        <v>309.71642374647882</v>
      </c>
      <c r="CE7" s="62">
        <f t="shared" si="40"/>
        <v>266.63880397664315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2.4666666666666668</v>
      </c>
      <c r="CT7" s="13">
        <f>IF('Données projet'!$A$140&gt;35,CT6+CS7-DB6,IF(A7&lt;'Données projet'!$A$140,$CQ$205^A7,IF(A7='Données projet'!$A$140,'Données projet'!$B$140,CT6+CS7-DB6)))</f>
        <v>2.6193113595857573</v>
      </c>
      <c r="CU7" s="18">
        <f>CT7*VLOOKUP('Données projet'!$B$13,Paramètres!$A$1:$I$89,3,0)*VLOOKUP('Données projet'!$B$13,Paramètres!$A$1:$I$89,5,0)</f>
        <v>2.0839241176864287</v>
      </c>
      <c r="CV7" s="14">
        <f t="shared" si="41"/>
        <v>0.88169040068036508</v>
      </c>
      <c r="CW7" s="22">
        <f t="shared" si="13"/>
        <v>5.1651119528221656</v>
      </c>
      <c r="CX7" s="62">
        <f t="shared" si="14"/>
        <v>266.72066750837769</v>
      </c>
      <c r="CY7" s="62">
        <f ca="1">AVERAGE(OFFSET($CX$3,0,0,'Données projet'!$E$13+1,1))-AVERAGE(OFFSET($H$3,0,0,'Données projet'!$E$13+1,1))</f>
        <v>312.53381881960331</v>
      </c>
      <c r="CZ7" s="62">
        <f t="shared" si="42"/>
        <v>342.06887933351783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2.1</v>
      </c>
      <c r="DO7" s="13">
        <f>IF('Données projet'!$A$166&gt;35,DO6+DN7-DW6,IF(A7&lt;'Données projet'!$A$166,$DL$205^A7,IF(A7='Données projet'!$A$166,'Données projet'!$B$166,DO6+DN7-DW6)))</f>
        <v>2.1117857649667546</v>
      </c>
      <c r="DP7" s="18">
        <f>DO7*VLOOKUP('Données projet'!$B$14,Paramètres!$A$1:$I$89,3,0)*VLOOKUP('Données projet'!$B$14,Paramètres!$A$1:$I$89,5,0)</f>
        <v>2.2731261974102144</v>
      </c>
      <c r="DQ7" s="14">
        <f t="shared" si="43"/>
        <v>0.95206068424520052</v>
      </c>
      <c r="DR7" s="22">
        <f t="shared" si="16"/>
        <v>5.617200485549847</v>
      </c>
      <c r="DS7" s="62">
        <f t="shared" si="17"/>
        <v>267.1727560411054</v>
      </c>
      <c r="DT7" s="62">
        <f ca="1">AVERAGE(OFFSET($DS$3,0,0,'Données projet'!$E$14+1,1))-AVERAGE(OFFSET($H$3,0,0,'Données projet'!$E$14+1,1))</f>
        <v>503.92230226365683</v>
      </c>
      <c r="DU7" s="62">
        <f t="shared" si="44"/>
        <v>267.2998309535638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2.1</v>
      </c>
      <c r="EJ7" s="13">
        <f>IF('Données projet'!$A$192&gt;35,EJ6+EI7-ER6,IF(A7&lt;'Données projet'!$A$192,$EG$205^A7,IF(A7='Données projet'!$A$192,'Données projet'!$B$192,EJ6+EI7-ER6)))</f>
        <v>2.1117857649667546</v>
      </c>
      <c r="EK7" s="18">
        <f>EJ7*VLOOKUP('Données projet'!$B$15,Paramètres!$A$1:$I$89,3,0)*VLOOKUP('Données projet'!$B$15,Paramètres!$A$1:$I$89,5,0)</f>
        <v>2.042519191875845</v>
      </c>
      <c r="EL7" s="14">
        <f t="shared" si="45"/>
        <v>0.86619340226463792</v>
      </c>
      <c r="EM7" s="22">
        <f t="shared" si="19"/>
        <v>5.0660077681280073</v>
      </c>
      <c r="EN7" s="62">
        <f t="shared" si="20"/>
        <v>266.62156332368357</v>
      </c>
      <c r="EO7" s="62">
        <f ca="1">AVERAGE(OFFSET($EN$3,0,0,'Données projet'!$E$15+1,1))-AVERAGE(OFFSET($H$3,0,0,'Données projet'!$E$15+1,1))</f>
        <v>457.16923206840744</v>
      </c>
      <c r="EP7" s="62">
        <f t="shared" si="46"/>
        <v>244.45149244446094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3.2666666666666666</v>
      </c>
      <c r="FE7" s="13">
        <f>IF('Données projet'!$A$218&gt;35,FE6+FD7-FM6,IF(A7&lt;'Données projet'!$A$218,$FB$205^A7,IF(A7='Données projet'!$A$218,'Données projet'!$B$218,FE6+FD7-FM6)))</f>
        <v>2.8230524995128143</v>
      </c>
      <c r="FF7" s="18">
        <f>FE7*VLOOKUP('Données projet'!$B$16,Paramètres!$A$1:$I$89,3,0)*VLOOKUP('Données projet'!$B$16,Paramètres!$A$1:$I$89,5,0)</f>
        <v>1.893703616673196</v>
      </c>
      <c r="FG7" s="14">
        <f t="shared" si="47"/>
        <v>0.81018641296059346</v>
      </c>
      <c r="FH7" s="22">
        <f t="shared" si="22"/>
        <v>4.7092751349455169</v>
      </c>
      <c r="FI7" s="62">
        <f t="shared" si="23"/>
        <v>266.26483069050107</v>
      </c>
      <c r="FJ7" s="62">
        <f ca="1">AVERAGE(OFFSET($FI$3,0,0,'Données projet'!$E$16+1,1))-AVERAGE(OFFSET($H$3,0,0,'Données projet'!$E$16+1,1))</f>
        <v>385.97853124853452</v>
      </c>
      <c r="FK7" s="62">
        <f t="shared" si="48"/>
        <v>300.99118099739695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</v>
      </c>
      <c r="N8" s="14">
        <f>IF('Données projet'!$A$36&gt;35,N7+M8-V7,IF(A8&lt;'Données projet'!$A$36,$K$205^A8,IF(A8='Données projet'!$A$36,'Données projet'!$B$36,N7+M8-V7)))</f>
        <v>3.6680161728186844</v>
      </c>
      <c r="O8" s="14">
        <f>N8*VLOOKUP('Données projet'!$B$9,Paramètres!$A$1:$I$89,3,0)*VLOOKUP('Données projet'!$B$9,Paramètres!$A$1:$I$89,5,0)</f>
        <v>1.8654063048486704</v>
      </c>
      <c r="P8" s="14">
        <f t="shared" si="33"/>
        <v>0.79947976605787985</v>
      </c>
      <c r="Q8" s="22">
        <f t="shared" si="2"/>
        <v>4.6413432401622412</v>
      </c>
      <c r="R8" s="62">
        <f t="shared" si="0"/>
        <v>267.41912101794003</v>
      </c>
      <c r="S8" s="62">
        <f ca="1">AVERAGE(OFFSET($R$3,0,0,'Données projet'!$E$9+1,1))-AVERAGE(OFFSET($H$3,0,0,'Données projet'!$E$9+1,1))</f>
        <v>132.280299502248</v>
      </c>
      <c r="T8" s="62">
        <f t="shared" si="34"/>
        <v>337.98099449405339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2.3033764090157529</v>
      </c>
      <c r="AK8" s="14">
        <f t="shared" si="35"/>
        <v>0.96324708482559218</v>
      </c>
      <c r="AL8" s="22">
        <f t="shared" si="4"/>
        <v>5.6893692517736758</v>
      </c>
      <c r="AM8" s="62">
        <f t="shared" si="5"/>
        <v>268.46714702955143</v>
      </c>
      <c r="AN8" s="62">
        <f ca="1">AVERAGE(OFFSET($AM$3,0,0,'Données projet'!$E$10+1,1))-AVERAGE(OFFSET($H$3,0,0,'Données projet'!$E$10+1,1))</f>
        <v>430.40491895612814</v>
      </c>
      <c r="AO8" s="62">
        <f t="shared" si="36"/>
        <v>231.36959598460686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4.3703703703703702</v>
      </c>
      <c r="BD8" s="13">
        <f>IF('Données projet'!$A$88&gt;35,BD7+BC8-BL7,IF(A8&lt;'Données projet'!$A$88,$BA$205^A8,IF(A8='Données projet'!$A$88,'Données projet'!$B$88,BD7+BC8-BL7)))</f>
        <v>2.4192561469903198</v>
      </c>
      <c r="BE8" s="14">
        <f>BD8*VLOOKUP('Données projet'!$B$11,Paramètres!$A$1:$I$89,3,0)*VLOOKUP('Données projet'!$B$11,Paramètres!$A$1:$I$89,5,0)</f>
        <v>1.4467151759002115</v>
      </c>
      <c r="BF8" s="14">
        <f t="shared" si="37"/>
        <v>0.63865529401953391</v>
      </c>
      <c r="BG8" s="22">
        <f t="shared" si="7"/>
        <v>3.6320202351102231</v>
      </c>
      <c r="BH8" s="62">
        <f t="shared" si="8"/>
        <v>266.40979801288802</v>
      </c>
      <c r="BI8" s="62">
        <f ca="1">AVERAGE(OFFSET($BH$3,0,0,'Données projet'!$E$11+1,1))-AVERAGE(OFFSET($H$3,0,0,'Données projet'!$E$11+1,1))</f>
        <v>295.83974441964551</v>
      </c>
      <c r="BJ8" s="62">
        <f t="shared" si="38"/>
        <v>212.24900914818096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4.2272727272727275</v>
      </c>
      <c r="BY8" s="13">
        <f>IF('Données projet'!$A$114&gt;35,BY7+BX8-CG7,IF(A8&lt;'Données projet'!$A$114,$BV$205^A8,IF(A8='Données projet'!$A$114,'Données projet'!$B$114,BY7+BX8-CG7)))</f>
        <v>2.8014475015605464</v>
      </c>
      <c r="BZ8" s="14">
        <f>BY8*VLOOKUP('Données projet'!$B$12,Paramètres!$A$1:$I$89,3,0)*VLOOKUP('Données projet'!$B$12,Paramètres!$A$1:$I$89,5,0)</f>
        <v>1.6024279708926326</v>
      </c>
      <c r="CA8" s="14">
        <f t="shared" si="39"/>
        <v>0.6990276628767802</v>
      </c>
      <c r="CB8" s="22">
        <f t="shared" si="10"/>
        <v>4.0083685621483935</v>
      </c>
      <c r="CC8" s="62">
        <f t="shared" si="11"/>
        <v>266.78614633992618</v>
      </c>
      <c r="CD8" s="62">
        <f ca="1">AVERAGE(OFFSET($CC$3,0,0,'Données projet'!$E$12+1,1))-AVERAGE(OFFSET($H$3,0,0,'Données projet'!$E$12+1,1))</f>
        <v>309.71642374647882</v>
      </c>
      <c r="CE8" s="62">
        <f t="shared" si="40"/>
        <v>266.63880397664315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2.4666666666666668</v>
      </c>
      <c r="CT8" s="13">
        <f>IF('Données projet'!$A$140&gt;35,CT7+CS8-DB7,IF(A8&lt;'Données projet'!$A$140,$CQ$205^A8,IF(A8='Données projet'!$A$140,'Données projet'!$B$140,CT7+CS8-DB7)))</f>
        <v>3.332221851645953</v>
      </c>
      <c r="CU8" s="18">
        <f>CT8*VLOOKUP('Données projet'!$B$13,Paramètres!$A$1:$I$89,3,0)*VLOOKUP('Données projet'!$B$13,Paramètres!$A$1:$I$89,5,0)</f>
        <v>2.6511157051695204</v>
      </c>
      <c r="CV8" s="14">
        <f t="shared" si="41"/>
        <v>1.0906707059957799</v>
      </c>
      <c r="CW8" s="22">
        <f t="shared" si="13"/>
        <v>6.5169446661128978</v>
      </c>
      <c r="CX8" s="62">
        <f t="shared" si="14"/>
        <v>269.29472244389069</v>
      </c>
      <c r="CY8" s="62">
        <f ca="1">AVERAGE(OFFSET($CX$3,0,0,'Données projet'!$E$13+1,1))-AVERAGE(OFFSET($H$3,0,0,'Données projet'!$E$13+1,1))</f>
        <v>312.53381881960331</v>
      </c>
      <c r="CZ8" s="62">
        <f t="shared" si="42"/>
        <v>342.06887933351783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2.1</v>
      </c>
      <c r="DO8" s="13">
        <f>IF('Données projet'!$A$166&gt;35,DO7+DN8-DW7,IF(A8&lt;'Données projet'!$A$166,$DL$205^A8,IF(A8='Données projet'!$A$166,'Données projet'!$B$166,DO7+DN8-DW7)))</f>
        <v>2.5457298950218314</v>
      </c>
      <c r="DP8" s="18">
        <f>DO8*VLOOKUP('Données projet'!$B$14,Paramètres!$A$1:$I$89,3,0)*VLOOKUP('Données projet'!$B$14,Paramètres!$A$1:$I$89,5,0)</f>
        <v>2.740223659001499</v>
      </c>
      <c r="DQ8" s="14">
        <f t="shared" si="43"/>
        <v>1.1230000737947632</v>
      </c>
      <c r="DR8" s="22">
        <f t="shared" si="16"/>
        <v>6.7284480012868242</v>
      </c>
      <c r="DS8" s="62">
        <f t="shared" si="17"/>
        <v>269.50622577906461</v>
      </c>
      <c r="DT8" s="62">
        <f ca="1">AVERAGE(OFFSET($DS$3,0,0,'Données projet'!$E$14+1,1))-AVERAGE(OFFSET($H$3,0,0,'Données projet'!$E$14+1,1))</f>
        <v>503.92230226365683</v>
      </c>
      <c r="DU8" s="62">
        <f t="shared" si="44"/>
        <v>267.2998309535638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2.1</v>
      </c>
      <c r="EJ8" s="13">
        <f>IF('Données projet'!$A$192&gt;35,EJ7+EI8-ER7,IF(A8&lt;'Données projet'!$A$192,$EG$205^A8,IF(A8='Données projet'!$A$192,'Données projet'!$B$192,EJ7+EI8-ER7)))</f>
        <v>2.5457298950218314</v>
      </c>
      <c r="EK8" s="18">
        <f>EJ8*VLOOKUP('Données projet'!$B$15,Paramètres!$A$1:$I$89,3,0)*VLOOKUP('Données projet'!$B$15,Paramètres!$A$1:$I$89,5,0)</f>
        <v>2.4622299544651152</v>
      </c>
      <c r="EL8" s="14">
        <f t="shared" si="45"/>
        <v>1.021715601495419</v>
      </c>
      <c r="EM8" s="22">
        <f t="shared" si="19"/>
        <v>6.0678718432979295</v>
      </c>
      <c r="EN8" s="62">
        <f t="shared" si="20"/>
        <v>268.84564962107572</v>
      </c>
      <c r="EO8" s="62">
        <f ca="1">AVERAGE(OFFSET($EN$3,0,0,'Données projet'!$E$15+1,1))-AVERAGE(OFFSET($H$3,0,0,'Données projet'!$E$15+1,1))</f>
        <v>457.16923206840744</v>
      </c>
      <c r="EP8" s="62">
        <f t="shared" si="46"/>
        <v>244.45149244446094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3.2666666666666666</v>
      </c>
      <c r="FE8" s="13">
        <f>IF('Données projet'!$A$218&gt;35,FE7+FD8-FM7,IF(A8&lt;'Données projet'!$A$218,$FB$205^A8,IF(A8='Données projet'!$A$218,'Données projet'!$B$218,FE7+FD8-FM7)))</f>
        <v>3.6593057100229713</v>
      </c>
      <c r="FF8" s="18">
        <f>FE8*VLOOKUP('Données projet'!$B$16,Paramètres!$A$1:$I$89,3,0)*VLOOKUP('Données projet'!$B$16,Paramètres!$A$1:$I$89,5,0)</f>
        <v>2.4546622702834093</v>
      </c>
      <c r="FG8" s="14">
        <f t="shared" si="47"/>
        <v>1.0189403784754827</v>
      </c>
      <c r="FH8" s="22">
        <f t="shared" si="22"/>
        <v>6.0498579465884035</v>
      </c>
      <c r="FI8" s="62">
        <f t="shared" si="23"/>
        <v>268.82763572436619</v>
      </c>
      <c r="FJ8" s="62">
        <f ca="1">AVERAGE(OFFSET($FI$3,0,0,'Données projet'!$E$16+1,1))-AVERAGE(OFFSET($H$3,0,0,'Données projet'!$E$16+1,1))</f>
        <v>385.97853124853452</v>
      </c>
      <c r="FK8" s="62">
        <f t="shared" si="48"/>
        <v>300.99118099739695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</v>
      </c>
      <c r="N9" s="14">
        <f>IF('Données projet'!$A$36&gt;35,N8+M9-V8,IF(A9&lt;'Données projet'!$A$36,$K$205^A9,IF(A9='Données projet'!$A$36,'Données projet'!$B$36,N8+M9-V8)))</f>
        <v>4.7568284600108832</v>
      </c>
      <c r="O9" s="14">
        <f>N9*VLOOKUP('Données projet'!$B$9,Paramètres!$A$1:$I$89,3,0)*VLOOKUP('Données projet'!$B$9,Paramètres!$A$1:$I$89,5,0)</f>
        <v>2.4191326816231347</v>
      </c>
      <c r="P9" s="14">
        <f t="shared" si="33"/>
        <v>1.0058975856886845</v>
      </c>
      <c r="Q9" s="22">
        <f t="shared" si="2"/>
        <v>5.965261048901418</v>
      </c>
      <c r="R9" s="62">
        <f t="shared" si="0"/>
        <v>269.96526104890143</v>
      </c>
      <c r="S9" s="62">
        <f ca="1">AVERAGE(OFFSET($R$3,0,0,'Données projet'!$E$9+1,1))-AVERAGE(OFFSET($H$3,0,0,'Données projet'!$E$9+1,1))</f>
        <v>132.280299502248</v>
      </c>
      <c r="T9" s="62">
        <f t="shared" si="34"/>
        <v>337.98099449405339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2.7766898902321886</v>
      </c>
      <c r="AK9" s="14">
        <f t="shared" si="35"/>
        <v>1.1361949561012803</v>
      </c>
      <c r="AL9" s="22">
        <f t="shared" si="4"/>
        <v>6.8149411073641248</v>
      </c>
      <c r="AM9" s="62">
        <f t="shared" si="5"/>
        <v>270.81494110736412</v>
      </c>
      <c r="AN9" s="62">
        <f ca="1">AVERAGE(OFFSET($AM$3,0,0,'Données projet'!$E$10+1,1))-AVERAGE(OFFSET($H$3,0,0,'Données projet'!$E$10+1,1))</f>
        <v>430.40491895612814</v>
      </c>
      <c r="AO9" s="62">
        <f t="shared" si="36"/>
        <v>231.36959598460686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4.3703703703703702</v>
      </c>
      <c r="BD9" s="13">
        <f>IF('Données projet'!$A$88&gt;35,BD8+BC9-BL8,IF(A9&lt;'Données projet'!$A$88,$BA$205^A9,IF(A9='Données projet'!$A$88,'Données projet'!$B$88,BD8+BC9-BL8)))</f>
        <v>2.8868101516064182</v>
      </c>
      <c r="BE9" s="14">
        <f>BD9*VLOOKUP('Données projet'!$B$11,Paramètres!$A$1:$I$89,3,0)*VLOOKUP('Données projet'!$B$11,Paramètres!$A$1:$I$89,5,0)</f>
        <v>1.7263124706606381</v>
      </c>
      <c r="BF9" s="14">
        <f t="shared" si="37"/>
        <v>0.7465704113359678</v>
      </c>
      <c r="BG9" s="22">
        <f t="shared" si="7"/>
        <v>4.3069376861440878</v>
      </c>
      <c r="BH9" s="62">
        <f t="shared" si="8"/>
        <v>268.30693768614407</v>
      </c>
      <c r="BI9" s="62">
        <f ca="1">AVERAGE(OFFSET($BH$3,0,0,'Données projet'!$E$11+1,1))-AVERAGE(OFFSET($H$3,0,0,'Données projet'!$E$11+1,1))</f>
        <v>295.83974441964551</v>
      </c>
      <c r="BJ9" s="62">
        <f t="shared" si="38"/>
        <v>212.24900914818096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4.2272727272727275</v>
      </c>
      <c r="BY9" s="13">
        <f>IF('Données projet'!$A$114&gt;35,BY8+BX9-CG8,IF(A9&lt;'Données projet'!$A$114,$BV$205^A9,IF(A9='Données projet'!$A$114,'Données projet'!$B$114,BY8+BX9-CG8)))</f>
        <v>3.4423813959108478</v>
      </c>
      <c r="BZ9" s="14">
        <f>BY9*VLOOKUP('Données projet'!$B$12,Paramètres!$A$1:$I$89,3,0)*VLOOKUP('Données projet'!$B$12,Paramètres!$A$1:$I$89,5,0)</f>
        <v>1.9690421584610052</v>
      </c>
      <c r="CA9" s="14">
        <f t="shared" si="39"/>
        <v>0.8386018109335871</v>
      </c>
      <c r="CB9" s="22">
        <f t="shared" si="10"/>
        <v>4.8899799133622475</v>
      </c>
      <c r="CC9" s="62">
        <f t="shared" si="11"/>
        <v>268.88997991336225</v>
      </c>
      <c r="CD9" s="62">
        <f ca="1">AVERAGE(OFFSET($CC$3,0,0,'Données projet'!$E$12+1,1))-AVERAGE(OFFSET($H$3,0,0,'Données projet'!$E$12+1,1))</f>
        <v>309.71642374647882</v>
      </c>
      <c r="CE9" s="62">
        <f t="shared" si="40"/>
        <v>266.63880397664315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2.4666666666666668</v>
      </c>
      <c r="CT9" s="13">
        <f>IF('Données projet'!$A$140&gt;35,CT8+CS9-DB8,IF(A9&lt;'Données projet'!$A$140,$CQ$205^A9,IF(A9='Données projet'!$A$140,'Données projet'!$B$140,CT8+CS9-DB8)))</f>
        <v>4.2391685997738069</v>
      </c>
      <c r="CU9" s="18">
        <f>CT9*VLOOKUP('Données projet'!$B$13,Paramètres!$A$1:$I$89,3,0)*VLOOKUP('Données projet'!$B$13,Paramètres!$A$1:$I$89,5,0)</f>
        <v>3.3726825379800407</v>
      </c>
      <c r="CV9" s="14">
        <f t="shared" si="41"/>
        <v>1.3491840083541735</v>
      </c>
      <c r="CW9" s="22">
        <f t="shared" si="13"/>
        <v>8.2239175681987557</v>
      </c>
      <c r="CX9" s="62">
        <f t="shared" si="14"/>
        <v>272.22391756819877</v>
      </c>
      <c r="CY9" s="62">
        <f ca="1">AVERAGE(OFFSET($CX$3,0,0,'Données projet'!$E$13+1,1))-AVERAGE(OFFSET($H$3,0,0,'Données projet'!$E$13+1,1))</f>
        <v>312.53381881960331</v>
      </c>
      <c r="CZ9" s="62">
        <f t="shared" si="42"/>
        <v>342.06887933351783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2.1</v>
      </c>
      <c r="DO9" s="13">
        <f>IF('Données projet'!$A$166&gt;35,DO8+DN9-DW8,IF(A9&lt;'Données projet'!$A$166,$DL$205^A9,IF(A9='Données projet'!$A$166,'Données projet'!$B$166,DO8+DN9-DW8)))</f>
        <v>3.0688438220956993</v>
      </c>
      <c r="DP9" s="18">
        <f>DO9*VLOOKUP('Données projet'!$B$14,Paramètres!$A$1:$I$89,3,0)*VLOOKUP('Données projet'!$B$14,Paramètres!$A$1:$I$89,5,0)</f>
        <v>3.3033034901038101</v>
      </c>
      <c r="DQ9" s="14">
        <f t="shared" si="43"/>
        <v>1.3246310730107231</v>
      </c>
      <c r="DR9" s="22">
        <f t="shared" si="16"/>
        <v>8.0603193640911446</v>
      </c>
      <c r="DS9" s="62">
        <f t="shared" si="17"/>
        <v>272.06031936409113</v>
      </c>
      <c r="DT9" s="62">
        <f ca="1">AVERAGE(OFFSET($DS$3,0,0,'Données projet'!$E$14+1,1))-AVERAGE(OFFSET($H$3,0,0,'Données projet'!$E$14+1,1))</f>
        <v>503.92230226365683</v>
      </c>
      <c r="DU9" s="62">
        <f t="shared" si="44"/>
        <v>267.2998309535638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2.1</v>
      </c>
      <c r="EJ9" s="13">
        <f>IF('Données projet'!$A$192&gt;35,EJ8+EI9-ER8,IF(A9&lt;'Données projet'!$A$192,$EG$205^A9,IF(A9='Données projet'!$A$192,'Données projet'!$B$192,EJ8+EI9-ER8)))</f>
        <v>3.0688438220956993</v>
      </c>
      <c r="EK9" s="18">
        <f>EJ9*VLOOKUP('Données projet'!$B$15,Paramètres!$A$1:$I$89,3,0)*VLOOKUP('Données projet'!$B$15,Paramètres!$A$1:$I$89,5,0)</f>
        <v>2.9681857447309605</v>
      </c>
      <c r="EL9" s="14">
        <f t="shared" si="45"/>
        <v>1.2051613041728233</v>
      </c>
      <c r="EM9" s="22">
        <f t="shared" si="19"/>
        <v>7.2685794435074236</v>
      </c>
      <c r="EN9" s="62">
        <f t="shared" si="20"/>
        <v>271.26857944350741</v>
      </c>
      <c r="EO9" s="62">
        <f ca="1">AVERAGE(OFFSET($EN$3,0,0,'Données projet'!$E$15+1,1))-AVERAGE(OFFSET($H$3,0,0,'Données projet'!$E$15+1,1))</f>
        <v>457.16923206840744</v>
      </c>
      <c r="EP9" s="62">
        <f t="shared" si="46"/>
        <v>244.45149244446094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3.2666666666666666</v>
      </c>
      <c r="FE9" s="13">
        <f>IF('Données projet'!$A$218&gt;35,FE8+FD9-FM8,IF(A9&lt;'Données projet'!$A$218,$FB$205^A9,IF(A9='Données projet'!$A$218,'Données projet'!$B$218,FE8+FD9-FM8)))</f>
        <v>4.7432763938033657</v>
      </c>
      <c r="FF9" s="18">
        <f>FE9*VLOOKUP('Données projet'!$B$16,Paramètres!$A$1:$I$89,3,0)*VLOOKUP('Données projet'!$B$16,Paramètres!$A$1:$I$89,5,0)</f>
        <v>3.1817898049632976</v>
      </c>
      <c r="FG9" s="14">
        <f t="shared" si="47"/>
        <v>1.2814822345561334</v>
      </c>
      <c r="FH9" s="22">
        <f t="shared" si="22"/>
        <v>7.7735321354963425</v>
      </c>
      <c r="FI9" s="62">
        <f t="shared" si="23"/>
        <v>271.77353213549634</v>
      </c>
      <c r="FJ9" s="62">
        <f ca="1">AVERAGE(OFFSET($FI$3,0,0,'Données projet'!$E$16+1,1))-AVERAGE(OFFSET($H$3,0,0,'Données projet'!$E$16+1,1))</f>
        <v>385.97853124853452</v>
      </c>
      <c r="FK9" s="62">
        <f t="shared" si="48"/>
        <v>300.99118099739695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</v>
      </c>
      <c r="N10" s="14">
        <f>IF('Données projet'!$A$36&gt;35,N9+M10-V9,IF(A10&lt;'Données projet'!$A$36,$K$205^A10,IF(A10='Données projet'!$A$36,'Données projet'!$B$36,N9+M10-V9)))</f>
        <v>6.168843301631763</v>
      </c>
      <c r="O10" s="14">
        <f>N10*VLOOKUP('Données projet'!$B$9,Paramètres!$A$1:$I$89,3,0)*VLOOKUP('Données projet'!$B$9,Paramètres!$A$1:$I$89,5,0)</f>
        <v>3.1372269494778497</v>
      </c>
      <c r="P10" s="14">
        <f t="shared" si="33"/>
        <v>1.2656104580151082</v>
      </c>
      <c r="Q10" s="22">
        <f t="shared" si="2"/>
        <v>7.6682751513835692</v>
      </c>
      <c r="R10" s="62">
        <f t="shared" si="0"/>
        <v>272.8904973736058</v>
      </c>
      <c r="S10" s="62">
        <f ca="1">AVERAGE(OFFSET($R$3,0,0,'Données projet'!$E$9+1,1))-AVERAGE(OFFSET($H$3,0,0,'Données projet'!$E$9+1,1))</f>
        <v>132.280299502248</v>
      </c>
      <c r="T10" s="62">
        <f t="shared" si="34"/>
        <v>337.98099449405339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3.3472630510321921</v>
      </c>
      <c r="AK10" s="14">
        <f t="shared" si="35"/>
        <v>1.34019505338418</v>
      </c>
      <c r="AL10" s="22">
        <f t="shared" si="4"/>
        <v>8.1639895318585136</v>
      </c>
      <c r="AM10" s="62">
        <f t="shared" si="5"/>
        <v>273.38621175408076</v>
      </c>
      <c r="AN10" s="62">
        <f ca="1">AVERAGE(OFFSET($AM$3,0,0,'Données projet'!$E$10+1,1))-AVERAGE(OFFSET($H$3,0,0,'Données projet'!$E$10+1,1))</f>
        <v>430.40491895612814</v>
      </c>
      <c r="AO10" s="62">
        <f t="shared" si="36"/>
        <v>231.36959598460686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4.3703703703703702</v>
      </c>
      <c r="BD10" s="13">
        <f>IF('Données projet'!$A$88&gt;35,BD9+BC10-BL9,IF(A10&lt;'Données projet'!$A$88,$BA$205^A10,IF(A10='Données projet'!$A$88,'Données projet'!$B$88,BD9+BC10-BL9)))</f>
        <v>3.4447252978091596</v>
      </c>
      <c r="BE10" s="14">
        <f>BD10*VLOOKUP('Données projet'!$B$11,Paramètres!$A$1:$I$89,3,0)*VLOOKUP('Données projet'!$B$11,Paramètres!$A$1:$I$89,5,0)</f>
        <v>2.0599457280898776</v>
      </c>
      <c r="BF10" s="14">
        <f t="shared" si="37"/>
        <v>0.87272020493939328</v>
      </c>
      <c r="BG10" s="22">
        <f t="shared" si="7"/>
        <v>5.1077265000259793</v>
      </c>
      <c r="BH10" s="62">
        <f t="shared" si="8"/>
        <v>270.32994872224822</v>
      </c>
      <c r="BI10" s="62">
        <f ca="1">AVERAGE(OFFSET($BH$3,0,0,'Données projet'!$E$11+1,1))-AVERAGE(OFFSET($H$3,0,0,'Données projet'!$E$11+1,1))</f>
        <v>295.83974441964551</v>
      </c>
      <c r="BJ10" s="62">
        <f t="shared" si="38"/>
        <v>212.24900914818096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4.2272727272727275</v>
      </c>
      <c r="BY10" s="13">
        <f>IF('Données projet'!$A$114&gt;35,BY9+BX10-CG9,IF(A10&lt;'Données projet'!$A$114,$BV$205^A10,IF(A10='Données projet'!$A$114,'Données projet'!$B$114,BY9+BX10-CG9)))</f>
        <v>4.2299524329162264</v>
      </c>
      <c r="BZ10" s="14">
        <f>BY10*VLOOKUP('Données projet'!$B$12,Paramètres!$A$1:$I$89,3,0)*VLOOKUP('Données projet'!$B$12,Paramètres!$A$1:$I$89,5,0)</f>
        <v>2.4195327916280815</v>
      </c>
      <c r="CA10" s="14">
        <f t="shared" si="39"/>
        <v>1.0060445882884268</v>
      </c>
      <c r="CB10" s="22">
        <f t="shared" si="10"/>
        <v>5.966213936687919</v>
      </c>
      <c r="CC10" s="62">
        <f t="shared" si="11"/>
        <v>271.18843615891012</v>
      </c>
      <c r="CD10" s="62">
        <f ca="1">AVERAGE(OFFSET($CC$3,0,0,'Données projet'!$E$12+1,1))-AVERAGE(OFFSET($H$3,0,0,'Données projet'!$E$12+1,1))</f>
        <v>309.71642374647882</v>
      </c>
      <c r="CE10" s="62">
        <f t="shared" si="40"/>
        <v>266.63880397664315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2.4666666666666668</v>
      </c>
      <c r="CT10" s="13">
        <f>IF('Données projet'!$A$140&gt;35,CT9+CS10-DB9,IF(A10&lt;'Données projet'!$A$140,$CQ$205^A10,IF(A10='Données projet'!$A$140,'Données projet'!$B$140,CT9+CS10-DB9)))</f>
        <v>5.3929633792034757</v>
      </c>
      <c r="CU10" s="18">
        <f>CT10*VLOOKUP('Données projet'!$B$13,Paramètres!$A$1:$I$89,3,0)*VLOOKUP('Données projet'!$B$13,Paramètres!$A$1:$I$89,5,0)</f>
        <v>4.2906416644942853</v>
      </c>
      <c r="CV10" s="14">
        <f t="shared" si="41"/>
        <v>1.6689707336887791</v>
      </c>
      <c r="CW10" s="22">
        <f t="shared" si="13"/>
        <v>10.379658260168837</v>
      </c>
      <c r="CX10" s="62">
        <f t="shared" si="14"/>
        <v>275.60188048239104</v>
      </c>
      <c r="CY10" s="62">
        <f ca="1">AVERAGE(OFFSET($CX$3,0,0,'Données projet'!$E$13+1,1))-AVERAGE(OFFSET($H$3,0,0,'Données projet'!$E$13+1,1))</f>
        <v>312.53381881960331</v>
      </c>
      <c r="CZ10" s="62">
        <f t="shared" si="42"/>
        <v>342.06887933351783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2.1</v>
      </c>
      <c r="DO10" s="13">
        <f>IF('Données projet'!$A$166&gt;35,DO9+DN10-DW9,IF(A10&lt;'Données projet'!$A$166,$DL$205^A10,IF(A10='Données projet'!$A$166,'Données projet'!$B$166,DO9+DN10-DW9)))</f>
        <v>3.6994507637402658</v>
      </c>
      <c r="DP10" s="18">
        <f>DO10*VLOOKUP('Données projet'!$B$14,Paramètres!$A$1:$I$89,3,0)*VLOOKUP('Données projet'!$B$14,Paramètres!$A$1:$I$89,5,0)</f>
        <v>3.982088802090022</v>
      </c>
      <c r="DQ10" s="14">
        <f t="shared" si="43"/>
        <v>1.5624642602705792</v>
      </c>
      <c r="DR10" s="22">
        <f t="shared" si="16"/>
        <v>9.6567632502780452</v>
      </c>
      <c r="DS10" s="62">
        <f t="shared" si="17"/>
        <v>274.87898547250029</v>
      </c>
      <c r="DT10" s="62">
        <f ca="1">AVERAGE(OFFSET($DS$3,0,0,'Données projet'!$E$14+1,1))-AVERAGE(OFFSET($H$3,0,0,'Données projet'!$E$14+1,1))</f>
        <v>503.92230226365683</v>
      </c>
      <c r="DU10" s="62">
        <f t="shared" si="44"/>
        <v>267.2998309535638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2.1</v>
      </c>
      <c r="EJ10" s="13">
        <f>IF('Données projet'!$A$192&gt;35,EJ9+EI10-ER9,IF(A10&lt;'Données projet'!$A$192,$EG$205^A10,IF(A10='Données projet'!$A$192,'Données projet'!$B$192,EJ9+EI10-ER9)))</f>
        <v>3.6994507637402658</v>
      </c>
      <c r="EK10" s="18">
        <f>EJ10*VLOOKUP('Données projet'!$B$15,Paramètres!$A$1:$I$89,3,0)*VLOOKUP('Données projet'!$B$15,Paramètres!$A$1:$I$89,5,0)</f>
        <v>3.5781087786895851</v>
      </c>
      <c r="EL10" s="14">
        <f t="shared" si="45"/>
        <v>1.4215440842341414</v>
      </c>
      <c r="EM10" s="22">
        <f t="shared" si="19"/>
        <v>8.707728736258824</v>
      </c>
      <c r="EN10" s="62">
        <f t="shared" si="20"/>
        <v>273.92995095848107</v>
      </c>
      <c r="EO10" s="62">
        <f ca="1">AVERAGE(OFFSET($EN$3,0,0,'Données projet'!$E$15+1,1))-AVERAGE(OFFSET($H$3,0,0,'Données projet'!$E$15+1,1))</f>
        <v>457.16923206840744</v>
      </c>
      <c r="EP10" s="62">
        <f t="shared" si="46"/>
        <v>244.45149244446094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3.2666666666666666</v>
      </c>
      <c r="FE10" s="13">
        <f>IF('Données projet'!$A$218&gt;35,FE9+FD10-FM9,IF(A10&lt;'Données projet'!$A$218,$FB$205^A10,IF(A10='Données projet'!$A$218,'Données projet'!$B$218,FE9+FD10-FM9)))</f>
        <v>6.1483441753411281</v>
      </c>
      <c r="FF10" s="18">
        <f>FE10*VLOOKUP('Données projet'!$B$16,Paramètres!$A$1:$I$89,3,0)*VLOOKUP('Données projet'!$B$16,Paramètres!$A$1:$I$89,5,0)</f>
        <v>4.1243092728188291</v>
      </c>
      <c r="FG10" s="14">
        <f t="shared" si="47"/>
        <v>1.6116710576726798</v>
      </c>
      <c r="FH10" s="22">
        <f t="shared" si="22"/>
        <v>9.9901657422727119</v>
      </c>
      <c r="FI10" s="62">
        <f t="shared" si="23"/>
        <v>275.21238796449495</v>
      </c>
      <c r="FJ10" s="62">
        <f ca="1">AVERAGE(OFFSET($FI$3,0,0,'Données projet'!$E$16+1,1))-AVERAGE(OFFSET($H$3,0,0,'Données projet'!$E$16+1,1))</f>
        <v>385.97853124853452</v>
      </c>
      <c r="FK10" s="62">
        <f t="shared" si="48"/>
        <v>300.99118099739695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>
        <f>VLOOKUP(A11,'Données projet'!$A$35:$I$55,2,0)</f>
        <v>8</v>
      </c>
      <c r="L11" s="13">
        <f>VLOOKUP(A11,'Données projet'!$A$35:$I$55,9,0)</f>
        <v>1</v>
      </c>
      <c r="M11" s="13">
        <f t="array" ref="M11">INDEX(L:L,MIN(IF(ISNUMBER(L11:L207),ROW(L11:L207),"")))</f>
        <v>1</v>
      </c>
      <c r="N11" s="14">
        <f>IF('Données projet'!$A$36&gt;35,N10+M11-V10,IF(A11&lt;'Données projet'!$A$36,$K$205^A11,IF(A11='Données projet'!$A$36,'Données projet'!$B$36,N10+M11-V10)))</f>
        <v>8</v>
      </c>
      <c r="O11" s="14">
        <f>N11*VLOOKUP('Données projet'!$B$9,Paramètres!$A$1:$I$89,3,0)*VLOOKUP('Données projet'!$B$9,Paramètres!$A$1:$I$89,5,0)</f>
        <v>4.0684800000000001</v>
      </c>
      <c r="P11" s="14">
        <f t="shared" si="33"/>
        <v>1.5923786419474943</v>
      </c>
      <c r="Q11" s="22">
        <f t="shared" si="2"/>
        <v>9.8593288013918841</v>
      </c>
      <c r="R11" s="62">
        <f t="shared" si="0"/>
        <v>276.30377324583634</v>
      </c>
      <c r="S11" s="62">
        <f ca="1">AVERAGE(OFFSET($R$3,0,0,'Données projet'!$E$9+1,1))-AVERAGE(OFFSET($H$3,0,0,'Données projet'!$E$9+1,1))</f>
        <v>132.280299502248</v>
      </c>
      <c r="T11" s="62">
        <f t="shared" si="34"/>
        <v>337.98099449405339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4.0350814731667564</v>
      </c>
      <c r="AK11" s="14">
        <f t="shared" si="35"/>
        <v>1.5808227025391921</v>
      </c>
      <c r="AL11" s="22">
        <f t="shared" si="4"/>
        <v>9.7810331060211926</v>
      </c>
      <c r="AM11" s="62">
        <f t="shared" si="5"/>
        <v>276.22547755046565</v>
      </c>
      <c r="AN11" s="62">
        <f ca="1">AVERAGE(OFFSET($AM$3,0,0,'Données projet'!$E$10+1,1))-AVERAGE(OFFSET($H$3,0,0,'Données projet'!$E$10+1,1))</f>
        <v>430.40491895612814</v>
      </c>
      <c r="AO11" s="62">
        <f t="shared" si="36"/>
        <v>231.36959598460686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4.3703703703703702</v>
      </c>
      <c r="BD11" s="13">
        <f>IF('Données projet'!$A$88&gt;35,BD10+BC11-BL10,IF(A11&lt;'Données projet'!$A$88,$BA$205^A11,IF(A11='Données projet'!$A$88,'Données projet'!$B$88,BD10+BC11-BL10)))</f>
        <v>4.110465099605972</v>
      </c>
      <c r="BE11" s="14">
        <f>BD11*VLOOKUP('Données projet'!$B$11,Paramètres!$A$1:$I$89,3,0)*VLOOKUP('Données projet'!$B$11,Paramètres!$A$1:$I$89,5,0)</f>
        <v>2.4580581295643715</v>
      </c>
      <c r="BF11" s="14">
        <f t="shared" si="37"/>
        <v>1.0201858318313493</v>
      </c>
      <c r="BG11" s="22">
        <f t="shared" si="7"/>
        <v>6.0579415660975471</v>
      </c>
      <c r="BH11" s="62">
        <f t="shared" si="8"/>
        <v>272.50238601054201</v>
      </c>
      <c r="BI11" s="62">
        <f ca="1">AVERAGE(OFFSET($BH$3,0,0,'Données projet'!$E$11+1,1))-AVERAGE(OFFSET($H$3,0,0,'Données projet'!$E$11+1,1))</f>
        <v>295.83974441964551</v>
      </c>
      <c r="BJ11" s="62">
        <f t="shared" si="38"/>
        <v>212.24900914818096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4.2272727272727275</v>
      </c>
      <c r="BY11" s="13">
        <f>IF('Données projet'!$A$114&gt;35,BY10+BX11-CG10,IF(A11&lt;'Données projet'!$A$114,$BV$205^A11,IF(A11='Données projet'!$A$114,'Données projet'!$B$114,BY10+BX11-CG10)))</f>
        <v>5.1977092387229744</v>
      </c>
      <c r="BZ11" s="14">
        <f>BY11*VLOOKUP('Données projet'!$B$12,Paramètres!$A$1:$I$89,3,0)*VLOOKUP('Données projet'!$B$12,Paramètres!$A$1:$I$89,5,0)</f>
        <v>2.9730896845495414</v>
      </c>
      <c r="CA11" s="14">
        <f t="shared" si="39"/>
        <v>1.206920496030965</v>
      </c>
      <c r="CB11" s="22">
        <f t="shared" si="10"/>
        <v>7.2801843978443808</v>
      </c>
      <c r="CC11" s="62">
        <f t="shared" si="11"/>
        <v>273.72462884228884</v>
      </c>
      <c r="CD11" s="62">
        <f ca="1">AVERAGE(OFFSET($CC$3,0,0,'Données projet'!$E$12+1,1))-AVERAGE(OFFSET($H$3,0,0,'Données projet'!$E$12+1,1))</f>
        <v>309.71642374647882</v>
      </c>
      <c r="CE11" s="62">
        <f t="shared" si="40"/>
        <v>266.63880397664315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2.4666666666666668</v>
      </c>
      <c r="CT11" s="13">
        <f>IF('Données projet'!$A$140&gt;35,CT10+CS11-DB10,IF(A11&lt;'Données projet'!$A$140,$CQ$205^A11,IF(A11='Données projet'!$A$140,'Données projet'!$B$140,CT10+CS11-DB10)))</f>
        <v>6.8607919984549888</v>
      </c>
      <c r="CU11" s="18">
        <f>CT11*VLOOKUP('Données projet'!$B$13,Paramètres!$A$1:$I$89,3,0)*VLOOKUP('Données projet'!$B$13,Paramètres!$A$1:$I$89,5,0)</f>
        <v>5.4584461139707896</v>
      </c>
      <c r="CV11" s="14">
        <f t="shared" si="41"/>
        <v>2.0645540509389519</v>
      </c>
      <c r="CW11" s="22">
        <f t="shared" si="13"/>
        <v>13.102558620551131</v>
      </c>
      <c r="CX11" s="62">
        <f t="shared" si="14"/>
        <v>279.54700306499558</v>
      </c>
      <c r="CY11" s="62">
        <f ca="1">AVERAGE(OFFSET($CX$3,0,0,'Données projet'!$E$13+1,1))-AVERAGE(OFFSET($H$3,0,0,'Données projet'!$E$13+1,1))</f>
        <v>312.53381881960331</v>
      </c>
      <c r="CZ11" s="62">
        <f t="shared" si="42"/>
        <v>342.06887933351783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2.1</v>
      </c>
      <c r="DO11" s="13">
        <f>IF('Données projet'!$A$166&gt;35,DO10+DN11-DW10,IF(A11&lt;'Données projet'!$A$166,$DL$205^A11,IF(A11='Données projet'!$A$166,'Données projet'!$B$166,DO10+DN11-DW10)))</f>
        <v>4.4596391171162209</v>
      </c>
      <c r="DP11" s="18">
        <f>DO11*VLOOKUP('Données projet'!$B$14,Paramètres!$A$1:$I$89,3,0)*VLOOKUP('Données projet'!$B$14,Paramètres!$A$1:$I$89,5,0)</f>
        <v>4.8003555456638995</v>
      </c>
      <c r="DQ11" s="14">
        <f t="shared" si="43"/>
        <v>1.8429996203200378</v>
      </c>
      <c r="DR11" s="22">
        <f t="shared" si="16"/>
        <v>11.570510247422023</v>
      </c>
      <c r="DS11" s="62">
        <f t="shared" si="17"/>
        <v>278.01495469186648</v>
      </c>
      <c r="DT11" s="62">
        <f ca="1">AVERAGE(OFFSET($DS$3,0,0,'Données projet'!$E$14+1,1))-AVERAGE(OFFSET($H$3,0,0,'Données projet'!$E$14+1,1))</f>
        <v>503.92230226365683</v>
      </c>
      <c r="DU11" s="62">
        <f t="shared" si="44"/>
        <v>267.2998309535638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2.1</v>
      </c>
      <c r="EJ11" s="13">
        <f>IF('Données projet'!$A$192&gt;35,EJ10+EI11-ER10,IF(A11&lt;'Données projet'!$A$192,$EG$205^A11,IF(A11='Données projet'!$A$192,'Données projet'!$B$192,EJ10+EI11-ER10)))</f>
        <v>4.4596391171162209</v>
      </c>
      <c r="EK11" s="18">
        <f>EJ11*VLOOKUP('Données projet'!$B$15,Paramètres!$A$1:$I$89,3,0)*VLOOKUP('Données projet'!$B$15,Paramètres!$A$1:$I$89,5,0)</f>
        <v>4.3133629540748091</v>
      </c>
      <c r="EL11" s="14">
        <f t="shared" si="45"/>
        <v>1.6767776864592203</v>
      </c>
      <c r="EM11" s="22">
        <f t="shared" si="19"/>
        <v>10.432828282263435</v>
      </c>
      <c r="EN11" s="62">
        <f t="shared" si="20"/>
        <v>276.87727272670787</v>
      </c>
      <c r="EO11" s="62">
        <f ca="1">AVERAGE(OFFSET($EN$3,0,0,'Données projet'!$E$15+1,1))-AVERAGE(OFFSET($H$3,0,0,'Données projet'!$E$15+1,1))</f>
        <v>457.16923206840744</v>
      </c>
      <c r="EP11" s="62">
        <f t="shared" si="46"/>
        <v>244.45149244446094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3.2666666666666666</v>
      </c>
      <c r="FE11" s="13">
        <f>IF('Données projet'!$A$218&gt;35,FE10+FD11-FM10,IF(A11&lt;'Données projet'!$A$218,$FB$205^A11,IF(A11='Données projet'!$A$218,'Données projet'!$B$218,FE10+FD11-FM10)))</f>
        <v>7.9696254150055488</v>
      </c>
      <c r="FF11" s="18">
        <f>FE11*VLOOKUP('Données projet'!$B$16,Paramètres!$A$1:$I$89,3,0)*VLOOKUP('Données projet'!$B$16,Paramètres!$A$1:$I$89,5,0)</f>
        <v>5.3460247283857223</v>
      </c>
      <c r="FG11" s="14">
        <f t="shared" si="47"/>
        <v>2.0269368767640099</v>
      </c>
      <c r="FH11" s="22">
        <f t="shared" si="22"/>
        <v>12.841241462302449</v>
      </c>
      <c r="FI11" s="62">
        <f t="shared" si="23"/>
        <v>279.28568590674689</v>
      </c>
      <c r="FJ11" s="62">
        <f ca="1">AVERAGE(OFFSET($FI$3,0,0,'Données projet'!$E$16+1,1))-AVERAGE(OFFSET($H$3,0,0,'Données projet'!$E$16+1,1))</f>
        <v>385.97853124853452</v>
      </c>
      <c r="FK11" s="62">
        <f t="shared" si="48"/>
        <v>300.99118099739695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>
        <f>VLOOKUP(A12,'Données projet'!$A$35:$I$55,2,0)</f>
        <v>29</v>
      </c>
      <c r="L12" s="13">
        <f>VLOOKUP(A12,'Données projet'!$A$35:$I$55,9,0)</f>
        <v>21</v>
      </c>
      <c r="M12" s="13">
        <f t="array" ref="M12">INDEX(L:L,MIN(IF(ISNUMBER(L12:L208),ROW(L12:L208),"")))</f>
        <v>21</v>
      </c>
      <c r="N12" s="14">
        <f>IF('Données projet'!$A$36&gt;35,N11+M12-V11,IF(A12&lt;'Données projet'!$A$36,$K$205^A12,IF(A12='Données projet'!$A$36,'Données projet'!$B$36,N11+M12-V11)))</f>
        <v>29</v>
      </c>
      <c r="O12" s="14">
        <f>N12*VLOOKUP('Données projet'!$B$9,Paramètres!$A$1:$I$89,3,0)*VLOOKUP('Données projet'!$B$9,Paramètres!$A$1:$I$89,5,0)</f>
        <v>14.748240000000001</v>
      </c>
      <c r="P12" s="14">
        <f t="shared" si="33"/>
        <v>4.9687929763413896</v>
      </c>
      <c r="Q12" s="22">
        <f t="shared" si="2"/>
        <v>34.340499100461251</v>
      </c>
      <c r="R12" s="62">
        <f t="shared" si="0"/>
        <v>302.00716576712796</v>
      </c>
      <c r="S12" s="62">
        <f ca="1">AVERAGE(OFFSET($R$3,0,0,'Données projet'!$E$9+1,1))-AVERAGE(OFFSET($H$3,0,0,'Données projet'!$E$9+1,1))</f>
        <v>132.280299502248</v>
      </c>
      <c r="T12" s="62">
        <f t="shared" si="34"/>
        <v>337.98099449405339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4.8642375119197085</v>
      </c>
      <c r="AK12" s="14">
        <f t="shared" si="35"/>
        <v>1.8646542609995393</v>
      </c>
      <c r="AL12" s="22">
        <f t="shared" si="4"/>
        <v>11.719486504501022</v>
      </c>
      <c r="AM12" s="62">
        <f t="shared" si="5"/>
        <v>279.38615317116773</v>
      </c>
      <c r="AN12" s="62">
        <f ca="1">AVERAGE(OFFSET($AM$3,0,0,'Données projet'!$E$10+1,1))-AVERAGE(OFFSET($H$3,0,0,'Données projet'!$E$10+1,1))</f>
        <v>430.40491895612814</v>
      </c>
      <c r="AO12" s="62">
        <f t="shared" si="36"/>
        <v>231.36959598460686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4.3703703703703702</v>
      </c>
      <c r="BD12" s="13">
        <f>IF('Données projet'!$A$88&gt;35,BD11+BC12-BL11,IF(A12&lt;'Données projet'!$A$88,$BA$205^A12,IF(A12='Données projet'!$A$88,'Données projet'!$B$88,BD11+BC12-BL11)))</f>
        <v>4.9048681315240179</v>
      </c>
      <c r="BE12" s="14">
        <f>BD12*VLOOKUP('Données projet'!$B$11,Paramètres!$A$1:$I$89,3,0)*VLOOKUP('Données projet'!$B$11,Paramètres!$A$1:$I$89,5,0)</f>
        <v>2.9331111426513625</v>
      </c>
      <c r="BF12" s="14">
        <f t="shared" si="37"/>
        <v>1.192569079504352</v>
      </c>
      <c r="BG12" s="22">
        <f t="shared" si="7"/>
        <v>7.1855597202545356</v>
      </c>
      <c r="BH12" s="62">
        <f t="shared" si="8"/>
        <v>274.85222638692125</v>
      </c>
      <c r="BI12" s="62">
        <f ca="1">AVERAGE(OFFSET($BH$3,0,0,'Données projet'!$E$11+1,1))-AVERAGE(OFFSET($H$3,0,0,'Données projet'!$E$11+1,1))</f>
        <v>295.83974441964551</v>
      </c>
      <c r="BJ12" s="62">
        <f t="shared" si="38"/>
        <v>212.24900914818096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4.2272727272727275</v>
      </c>
      <c r="BY12" s="13">
        <f>IF('Données projet'!$A$114&gt;35,BY11+BX12-CG11,IF(A12&lt;'Données projet'!$A$114,$BV$205^A12,IF(A12='Données projet'!$A$114,'Données projet'!$B$114,BY11+BX12-CG11)))</f>
        <v>6.3868759185267212</v>
      </c>
      <c r="BZ12" s="14">
        <f>BY12*VLOOKUP('Données projet'!$B$12,Paramètres!$A$1:$I$89,3,0)*VLOOKUP('Données projet'!$B$12,Paramètres!$A$1:$I$89,5,0)</f>
        <v>3.6532930253972848</v>
      </c>
      <c r="CA12" s="14">
        <f t="shared" si="39"/>
        <v>1.4479050935682942</v>
      </c>
      <c r="CB12" s="22">
        <f t="shared" si="10"/>
        <v>8.8845867238650502</v>
      </c>
      <c r="CC12" s="62">
        <f t="shared" si="11"/>
        <v>276.55125339053171</v>
      </c>
      <c r="CD12" s="62">
        <f ca="1">AVERAGE(OFFSET($CC$3,0,0,'Données projet'!$E$12+1,1))-AVERAGE(OFFSET($H$3,0,0,'Données projet'!$E$12+1,1))</f>
        <v>309.71642374647882</v>
      </c>
      <c r="CE12" s="62">
        <f t="shared" si="40"/>
        <v>266.63880397664315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2.4666666666666668</v>
      </c>
      <c r="CT12" s="13">
        <f>IF('Données projet'!$A$140&gt;35,CT11+CS12-DB11,IF(A12&lt;'Données projet'!$A$140,$CQ$205^A12,IF(A12='Données projet'!$A$140,'Données projet'!$B$140,CT11+CS12-DB11)))</f>
        <v>8.7281265486761299</v>
      </c>
      <c r="CU12" s="18">
        <f>CT12*VLOOKUP('Données projet'!$B$13,Paramètres!$A$1:$I$89,3,0)*VLOOKUP('Données projet'!$B$13,Paramètres!$A$1:$I$89,5,0)</f>
        <v>6.9440974821267289</v>
      </c>
      <c r="CV12" s="14">
        <f t="shared" si="41"/>
        <v>2.5538994442566798</v>
      </c>
      <c r="CW12" s="22">
        <f t="shared" si="13"/>
        <v>16.542344646784436</v>
      </c>
      <c r="CX12" s="62">
        <f t="shared" si="14"/>
        <v>284.20901131345113</v>
      </c>
      <c r="CY12" s="62">
        <f ca="1">AVERAGE(OFFSET($CX$3,0,0,'Données projet'!$E$13+1,1))-AVERAGE(OFFSET($H$3,0,0,'Données projet'!$E$13+1,1))</f>
        <v>312.53381881960331</v>
      </c>
      <c r="CZ12" s="62">
        <f t="shared" si="42"/>
        <v>342.06887933351783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2.1</v>
      </c>
      <c r="DO12" s="13">
        <f>IF('Données projet'!$A$166&gt;35,DO11+DN12-DW11,IF(A12&lt;'Données projet'!$A$166,$DL$205^A12,IF(A12='Données projet'!$A$166,'Données projet'!$B$166,DO11+DN12-DW11)))</f>
        <v>5.3760361537574148</v>
      </c>
      <c r="DP12" s="18">
        <f>DO12*VLOOKUP('Données projet'!$B$14,Paramètres!$A$1:$I$89,3,0)*VLOOKUP('Données projet'!$B$14,Paramètres!$A$1:$I$89,5,0)</f>
        <v>5.7867653159044812</v>
      </c>
      <c r="DQ12" s="14">
        <f t="shared" si="43"/>
        <v>2.1739041889582755</v>
      </c>
      <c r="DR12" s="22">
        <f t="shared" si="16"/>
        <v>13.864832720969302</v>
      </c>
      <c r="DS12" s="62">
        <f t="shared" si="17"/>
        <v>281.53149938763596</v>
      </c>
      <c r="DT12" s="62">
        <f ca="1">AVERAGE(OFFSET($DS$3,0,0,'Données projet'!$E$14+1,1))-AVERAGE(OFFSET($H$3,0,0,'Données projet'!$E$14+1,1))</f>
        <v>503.92230226365683</v>
      </c>
      <c r="DU12" s="62">
        <f t="shared" si="44"/>
        <v>267.2998309535638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2.1</v>
      </c>
      <c r="EJ12" s="13">
        <f>IF('Données projet'!$A$192&gt;35,EJ11+EI12-ER11,IF(A12&lt;'Données projet'!$A$192,$EG$205^A12,IF(A12='Données projet'!$A$192,'Données projet'!$B$192,EJ11+EI12-ER11)))</f>
        <v>5.3760361537574148</v>
      </c>
      <c r="EK12" s="18">
        <f>EJ12*VLOOKUP('Données projet'!$B$15,Paramètres!$A$1:$I$89,3,0)*VLOOKUP('Données projet'!$B$15,Paramètres!$A$1:$I$89,5,0)</f>
        <v>5.1997021679141717</v>
      </c>
      <c r="EL12" s="14">
        <f t="shared" si="45"/>
        <v>1.977837649208241</v>
      </c>
      <c r="EM12" s="22">
        <f t="shared" si="19"/>
        <v>12.500881848154869</v>
      </c>
      <c r="EN12" s="62">
        <f t="shared" si="20"/>
        <v>280.16754851482153</v>
      </c>
      <c r="EO12" s="62">
        <f ca="1">AVERAGE(OFFSET($EN$3,0,0,'Données projet'!$E$15+1,1))-AVERAGE(OFFSET($H$3,0,0,'Données projet'!$E$15+1,1))</f>
        <v>457.16923206840744</v>
      </c>
      <c r="EP12" s="62">
        <f t="shared" si="46"/>
        <v>244.45149244446094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3.2666666666666666</v>
      </c>
      <c r="FE12" s="13">
        <f>IF('Données projet'!$A$218&gt;35,FE11+FD12-FM11,IF(A12&lt;'Données projet'!$A$218,$FB$205^A12,IF(A12='Données projet'!$A$218,'Données projet'!$B$218,FE11+FD12-FM11)))</f>
        <v>10.330412131161863</v>
      </c>
      <c r="FF12" s="18">
        <f>FE12*VLOOKUP('Données projet'!$B$16,Paramètres!$A$1:$I$89,3,0)*VLOOKUP('Données projet'!$B$16,Paramètres!$A$1:$I$89,5,0)</f>
        <v>6.9296404575833774</v>
      </c>
      <c r="FG12" s="14">
        <f t="shared" si="47"/>
        <v>2.5492007707321154</v>
      </c>
      <c r="FH12" s="22">
        <f t="shared" si="22"/>
        <v>16.508981805982817</v>
      </c>
      <c r="FI12" s="62">
        <f t="shared" si="23"/>
        <v>284.17564847264953</v>
      </c>
      <c r="FJ12" s="62">
        <f ca="1">AVERAGE(OFFSET($FI$3,0,0,'Données projet'!$E$16+1,1))-AVERAGE(OFFSET($H$3,0,0,'Données projet'!$E$16+1,1))</f>
        <v>385.97853124853452</v>
      </c>
      <c r="FK12" s="62">
        <f t="shared" si="48"/>
        <v>300.99118099739695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52</v>
      </c>
      <c r="L13" s="13">
        <f>VLOOKUP(A13,'Données projet'!$A$35:$I$55,9,0)</f>
        <v>23</v>
      </c>
      <c r="M13" s="13">
        <f t="array" ref="M13">INDEX(L:L,MIN(IF(ISNUMBER(L13:L209),ROW(L13:L209),"")))</f>
        <v>23</v>
      </c>
      <c r="N13" s="14">
        <f>IF('Données projet'!$A$36&gt;35,N12+M13-V12,IF(A13&lt;'Données projet'!$A$36,$K$205^A13,IF(A13='Données projet'!$A$36,'Données projet'!$B$36,N12+M13-V12)))</f>
        <v>52</v>
      </c>
      <c r="O13" s="14">
        <f>N13*VLOOKUP('Données projet'!$B$9,Paramètres!$A$1:$I$89,3,0)*VLOOKUP('Données projet'!$B$9,Paramètres!$A$1:$I$89,5,0)</f>
        <v>26.445120000000003</v>
      </c>
      <c r="P13" s="14">
        <f t="shared" si="33"/>
        <v>8.3240865246071554</v>
      </c>
      <c r="Q13" s="22">
        <f t="shared" si="2"/>
        <v>60.556368030357454</v>
      </c>
      <c r="R13" s="62">
        <f t="shared" si="0"/>
        <v>329.44525691924633</v>
      </c>
      <c r="S13" s="62">
        <f ca="1">AVERAGE(OFFSET($R$3,0,0,'Données projet'!$E$9+1,1))-AVERAGE(OFFSET($H$3,0,0,'Données projet'!$E$9+1,1))</f>
        <v>132.280299502248</v>
      </c>
      <c r="T13" s="62">
        <f t="shared" si="34"/>
        <v>337.98099449405339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5.8637741839194364</v>
      </c>
      <c r="AK13" s="14">
        <f t="shared" si="35"/>
        <v>2.1994468497187687</v>
      </c>
      <c r="AL13" s="22">
        <f t="shared" si="4"/>
        <v>14.043443300253207</v>
      </c>
      <c r="AM13" s="62">
        <f t="shared" si="5"/>
        <v>282.93233218914207</v>
      </c>
      <c r="AN13" s="62">
        <f ca="1">AVERAGE(OFFSET($AM$3,0,0,'Données projet'!$E$10+1,1))-AVERAGE(OFFSET($H$3,0,0,'Données projet'!$E$10+1,1))</f>
        <v>430.40491895612814</v>
      </c>
      <c r="AO13" s="62">
        <f t="shared" si="36"/>
        <v>231.36959598460686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4.3703703703703702</v>
      </c>
      <c r="BD13" s="13">
        <f>IF('Données projet'!$A$88&gt;35,BD12+BC13-BL12,IF(A13&lt;'Données projet'!$A$88,$BA$205^A13,IF(A13='Données projet'!$A$88,'Données projet'!$B$88,BD12+BC13-BL12)))</f>
        <v>5.8528003047504482</v>
      </c>
      <c r="BE13" s="14">
        <f>BD13*VLOOKUP('Données projet'!$B$11,Paramètres!$A$1:$I$89,3,0)*VLOOKUP('Données projet'!$B$11,Paramètres!$A$1:$I$89,5,0)</f>
        <v>3.499974582240768</v>
      </c>
      <c r="BF13" s="14">
        <f t="shared" si="37"/>
        <v>1.3940803381250744</v>
      </c>
      <c r="BG13" s="22">
        <f t="shared" si="7"/>
        <v>8.5238123196371749</v>
      </c>
      <c r="BH13" s="62">
        <f t="shared" si="8"/>
        <v>277.41270120852602</v>
      </c>
      <c r="BI13" s="62">
        <f ca="1">AVERAGE(OFFSET($BH$3,0,0,'Données projet'!$E$11+1,1))-AVERAGE(OFFSET($H$3,0,0,'Données projet'!$E$11+1,1))</f>
        <v>295.83974441964551</v>
      </c>
      <c r="BJ13" s="62">
        <f t="shared" si="38"/>
        <v>212.24900914818096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4.2272727272727275</v>
      </c>
      <c r="BY13" s="13">
        <f>IF('Données projet'!$A$114&gt;35,BY12+BX13-CG12,IF(A13&lt;'Données projet'!$A$114,$BV$205^A13,IF(A13='Données projet'!$A$114,'Données projet'!$B$114,BY12+BX13-CG12)))</f>
        <v>7.8481081039998273</v>
      </c>
      <c r="BZ13" s="14">
        <f>BY13*VLOOKUP('Données projet'!$B$12,Paramètres!$A$1:$I$89,3,0)*VLOOKUP('Données projet'!$B$12,Paramètres!$A$1:$I$89,5,0)</f>
        <v>4.4891178354879013</v>
      </c>
      <c r="CA13" s="14">
        <f t="shared" si="39"/>
        <v>1.7370068425180045</v>
      </c>
      <c r="CB13" s="22">
        <f t="shared" si="10"/>
        <v>10.843833814193617</v>
      </c>
      <c r="CC13" s="62">
        <f t="shared" si="11"/>
        <v>279.73272270308246</v>
      </c>
      <c r="CD13" s="62">
        <f ca="1">AVERAGE(OFFSET($CC$3,0,0,'Données projet'!$E$12+1,1))-AVERAGE(OFFSET($H$3,0,0,'Données projet'!$E$12+1,1))</f>
        <v>309.71642374647882</v>
      </c>
      <c r="CE13" s="62">
        <f t="shared" si="40"/>
        <v>266.63880397664315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2.4666666666666668</v>
      </c>
      <c r="CT13" s="13">
        <f>IF('Données projet'!$A$140&gt;35,CT12+CS13-DB12,IF(A13&lt;'Données projet'!$A$140,$CQ$205^A13,IF(A13='Données projet'!$A$140,'Données projet'!$B$140,CT12+CS13-DB12)))</f>
        <v>11.103702468586782</v>
      </c>
      <c r="CU13" s="18">
        <f>CT13*VLOOKUP('Données projet'!$B$13,Paramètres!$A$1:$I$89,3,0)*VLOOKUP('Données projet'!$B$13,Paramètres!$A$1:$I$89,5,0)</f>
        <v>8.8341056840076444</v>
      </c>
      <c r="CV13" s="14">
        <f t="shared" si="41"/>
        <v>3.1592306185484516</v>
      </c>
      <c r="CW13" s="22">
        <f t="shared" si="13"/>
        <v>20.888394060285197</v>
      </c>
      <c r="CX13" s="62">
        <f t="shared" si="14"/>
        <v>289.77728294917404</v>
      </c>
      <c r="CY13" s="62">
        <f ca="1">AVERAGE(OFFSET($CX$3,0,0,'Données projet'!$E$13+1,1))-AVERAGE(OFFSET($H$3,0,0,'Données projet'!$E$13+1,1))</f>
        <v>312.53381881960331</v>
      </c>
      <c r="CZ13" s="62">
        <f t="shared" si="42"/>
        <v>342.06887933351783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2.1</v>
      </c>
      <c r="DO13" s="13">
        <f>IF('Données projet'!$A$166&gt;35,DO12+DN13-DW12,IF(A13&lt;'Données projet'!$A$166,$DL$205^A13,IF(A13='Données projet'!$A$166,'Données projet'!$B$166,DO12+DN13-DW12)))</f>
        <v>6.4807406984078657</v>
      </c>
      <c r="DP13" s="18">
        <f>DO13*VLOOKUP('Données projet'!$B$14,Paramètres!$A$1:$I$89,3,0)*VLOOKUP('Données projet'!$B$14,Paramètres!$A$1:$I$89,5,0)</f>
        <v>6.9758692877662263</v>
      </c>
      <c r="DQ13" s="14">
        <f t="shared" si="43"/>
        <v>2.5642215932468222</v>
      </c>
      <c r="DR13" s="22">
        <f t="shared" si="16"/>
        <v>16.61565828443106</v>
      </c>
      <c r="DS13" s="62">
        <f t="shared" si="17"/>
        <v>285.50454717331991</v>
      </c>
      <c r="DT13" s="62">
        <f ca="1">AVERAGE(OFFSET($DS$3,0,0,'Données projet'!$E$14+1,1))-AVERAGE(OFFSET($H$3,0,0,'Données projet'!$E$14+1,1))</f>
        <v>503.92230226365683</v>
      </c>
      <c r="DU13" s="62">
        <f t="shared" si="44"/>
        <v>267.2998309535638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2.1</v>
      </c>
      <c r="EJ13" s="13">
        <f>IF('Données projet'!$A$192&gt;35,EJ12+EI13-ER12,IF(A13&lt;'Données projet'!$A$192,$EG$205^A13,IF(A13='Données projet'!$A$192,'Données projet'!$B$192,EJ12+EI13-ER12)))</f>
        <v>6.4807406984078657</v>
      </c>
      <c r="EK13" s="18">
        <f>EJ13*VLOOKUP('Données projet'!$B$15,Paramètres!$A$1:$I$89,3,0)*VLOOKUP('Données projet'!$B$15,Paramètres!$A$1:$I$89,5,0)</f>
        <v>6.2681724035000874</v>
      </c>
      <c r="EL13" s="14">
        <f t="shared" si="45"/>
        <v>2.3329519459947301</v>
      </c>
      <c r="EM13" s="22">
        <f t="shared" si="19"/>
        <v>14.98029157537014</v>
      </c>
      <c r="EN13" s="62">
        <f t="shared" si="20"/>
        <v>283.86918046425899</v>
      </c>
      <c r="EO13" s="62">
        <f ca="1">AVERAGE(OFFSET($EN$3,0,0,'Données projet'!$E$15+1,1))-AVERAGE(OFFSET($H$3,0,0,'Données projet'!$E$15+1,1))</f>
        <v>457.16923206840744</v>
      </c>
      <c r="EP13" s="62">
        <f t="shared" si="46"/>
        <v>244.45149244446094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3.2666666666666666</v>
      </c>
      <c r="FE13" s="13">
        <f>IF('Données projet'!$A$218&gt;35,FE12+FD13-FM12,IF(A13&lt;'Données projet'!$A$218,$FB$205^A13,IF(A13='Données projet'!$A$218,'Données projet'!$B$218,FE12+FD13-FM12)))</f>
        <v>13.390518279406722</v>
      </c>
      <c r="FF13" s="18">
        <f>FE13*VLOOKUP('Données projet'!$B$16,Paramètres!$A$1:$I$89,3,0)*VLOOKUP('Données projet'!$B$16,Paramètres!$A$1:$I$89,5,0)</f>
        <v>8.9823596618260293</v>
      </c>
      <c r="FG13" s="14">
        <f t="shared" si="47"/>
        <v>3.2060320397722015</v>
      </c>
      <c r="FH13" s="22">
        <f t="shared" si="22"/>
        <v>21.228115546950253</v>
      </c>
      <c r="FI13" s="62">
        <f t="shared" si="23"/>
        <v>290.11700443583914</v>
      </c>
      <c r="FJ13" s="62">
        <f ca="1">AVERAGE(OFFSET($FI$3,0,0,'Données projet'!$E$16+1,1))-AVERAGE(OFFSET($H$3,0,0,'Données projet'!$E$16+1,1))</f>
        <v>385.97853124853452</v>
      </c>
      <c r="FK13" s="62">
        <f t="shared" si="48"/>
        <v>300.99118099739695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>
        <f>VLOOKUP(A14,'Données projet'!$A$35:$I$55,2,0)</f>
        <v>76</v>
      </c>
      <c r="L14" s="13">
        <f>VLOOKUP(A14,'Données projet'!$A$35:$I$55,9,0)</f>
        <v>24</v>
      </c>
      <c r="M14" s="13">
        <f t="array" ref="M14">INDEX(L:L,MIN(IF(ISNUMBER(L14:L210),ROW(L14:L210),"")))</f>
        <v>24</v>
      </c>
      <c r="N14" s="14">
        <f>IF('Données projet'!$A$36&gt;35,N13+M14-V13,IF(A14&lt;'Données projet'!$A$36,$K$205^A14,IF(A14='Données projet'!$A$36,'Données projet'!$B$36,N13+M14-V13)))</f>
        <v>76</v>
      </c>
      <c r="O14" s="14">
        <f>N14*VLOOKUP('Données projet'!$B$9,Paramètres!$A$1:$I$89,3,0)*VLOOKUP('Données projet'!$B$9,Paramètres!$A$1:$I$89,5,0)</f>
        <v>38.650559999999999</v>
      </c>
      <c r="P14" s="14">
        <f t="shared" si="33"/>
        <v>11.640266448554883</v>
      </c>
      <c r="Q14" s="22">
        <f t="shared" si="2"/>
        <v>87.589856064566405</v>
      </c>
      <c r="R14" s="62">
        <f t="shared" si="0"/>
        <v>357.70096717567753</v>
      </c>
      <c r="S14" s="62">
        <f ca="1">AVERAGE(OFFSET($R$3,0,0,'Données projet'!$E$9+1,1))-AVERAGE(OFFSET($H$3,0,0,'Données projet'!$E$9+1,1))</f>
        <v>132.280299502248</v>
      </c>
      <c r="T14" s="62">
        <f t="shared" si="34"/>
        <v>337.98099449405339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7.0687024627689707</v>
      </c>
      <c r="AK14" s="14">
        <f t="shared" si="35"/>
        <v>2.5943503554083325</v>
      </c>
      <c r="AL14" s="22">
        <f t="shared" si="4"/>
        <v>16.829816991658799</v>
      </c>
      <c r="AM14" s="62">
        <f t="shared" si="5"/>
        <v>286.94092810276993</v>
      </c>
      <c r="AN14" s="62">
        <f ca="1">AVERAGE(OFFSET($AM$3,0,0,'Données projet'!$E$10+1,1))-AVERAGE(OFFSET($H$3,0,0,'Données projet'!$E$10+1,1))</f>
        <v>430.40491895612814</v>
      </c>
      <c r="AO14" s="62">
        <f t="shared" si="36"/>
        <v>231.36959598460686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4.3703703703703702</v>
      </c>
      <c r="BD14" s="13">
        <f>IF('Données projet'!$A$88&gt;35,BD13+BC14-BL13,IF(A14&lt;'Données projet'!$A$88,$BA$205^A14,IF(A14='Données projet'!$A$88,'Données projet'!$B$88,BD13+BC14-BL13)))</f>
        <v>6.9839332044678839</v>
      </c>
      <c r="BE14" s="14">
        <f>BD14*VLOOKUP('Données projet'!$B$11,Paramètres!$A$1:$I$89,3,0)*VLOOKUP('Données projet'!$B$11,Paramètres!$A$1:$I$89,5,0)</f>
        <v>4.1763920562717951</v>
      </c>
      <c r="BF14" s="14">
        <f t="shared" si="37"/>
        <v>1.629641437588379</v>
      </c>
      <c r="BG14" s="22">
        <f t="shared" si="7"/>
        <v>10.112175001806468</v>
      </c>
      <c r="BH14" s="62">
        <f t="shared" si="8"/>
        <v>280.22328611291761</v>
      </c>
      <c r="BI14" s="62">
        <f ca="1">AVERAGE(OFFSET($BH$3,0,0,'Données projet'!$E$11+1,1))-AVERAGE(OFFSET($H$3,0,0,'Données projet'!$E$11+1,1))</f>
        <v>295.83974441964551</v>
      </c>
      <c r="BJ14" s="62">
        <f t="shared" si="38"/>
        <v>212.24900914818096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4.2272727272727275</v>
      </c>
      <c r="BY14" s="13">
        <f>IF('Données projet'!$A$114&gt;35,BY13+BX14-CG13,IF(A14&lt;'Données projet'!$A$114,$BV$205^A14,IF(A14='Données projet'!$A$114,'Données projet'!$B$114,BY13+BX14-CG13)))</f>
        <v>9.6436507609929514</v>
      </c>
      <c r="BZ14" s="14">
        <f>BY14*VLOOKUP('Données projet'!$B$12,Paramètres!$A$1:$I$89,3,0)*VLOOKUP('Données projet'!$B$12,Paramètres!$A$1:$I$89,5,0)</f>
        <v>5.5161682352879682</v>
      </c>
      <c r="CA14" s="14">
        <f t="shared" si="39"/>
        <v>2.0838332459475213</v>
      </c>
      <c r="CB14" s="22">
        <f t="shared" si="10"/>
        <v>13.236669246485144</v>
      </c>
      <c r="CC14" s="62">
        <f t="shared" si="11"/>
        <v>283.34778035759626</v>
      </c>
      <c r="CD14" s="62">
        <f ca="1">AVERAGE(OFFSET($CC$3,0,0,'Données projet'!$E$12+1,1))-AVERAGE(OFFSET($H$3,0,0,'Données projet'!$E$12+1,1))</f>
        <v>309.71642374647882</v>
      </c>
      <c r="CE14" s="62">
        <f t="shared" si="40"/>
        <v>266.63880397664315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2.4666666666666668</v>
      </c>
      <c r="CT14" s="13">
        <f>IF('Données projet'!$A$140&gt;35,CT13+CS14-DB13,IF(A14&lt;'Données projet'!$A$140,$CQ$205^A14,IF(A14='Données projet'!$A$140,'Données projet'!$B$140,CT13+CS14-DB13)))</f>
        <v>14.125850240977657</v>
      </c>
      <c r="CU14" s="18">
        <f>CT14*VLOOKUP('Données projet'!$B$13,Paramètres!$A$1:$I$89,3,0)*VLOOKUP('Données projet'!$B$13,Paramètres!$A$1:$I$89,5,0)</f>
        <v>11.238526451721825</v>
      </c>
      <c r="CV14" s="14">
        <f t="shared" si="41"/>
        <v>3.9080387928425129</v>
      </c>
      <c r="CW14" s="22">
        <f t="shared" si="13"/>
        <v>26.380267800949554</v>
      </c>
      <c r="CX14" s="62">
        <f t="shared" si="14"/>
        <v>296.49137891206067</v>
      </c>
      <c r="CY14" s="62">
        <f ca="1">AVERAGE(OFFSET($CX$3,0,0,'Données projet'!$E$13+1,1))-AVERAGE(OFFSET($H$3,0,0,'Données projet'!$E$13+1,1))</f>
        <v>312.53381881960331</v>
      </c>
      <c r="CZ14" s="62">
        <f t="shared" si="42"/>
        <v>342.06887933351783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2.1</v>
      </c>
      <c r="DO14" s="13">
        <f>IF('Données projet'!$A$166&gt;35,DO13+DN14-DW13,IF(A14&lt;'Données projet'!$A$166,$DL$205^A14,IF(A14='Données projet'!$A$166,'Données projet'!$B$166,DO13+DN14-DW13)))</f>
        <v>7.8124474610620815</v>
      </c>
      <c r="DP14" s="18">
        <f>DO14*VLOOKUP('Données projet'!$B$14,Paramètres!$A$1:$I$89,3,0)*VLOOKUP('Données projet'!$B$14,Paramètres!$A$1:$I$89,5,0)</f>
        <v>8.4093184470872249</v>
      </c>
      <c r="DQ14" s="14">
        <f t="shared" si="43"/>
        <v>3.0246192139792929</v>
      </c>
      <c r="DR14" s="22">
        <f t="shared" si="16"/>
        <v>19.914108093024186</v>
      </c>
      <c r="DS14" s="62">
        <f t="shared" si="17"/>
        <v>290.02521920413534</v>
      </c>
      <c r="DT14" s="62">
        <f ca="1">AVERAGE(OFFSET($DS$3,0,0,'Données projet'!$E$14+1,1))-AVERAGE(OFFSET($H$3,0,0,'Données projet'!$E$14+1,1))</f>
        <v>503.92230226365683</v>
      </c>
      <c r="DU14" s="62">
        <f t="shared" si="44"/>
        <v>267.2998309535638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2.1</v>
      </c>
      <c r="EJ14" s="13">
        <f>IF('Données projet'!$A$192&gt;35,EJ13+EI14-ER13,IF(A14&lt;'Données projet'!$A$192,$EG$205^A14,IF(A14='Données projet'!$A$192,'Données projet'!$B$192,EJ13+EI14-ER13)))</f>
        <v>7.8124474610620815</v>
      </c>
      <c r="EK14" s="18">
        <f>EJ14*VLOOKUP('Données projet'!$B$15,Paramètres!$A$1:$I$89,3,0)*VLOOKUP('Données projet'!$B$15,Paramètres!$A$1:$I$89,5,0)</f>
        <v>7.5561991843392455</v>
      </c>
      <c r="EL14" s="14">
        <f t="shared" si="45"/>
        <v>2.7518258561310041</v>
      </c>
      <c r="EM14" s="22">
        <f t="shared" si="19"/>
        <v>17.953143612152349</v>
      </c>
      <c r="EN14" s="62">
        <f t="shared" si="20"/>
        <v>288.0642547232635</v>
      </c>
      <c r="EO14" s="62">
        <f ca="1">AVERAGE(OFFSET($EN$3,0,0,'Données projet'!$E$15+1,1))-AVERAGE(OFFSET($H$3,0,0,'Données projet'!$E$15+1,1))</f>
        <v>457.16923206840744</v>
      </c>
      <c r="EP14" s="62">
        <f t="shared" si="46"/>
        <v>244.45149244446094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3.2666666666666666</v>
      </c>
      <c r="FE14" s="13">
        <f>IF('Données projet'!$A$218&gt;35,FE13+FD14-FM13,IF(A14&lt;'Données projet'!$A$218,$FB$205^A14,IF(A14='Données projet'!$A$218,'Données projet'!$B$218,FE13+FD14-FM13)))</f>
        <v>17.357098392061825</v>
      </c>
      <c r="FF14" s="18">
        <f>FE14*VLOOKUP('Données projet'!$B$16,Paramètres!$A$1:$I$89,3,0)*VLOOKUP('Données projet'!$B$16,Paramètres!$A$1:$I$89,5,0)</f>
        <v>11.643141601395072</v>
      </c>
      <c r="FG14" s="14">
        <f t="shared" si="47"/>
        <v>4.0321035353735333</v>
      </c>
      <c r="FH14" s="22">
        <f t="shared" si="22"/>
        <v>27.301051946538653</v>
      </c>
      <c r="FI14" s="62">
        <f t="shared" si="23"/>
        <v>297.41216305764982</v>
      </c>
      <c r="FJ14" s="62">
        <f ca="1">AVERAGE(OFFSET($FI$3,0,0,'Données projet'!$E$16+1,1))-AVERAGE(OFFSET($H$3,0,0,'Données projet'!$E$16+1,1))</f>
        <v>385.97853124853452</v>
      </c>
      <c r="FK14" s="62">
        <f t="shared" si="48"/>
        <v>300.99118099739695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102</v>
      </c>
      <c r="L15" s="13">
        <f>VLOOKUP(A15,'Données projet'!$A$35:$I$55,9,0)</f>
        <v>26</v>
      </c>
      <c r="M15" s="13">
        <f t="array" ref="M15">INDEX(L:L,MIN(IF(ISNUMBER(L15:L211),ROW(L15:L211),"")))</f>
        <v>26</v>
      </c>
      <c r="N15" s="14">
        <f>IF('Données projet'!$A$36&gt;35,N14+M15-V14,IF(A15&lt;'Données projet'!$A$36,$K$205^A15,IF(A15='Données projet'!$A$36,'Données projet'!$B$36,N14+M15-V14)))</f>
        <v>102</v>
      </c>
      <c r="O15" s="14">
        <f>N15*VLOOKUP('Données projet'!$B$9,Paramètres!$A$1:$I$89,3,0)*VLOOKUP('Données projet'!$B$9,Paramètres!$A$1:$I$89,5,0)</f>
        <v>51.873120000000007</v>
      </c>
      <c r="P15" s="14">
        <f t="shared" si="33"/>
        <v>15.09646078352872</v>
      </c>
      <c r="Q15" s="22">
        <f t="shared" si="2"/>
        <v>116.63868653131253</v>
      </c>
      <c r="R15" s="62">
        <f t="shared" si="0"/>
        <v>387.97201986464586</v>
      </c>
      <c r="S15" s="62">
        <f ca="1">AVERAGE(OFFSET($R$3,0,0,'Données projet'!$E$9+1,1))-AVERAGE(OFFSET($H$3,0,0,'Données projet'!$E$9+1,1))</f>
        <v>132.280299502248</v>
      </c>
      <c r="T15" s="62">
        <f t="shared" si="34"/>
        <v>337.98099449405339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8.521227615514638</v>
      </c>
      <c r="AK15" s="14">
        <f t="shared" si="35"/>
        <v>3.0601574970852128</v>
      </c>
      <c r="AL15" s="22">
        <f t="shared" si="4"/>
        <v>20.170912404444739</v>
      </c>
      <c r="AM15" s="62">
        <f t="shared" si="5"/>
        <v>291.50424573777804</v>
      </c>
      <c r="AN15" s="62">
        <f ca="1">AVERAGE(OFFSET($AM$3,0,0,'Données projet'!$E$10+1,1))-AVERAGE(OFFSET($H$3,0,0,'Données projet'!$E$10+1,1))</f>
        <v>430.40491895612814</v>
      </c>
      <c r="AO15" s="62">
        <f t="shared" si="36"/>
        <v>231.36959598460686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4.3703703703703702</v>
      </c>
      <c r="BD15" s="13">
        <f>IF('Données projet'!$A$88&gt;35,BD14+BC15-BL14,IF(A15&lt;'Données projet'!$A$88,$BA$205^A15,IF(A15='Données projet'!$A$88,'Données projet'!$B$88,BD14+BC15-BL14)))</f>
        <v>8.3336728514178713</v>
      </c>
      <c r="BE15" s="14">
        <f>BD15*VLOOKUP('Données projet'!$B$11,Paramètres!$A$1:$I$89,3,0)*VLOOKUP('Données projet'!$B$11,Paramètres!$A$1:$I$89,5,0)</f>
        <v>4.983536365147887</v>
      </c>
      <c r="BF15" s="14">
        <f t="shared" si="37"/>
        <v>1.9050058611951031</v>
      </c>
      <c r="BG15" s="22">
        <f t="shared" si="7"/>
        <v>11.997544377547372</v>
      </c>
      <c r="BH15" s="62">
        <f t="shared" si="8"/>
        <v>283.33087771088071</v>
      </c>
      <c r="BI15" s="62">
        <f ca="1">AVERAGE(OFFSET($BH$3,0,0,'Données projet'!$E$11+1,1))-AVERAGE(OFFSET($H$3,0,0,'Données projet'!$E$11+1,1))</f>
        <v>295.83974441964551</v>
      </c>
      <c r="BJ15" s="62">
        <f t="shared" si="38"/>
        <v>212.24900914818096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4.2272727272727275</v>
      </c>
      <c r="BY15" s="13">
        <f>IF('Données projet'!$A$114&gt;35,BY14+BX15-CG14,IF(A15&lt;'Données projet'!$A$114,$BV$205^A15,IF(A15='Données projet'!$A$114,'Données projet'!$B$114,BY14+BX15-CG14)))</f>
        <v>11.849989674913116</v>
      </c>
      <c r="BZ15" s="14">
        <f>BY15*VLOOKUP('Données projet'!$B$12,Paramètres!$A$1:$I$89,3,0)*VLOOKUP('Données projet'!$B$12,Paramètres!$A$1:$I$89,5,0)</f>
        <v>6.7781940940503027</v>
      </c>
      <c r="CA15" s="14">
        <f t="shared" si="39"/>
        <v>2.499910127366797</v>
      </c>
      <c r="CB15" s="22">
        <f t="shared" si="10"/>
        <v>16.159364852301447</v>
      </c>
      <c r="CC15" s="62">
        <f t="shared" si="11"/>
        <v>287.49269818563477</v>
      </c>
      <c r="CD15" s="62">
        <f ca="1">AVERAGE(OFFSET($CC$3,0,0,'Données projet'!$E$12+1,1))-AVERAGE(OFFSET($H$3,0,0,'Données projet'!$E$12+1,1))</f>
        <v>309.71642374647882</v>
      </c>
      <c r="CE15" s="62">
        <f t="shared" si="40"/>
        <v>266.63880397664315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2.4666666666666668</v>
      </c>
      <c r="CT15" s="13">
        <f>IF('Données projet'!$A$140&gt;35,CT14+CS15-DB14,IF(A15&lt;'Données projet'!$A$140,$CQ$205^A15,IF(A15='Données projet'!$A$140,'Données projet'!$B$140,CT14+CS15-DB14)))</f>
        <v>17.970550417308221</v>
      </c>
      <c r="CU15" s="18">
        <f>CT15*VLOOKUP('Données projet'!$B$13,Paramètres!$A$1:$I$89,3,0)*VLOOKUP('Données projet'!$B$13,Paramètres!$A$1:$I$89,5,0)</f>
        <v>14.297369912010421</v>
      </c>
      <c r="CV15" s="14">
        <f t="shared" si="41"/>
        <v>4.8343312187127445</v>
      </c>
      <c r="CW15" s="22">
        <f t="shared" si="13"/>
        <v>33.321046136009507</v>
      </c>
      <c r="CX15" s="62">
        <f t="shared" si="14"/>
        <v>304.65437946934281</v>
      </c>
      <c r="CY15" s="62">
        <f ca="1">AVERAGE(OFFSET($CX$3,0,0,'Données projet'!$E$13+1,1))-AVERAGE(OFFSET($H$3,0,0,'Données projet'!$E$13+1,1))</f>
        <v>312.53381881960331</v>
      </c>
      <c r="CZ15" s="62">
        <f t="shared" si="42"/>
        <v>342.06887933351783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2.1</v>
      </c>
      <c r="DO15" s="13">
        <f>IF('Données projet'!$A$166&gt;35,DO14+DN15-DW14,IF(A15&lt;'Données projet'!$A$166,$DL$205^A15,IF(A15='Données projet'!$A$166,'Données projet'!$B$166,DO14+DN15-DW14)))</f>
        <v>9.4178024044149407</v>
      </c>
      <c r="DP15" s="18">
        <f>DO15*VLOOKUP('Données projet'!$B$14,Paramètres!$A$1:$I$89,3,0)*VLOOKUP('Données projet'!$B$14,Paramètres!$A$1:$I$89,5,0)</f>
        <v>10.137322508112241</v>
      </c>
      <c r="DQ15" s="14">
        <f t="shared" si="43"/>
        <v>3.5676797253661268</v>
      </c>
      <c r="DR15" s="22">
        <f t="shared" si="16"/>
        <v>23.869545556641487</v>
      </c>
      <c r="DS15" s="62">
        <f t="shared" si="17"/>
        <v>295.20287888997478</v>
      </c>
      <c r="DT15" s="62">
        <f ca="1">AVERAGE(OFFSET($DS$3,0,0,'Données projet'!$E$14+1,1))-AVERAGE(OFFSET($H$3,0,0,'Données projet'!$E$14+1,1))</f>
        <v>503.92230226365683</v>
      </c>
      <c r="DU15" s="62">
        <f t="shared" si="44"/>
        <v>267.2998309535638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2.1</v>
      </c>
      <c r="EJ15" s="13">
        <f>IF('Données projet'!$A$192&gt;35,EJ14+EI15-ER14,IF(A15&lt;'Données projet'!$A$192,$EG$205^A15,IF(A15='Données projet'!$A$192,'Données projet'!$B$192,EJ14+EI15-ER14)))</f>
        <v>9.4178024044149407</v>
      </c>
      <c r="EK15" s="18">
        <f>EJ15*VLOOKUP('Données projet'!$B$15,Paramètres!$A$1:$I$89,3,0)*VLOOKUP('Données projet'!$B$15,Paramètres!$A$1:$I$89,5,0)</f>
        <v>9.1088984855501316</v>
      </c>
      <c r="EL15" s="14">
        <f t="shared" si="45"/>
        <v>3.2459072101643005</v>
      </c>
      <c r="EM15" s="22">
        <f t="shared" si="19"/>
        <v>21.517953253369303</v>
      </c>
      <c r="EN15" s="62">
        <f t="shared" si="20"/>
        <v>292.8512865867026</v>
      </c>
      <c r="EO15" s="62">
        <f ca="1">AVERAGE(OFFSET($EN$3,0,0,'Données projet'!$E$15+1,1))-AVERAGE(OFFSET($H$3,0,0,'Données projet'!$E$15+1,1))</f>
        <v>457.16923206840744</v>
      </c>
      <c r="EP15" s="62">
        <f t="shared" si="46"/>
        <v>244.45149244446094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3.2666666666666666</v>
      </c>
      <c r="FE15" s="13">
        <f>IF('Données projet'!$A$218&gt;35,FE14+FD15-FM14,IF(A15&lt;'Données projet'!$A$218,$FB$205^A15,IF(A15='Données projet'!$A$218,'Données projet'!$B$218,FE14+FD15-FM14)))</f>
        <v>22.498670948012265</v>
      </c>
      <c r="FF15" s="18">
        <f>FE15*VLOOKUP('Données projet'!$B$16,Paramètres!$A$1:$I$89,3,0)*VLOOKUP('Données projet'!$B$16,Paramètres!$A$1:$I$89,5,0)</f>
        <v>15.092108471926627</v>
      </c>
      <c r="FG15" s="14">
        <f t="shared" si="47"/>
        <v>5.0710219730451964</v>
      </c>
      <c r="FH15" s="22">
        <f t="shared" si="22"/>
        <v>35.117452191659261</v>
      </c>
      <c r="FI15" s="62">
        <f t="shared" si="23"/>
        <v>306.45078552499257</v>
      </c>
      <c r="FJ15" s="62">
        <f ca="1">AVERAGE(OFFSET($FI$3,0,0,'Données projet'!$E$16+1,1))-AVERAGE(OFFSET($H$3,0,0,'Données projet'!$E$16+1,1))</f>
        <v>385.97853124853452</v>
      </c>
      <c r="FK15" s="62">
        <f t="shared" si="48"/>
        <v>300.99118099739695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125</v>
      </c>
      <c r="L16" s="13">
        <f>VLOOKUP(A16,'Données projet'!$A$35:$I$55,9,0)</f>
        <v>23</v>
      </c>
      <c r="M16" s="13">
        <f t="array" ref="M16">INDEX(L:L,MIN(IF(ISNUMBER(L16:L212),ROW(L16:L212),"")))</f>
        <v>23</v>
      </c>
      <c r="N16" s="14">
        <f>IF('Données projet'!$A$36&gt;35,N15+M16-V15,IF(A16&lt;'Données projet'!$A$36,$K$205^A16,IF(A16='Données projet'!$A$36,'Données projet'!$B$36,N15+M16-V15)))</f>
        <v>125</v>
      </c>
      <c r="O16" s="14">
        <f>N16*VLOOKUP('Données projet'!$B$9,Paramètres!$A$1:$I$89,3,0)*VLOOKUP('Données projet'!$B$9,Paramètres!$A$1:$I$89,5,0)</f>
        <v>63.57</v>
      </c>
      <c r="P16" s="14">
        <f t="shared" si="33"/>
        <v>18.067818486559997</v>
      </c>
      <c r="Q16" s="22">
        <f t="shared" si="2"/>
        <v>142.18586719742532</v>
      </c>
      <c r="R16" s="62">
        <f t="shared" si="0"/>
        <v>414.74142275298084</v>
      </c>
      <c r="S16" s="62">
        <f ca="1">AVERAGE(OFFSET($R$3,0,0,'Données projet'!$E$9+1,1))-AVERAGE(OFFSET($H$3,0,0,'Données projet'!$E$9+1,1))</f>
        <v>132.280299502248</v>
      </c>
      <c r="T16" s="62">
        <f t="shared" si="34"/>
        <v>337.98099449405339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10.272227535089344</v>
      </c>
      <c r="AK16" s="14">
        <f t="shared" si="35"/>
        <v>3.6095987912522753</v>
      </c>
      <c r="AL16" s="22">
        <f t="shared" si="4"/>
        <v>24.177514185044988</v>
      </c>
      <c r="AM16" s="62">
        <f t="shared" si="5"/>
        <v>296.73306974060051</v>
      </c>
      <c r="AN16" s="62">
        <f ca="1">AVERAGE(OFFSET($AM$3,0,0,'Données projet'!$E$10+1,1))-AVERAGE(OFFSET($H$3,0,0,'Données projet'!$E$10+1,1))</f>
        <v>430.40491895612814</v>
      </c>
      <c r="AO16" s="62">
        <f t="shared" si="36"/>
        <v>231.36959598460686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4.3703703703703702</v>
      </c>
      <c r="BD16" s="13">
        <f>IF('Données projet'!$A$88&gt;35,BD15+BC16-BL15,IF(A16&lt;'Données projet'!$A$88,$BA$205^A16,IF(A16='Données projet'!$A$88,'Données projet'!$B$88,BD15+BC16-BL15)))</f>
        <v>9.944267959210924</v>
      </c>
      <c r="BE16" s="14">
        <f>BD16*VLOOKUP('Données projet'!$B$11,Paramètres!$A$1:$I$89,3,0)*VLOOKUP('Données projet'!$B$11,Paramètres!$A$1:$I$89,5,0)</f>
        <v>5.9466722396081328</v>
      </c>
      <c r="BF16" s="14">
        <f t="shared" si="37"/>
        <v>2.2268992721234029</v>
      </c>
      <c r="BG16" s="22">
        <f t="shared" si="7"/>
        <v>14.235637049599092</v>
      </c>
      <c r="BH16" s="62">
        <f t="shared" si="8"/>
        <v>286.79119260515461</v>
      </c>
      <c r="BI16" s="62">
        <f ca="1">AVERAGE(OFFSET($BH$3,0,0,'Données projet'!$E$11+1,1))-AVERAGE(OFFSET($H$3,0,0,'Données projet'!$E$11+1,1))</f>
        <v>295.83974441964551</v>
      </c>
      <c r="BJ16" s="62">
        <f t="shared" si="38"/>
        <v>212.24900914818096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4.2272727272727275</v>
      </c>
      <c r="BY16" s="13">
        <f>IF('Données projet'!$A$114&gt;35,BY15+BX16-CG15,IF(A16&lt;'Données projet'!$A$114,$BV$205^A16,IF(A16='Données projet'!$A$114,'Données projet'!$B$114,BY15+BX16-CG15)))</f>
        <v>14.561109560658647</v>
      </c>
      <c r="BZ16" s="14">
        <f>BY16*VLOOKUP('Données projet'!$B$12,Paramètres!$A$1:$I$89,3,0)*VLOOKUP('Données projet'!$B$12,Paramètres!$A$1:$I$89,5,0)</f>
        <v>8.3289546686967455</v>
      </c>
      <c r="CA16" s="14">
        <f t="shared" si="39"/>
        <v>2.9990646598352928</v>
      </c>
      <c r="CB16" s="22">
        <f t="shared" si="10"/>
        <v>19.729633663859968</v>
      </c>
      <c r="CC16" s="62">
        <f t="shared" si="11"/>
        <v>292.28518921941549</v>
      </c>
      <c r="CD16" s="62">
        <f ca="1">AVERAGE(OFFSET($CC$3,0,0,'Données projet'!$E$12+1,1))-AVERAGE(OFFSET($H$3,0,0,'Données projet'!$E$12+1,1))</f>
        <v>309.71642374647882</v>
      </c>
      <c r="CE16" s="62">
        <f t="shared" si="40"/>
        <v>266.63880397664315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2.4666666666666668</v>
      </c>
      <c r="CT16" s="13">
        <f>IF('Données projet'!$A$140&gt;35,CT15+CS16-DB15,IF(A16&lt;'Données projet'!$A$140,$CQ$205^A16,IF(A16='Données projet'!$A$140,'Données projet'!$B$140,CT15+CS16-DB15)))</f>
        <v>22.86168101684942</v>
      </c>
      <c r="CU16" s="18">
        <f>CT16*VLOOKUP('Données projet'!$B$13,Paramètres!$A$1:$I$89,3,0)*VLOOKUP('Données projet'!$B$13,Paramètres!$A$1:$I$89,5,0)</f>
        <v>18.188753417005401</v>
      </c>
      <c r="CV16" s="14">
        <f t="shared" si="41"/>
        <v>5.9801756254374139</v>
      </c>
      <c r="CW16" s="22">
        <f t="shared" si="13"/>
        <v>42.094218082254564</v>
      </c>
      <c r="CX16" s="62">
        <f t="shared" si="14"/>
        <v>314.64977363781009</v>
      </c>
      <c r="CY16" s="62">
        <f ca="1">AVERAGE(OFFSET($CX$3,0,0,'Données projet'!$E$13+1,1))-AVERAGE(OFFSET($H$3,0,0,'Données projet'!$E$13+1,1))</f>
        <v>312.53381881960331</v>
      </c>
      <c r="CZ16" s="62">
        <f t="shared" si="42"/>
        <v>342.06887933351783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2.1</v>
      </c>
      <c r="DO16" s="13">
        <f>IF('Données projet'!$A$166&gt;35,DO15+DN16-DW15,IF(A16&lt;'Données projet'!$A$166,$DL$205^A16,IF(A16='Données projet'!$A$166,'Données projet'!$B$166,DO15+DN16-DW15)))</f>
        <v>11.35303662145153</v>
      </c>
      <c r="DP16" s="18">
        <f>DO16*VLOOKUP('Données projet'!$B$14,Paramètres!$A$1:$I$89,3,0)*VLOOKUP('Données projet'!$B$14,Paramètres!$A$1:$I$89,5,0)</f>
        <v>12.220408619330426</v>
      </c>
      <c r="DQ16" s="14">
        <f t="shared" si="43"/>
        <v>4.2082449797185175</v>
      </c>
      <c r="DR16" s="22">
        <f t="shared" si="16"/>
        <v>28.613238351676909</v>
      </c>
      <c r="DS16" s="62">
        <f t="shared" si="17"/>
        <v>301.16879390723244</v>
      </c>
      <c r="DT16" s="62">
        <f ca="1">AVERAGE(OFFSET($DS$3,0,0,'Données projet'!$E$14+1,1))-AVERAGE(OFFSET($H$3,0,0,'Données projet'!$E$14+1,1))</f>
        <v>503.92230226365683</v>
      </c>
      <c r="DU16" s="62">
        <f t="shared" si="44"/>
        <v>267.2998309535638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2.1</v>
      </c>
      <c r="EJ16" s="13">
        <f>IF('Données projet'!$A$192&gt;35,EJ15+EI16-ER15,IF(A16&lt;'Données projet'!$A$192,$EG$205^A16,IF(A16='Données projet'!$A$192,'Données projet'!$B$192,EJ15+EI16-ER15)))</f>
        <v>11.35303662145153</v>
      </c>
      <c r="EK16" s="18">
        <f>EJ16*VLOOKUP('Données projet'!$B$15,Paramètres!$A$1:$I$89,3,0)*VLOOKUP('Données projet'!$B$15,Paramètres!$A$1:$I$89,5,0)</f>
        <v>10.98065702026792</v>
      </c>
      <c r="EL16" s="14">
        <f t="shared" si="45"/>
        <v>3.8286992592655618</v>
      </c>
      <c r="EM16" s="22">
        <f t="shared" si="19"/>
        <v>25.792962186854144</v>
      </c>
      <c r="EN16" s="62">
        <f t="shared" si="20"/>
        <v>298.34851774240968</v>
      </c>
      <c r="EO16" s="62">
        <f ca="1">AVERAGE(OFFSET($EN$3,0,0,'Données projet'!$E$15+1,1))-AVERAGE(OFFSET($H$3,0,0,'Données projet'!$E$15+1,1))</f>
        <v>457.16923206840744</v>
      </c>
      <c r="EP16" s="62">
        <f t="shared" si="46"/>
        <v>244.45149244446094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3.2666666666666666</v>
      </c>
      <c r="FE16" s="13">
        <f>IF('Données projet'!$A$218&gt;35,FE15+FD16-FM15,IF(A16&lt;'Données projet'!$A$218,$FB$205^A16,IF(A16='Données projet'!$A$218,'Données projet'!$B$218,FE15+FD16-FM15)))</f>
        <v>29.163295787873999</v>
      </c>
      <c r="FF16" s="18">
        <f>FE16*VLOOKUP('Données projet'!$B$16,Paramètres!$A$1:$I$89,3,0)*VLOOKUP('Données projet'!$B$16,Paramètres!$A$1:$I$89,5,0)</f>
        <v>19.562738814505877</v>
      </c>
      <c r="FG16" s="14">
        <f t="shared" si="47"/>
        <v>6.3776298464332308</v>
      </c>
      <c r="FH16" s="22">
        <f t="shared" si="22"/>
        <v>45.179475417802273</v>
      </c>
      <c r="FI16" s="62">
        <f t="shared" si="23"/>
        <v>317.73503097335782</v>
      </c>
      <c r="FJ16" s="62">
        <f ca="1">AVERAGE(OFFSET($FI$3,0,0,'Données projet'!$E$16+1,1))-AVERAGE(OFFSET($H$3,0,0,'Données projet'!$E$16+1,1))</f>
        <v>385.97853124853452</v>
      </c>
      <c r="FK16" s="62">
        <f t="shared" si="48"/>
        <v>300.99118099739695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>
        <f>VLOOKUP(A17,'Données projet'!$A$35:$I$55,2,0)</f>
        <v>149</v>
      </c>
      <c r="L17" s="13">
        <f>VLOOKUP(A17,'Données projet'!$A$35:$I$55,9,0)</f>
        <v>24</v>
      </c>
      <c r="M17" s="13">
        <f t="array" ref="M17">INDEX(L:L,MIN(IF(ISNUMBER(L17:L213),ROW(L17:L213),"")))</f>
        <v>24</v>
      </c>
      <c r="N17" s="14">
        <f>IF('Données projet'!$A$36&gt;35,N16+M17-V16,IF(A17&lt;'Données projet'!$A$36,$K$205^A17,IF(A17='Données projet'!$A$36,'Données projet'!$B$36,N16+M17-V16)))</f>
        <v>149</v>
      </c>
      <c r="O17" s="14">
        <f>N17*VLOOKUP('Données projet'!$B$9,Paramètres!$A$1:$I$89,3,0)*VLOOKUP('Données projet'!$B$9,Paramètres!$A$1:$I$89,5,0)</f>
        <v>75.775440000000017</v>
      </c>
      <c r="P17" s="14">
        <f t="shared" si="33"/>
        <v>21.101018495944235</v>
      </c>
      <c r="Q17" s="22">
        <f t="shared" si="2"/>
        <v>168.72649854710286</v>
      </c>
      <c r="R17" s="62">
        <f t="shared" si="0"/>
        <v>442.50427632488061</v>
      </c>
      <c r="S17" s="62">
        <f ca="1">AVERAGE(OFFSET($R$3,0,0,'Données projet'!$E$9+1,1))-AVERAGE(OFFSET($H$3,0,0,'Données projet'!$E$9+1,1))</f>
        <v>132.280299502248</v>
      </c>
      <c r="T17" s="62">
        <f t="shared" si="34"/>
        <v>337.98099449405339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12.383034850580612</v>
      </c>
      <c r="AK17" s="14">
        <f t="shared" si="35"/>
        <v>4.2576904771143838</v>
      </c>
      <c r="AL17" s="22">
        <f t="shared" si="4"/>
        <v>28.982596612402116</v>
      </c>
      <c r="AM17" s="62">
        <f t="shared" si="5"/>
        <v>302.76037439017989</v>
      </c>
      <c r="AN17" s="62">
        <f ca="1">AVERAGE(OFFSET($AM$3,0,0,'Données projet'!$E$10+1,1))-AVERAGE(OFFSET($H$3,0,0,'Données projet'!$E$10+1,1))</f>
        <v>430.40491895612814</v>
      </c>
      <c r="AO17" s="62">
        <f t="shared" si="36"/>
        <v>231.36959598460686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4.3703703703703702</v>
      </c>
      <c r="BD17" s="13">
        <f>IF('Données projet'!$A$88&gt;35,BD16+BC17-BL16,IF(A17&lt;'Données projet'!$A$88,$BA$205^A17,IF(A17='Données projet'!$A$88,'Données projet'!$B$88,BD16+BC17-BL16)))</f>
        <v>11.866132377366407</v>
      </c>
      <c r="BE17" s="14">
        <f>BD17*VLOOKUP('Données projet'!$B$11,Paramètres!$A$1:$I$89,3,0)*VLOOKUP('Données projet'!$B$11,Paramètres!$A$1:$I$89,5,0)</f>
        <v>7.0959471616651122</v>
      </c>
      <c r="BF17" s="14">
        <f t="shared" si="37"/>
        <v>2.6031837849951125</v>
      </c>
      <c r="BG17" s="22">
        <f t="shared" si="7"/>
        <v>16.892653065433223</v>
      </c>
      <c r="BH17" s="62">
        <f t="shared" si="8"/>
        <v>290.67043084321097</v>
      </c>
      <c r="BI17" s="62">
        <f ca="1">AVERAGE(OFFSET($BH$3,0,0,'Données projet'!$E$11+1,1))-AVERAGE(OFFSET($H$3,0,0,'Données projet'!$E$11+1,1))</f>
        <v>295.83974441964551</v>
      </c>
      <c r="BJ17" s="62">
        <f t="shared" si="38"/>
        <v>212.24900914818096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4.2272727272727275</v>
      </c>
      <c r="BY17" s="13">
        <f>IF('Données projet'!$A$114&gt;35,BY16+BX17-CG16,IF(A17&lt;'Données projet'!$A$114,$BV$205^A17,IF(A17='Données projet'!$A$114,'Données projet'!$B$114,BY16+BX17-CG16)))</f>
        <v>17.892497584733903</v>
      </c>
      <c r="BZ17" s="14">
        <f>BY17*VLOOKUP('Données projet'!$B$12,Paramètres!$A$1:$I$89,3,0)*VLOOKUP('Données projet'!$B$12,Paramètres!$A$1:$I$89,5,0)</f>
        <v>10.234508618467792</v>
      </c>
      <c r="CA17" s="14">
        <f t="shared" si="39"/>
        <v>3.5978848741042291</v>
      </c>
      <c r="CB17" s="22">
        <f t="shared" si="10"/>
        <v>24.091418666229604</v>
      </c>
      <c r="CC17" s="62">
        <f t="shared" si="11"/>
        <v>297.8691964440074</v>
      </c>
      <c r="CD17" s="62">
        <f ca="1">AVERAGE(OFFSET($CC$3,0,0,'Données projet'!$E$12+1,1))-AVERAGE(OFFSET($H$3,0,0,'Données projet'!$E$12+1,1))</f>
        <v>309.71642374647882</v>
      </c>
      <c r="CE17" s="62">
        <f t="shared" si="40"/>
        <v>266.63880397664315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2.4666666666666668</v>
      </c>
      <c r="CT17" s="13">
        <f>IF('Données projet'!$A$140&gt;35,CT16+CS17-DB16,IF(A17&lt;'Données projet'!$A$140,$CQ$205^A17,IF(A17='Données projet'!$A$140,'Données projet'!$B$140,CT16+CS17-DB16)))</f>
        <v>29.084054009429774</v>
      </c>
      <c r="CU17" s="18">
        <f>CT17*VLOOKUP('Données projet'!$B$13,Paramètres!$A$1:$I$89,3,0)*VLOOKUP('Données projet'!$B$13,Paramètres!$A$1:$I$89,5,0)</f>
        <v>23.13927336990233</v>
      </c>
      <c r="CV17" s="14">
        <f t="shared" si="41"/>
        <v>7.3976107331343286</v>
      </c>
      <c r="CW17" s="22">
        <f t="shared" si="13"/>
        <v>53.185073146122171</v>
      </c>
      <c r="CX17" s="62">
        <f t="shared" si="14"/>
        <v>326.96285092389996</v>
      </c>
      <c r="CY17" s="62">
        <f ca="1">AVERAGE(OFFSET($CX$3,0,0,'Données projet'!$E$13+1,1))-AVERAGE(OFFSET($H$3,0,0,'Données projet'!$E$13+1,1))</f>
        <v>312.53381881960331</v>
      </c>
      <c r="CZ17" s="62">
        <f t="shared" si="42"/>
        <v>342.06887933351783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2.1</v>
      </c>
      <c r="DO17" s="13">
        <f>IF('Données projet'!$A$166&gt;35,DO16+DN17-DW16,IF(A17&lt;'Données projet'!$A$166,$DL$205^A17,IF(A17='Données projet'!$A$166,'Données projet'!$B$166,DO16+DN17-DW16)))</f>
        <v>13.685935953338433</v>
      </c>
      <c r="DP17" s="18">
        <f>DO17*VLOOKUP('Données projet'!$B$14,Paramètres!$A$1:$I$89,3,0)*VLOOKUP('Données projet'!$B$14,Paramètres!$A$1:$I$89,5,0)</f>
        <v>14.731541460173487</v>
      </c>
      <c r="DQ17" s="14">
        <f t="shared" si="43"/>
        <v>4.9638216355053304</v>
      </c>
      <c r="DR17" s="22">
        <f t="shared" si="16"/>
        <v>34.302757391640604</v>
      </c>
      <c r="DS17" s="62">
        <f t="shared" si="17"/>
        <v>308.0805351694184</v>
      </c>
      <c r="DT17" s="62">
        <f ca="1">AVERAGE(OFFSET($DS$3,0,0,'Données projet'!$E$14+1,1))-AVERAGE(OFFSET($H$3,0,0,'Données projet'!$E$14+1,1))</f>
        <v>503.92230226365683</v>
      </c>
      <c r="DU17" s="62">
        <f t="shared" si="44"/>
        <v>267.2998309535638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2.1</v>
      </c>
      <c r="EJ17" s="13">
        <f>IF('Données projet'!$A$192&gt;35,EJ16+EI17-ER16,IF(A17&lt;'Données projet'!$A$192,$EG$205^A17,IF(A17='Données projet'!$A$192,'Données projet'!$B$192,EJ16+EI17-ER16)))</f>
        <v>13.685935953338433</v>
      </c>
      <c r="EK17" s="18">
        <f>EJ17*VLOOKUP('Données projet'!$B$15,Paramètres!$A$1:$I$89,3,0)*VLOOKUP('Données projet'!$B$15,Paramètres!$A$1:$I$89,5,0)</f>
        <v>13.237037254068934</v>
      </c>
      <c r="EL17" s="14">
        <f t="shared" si="45"/>
        <v>4.5161297192961545</v>
      </c>
      <c r="EM17" s="22">
        <f t="shared" si="19"/>
        <v>30.920099145277529</v>
      </c>
      <c r="EN17" s="62">
        <f t="shared" si="20"/>
        <v>304.69787692305528</v>
      </c>
      <c r="EO17" s="62">
        <f ca="1">AVERAGE(OFFSET($EN$3,0,0,'Données projet'!$E$15+1,1))-AVERAGE(OFFSET($H$3,0,0,'Données projet'!$E$15+1,1))</f>
        <v>457.16923206840744</v>
      </c>
      <c r="EP17" s="62">
        <f t="shared" si="46"/>
        <v>244.45149244446094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3.2666666666666666</v>
      </c>
      <c r="FE17" s="13">
        <f>IF('Données projet'!$A$218&gt;35,FE16+FD17-FM16,IF(A17&lt;'Données projet'!$A$218,$FB$205^A17,IF(A17='Données projet'!$A$218,'Données projet'!$B$218,FE16+FD17-FM16)))</f>
        <v>37.802136098451172</v>
      </c>
      <c r="FF17" s="18">
        <f>FE17*VLOOKUP('Données projet'!$B$16,Paramètres!$A$1:$I$89,3,0)*VLOOKUP('Données projet'!$B$16,Paramètres!$A$1:$I$89,5,0)</f>
        <v>25.357672894841045</v>
      </c>
      <c r="FG17" s="14">
        <f t="shared" si="47"/>
        <v>8.0209004564203745</v>
      </c>
      <c r="FH17" s="22">
        <f t="shared" si="22"/>
        <v>58.134348586780305</v>
      </c>
      <c r="FI17" s="62">
        <f t="shared" si="23"/>
        <v>331.91212636455805</v>
      </c>
      <c r="FJ17" s="62">
        <f ca="1">AVERAGE(OFFSET($FI$3,0,0,'Données projet'!$E$16+1,1))-AVERAGE(OFFSET($H$3,0,0,'Données projet'!$E$16+1,1))</f>
        <v>385.97853124853452</v>
      </c>
      <c r="FK17" s="62">
        <f t="shared" si="48"/>
        <v>300.99118099739695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172</v>
      </c>
      <c r="L18" s="13">
        <f>VLOOKUP(A18,'Données projet'!$A$35:$I$55,9,0)</f>
        <v>23</v>
      </c>
      <c r="M18" s="13">
        <f t="array" ref="M18">INDEX(L:L,MIN(IF(ISNUMBER(L18:L214),ROW(L18:L214),"")))</f>
        <v>23</v>
      </c>
      <c r="N18" s="14">
        <f>IF('Données projet'!$A$36&gt;35,N17+M18-V17,IF(A18&lt;'Données projet'!$A$36,$K$205^A18,IF(A18='Données projet'!$A$36,'Données projet'!$B$36,N17+M18-V17)))</f>
        <v>172</v>
      </c>
      <c r="O18" s="14">
        <f>N18*VLOOKUP('Données projet'!$B$9,Paramètres!$A$1:$I$89,3,0)*VLOOKUP('Données projet'!$B$9,Paramètres!$A$1:$I$89,5,0)</f>
        <v>87.472320000000011</v>
      </c>
      <c r="P18" s="14">
        <f t="shared" si="33"/>
        <v>23.954602415239084</v>
      </c>
      <c r="Q18" s="22">
        <f t="shared" si="2"/>
        <v>194.06855653987475</v>
      </c>
      <c r="R18" s="62">
        <f t="shared" si="0"/>
        <v>469.06855653987475</v>
      </c>
      <c r="S18" s="62">
        <f ca="1">AVERAGE(OFFSET($R$3,0,0,'Données projet'!$E$9+1,1))-AVERAGE(OFFSET($H$3,0,0,'Données projet'!$E$9+1,1))</f>
        <v>132.280299502248</v>
      </c>
      <c r="T18" s="62">
        <f t="shared" si="34"/>
        <v>337.98099449405339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14.927585237660953</v>
      </c>
      <c r="AK18" s="14">
        <f t="shared" si="35"/>
        <v>5.0221449106318534</v>
      </c>
      <c r="AL18" s="22">
        <f t="shared" si="4"/>
        <v>34.745780008276633</v>
      </c>
      <c r="AM18" s="62">
        <f t="shared" si="5"/>
        <v>309.74578000827665</v>
      </c>
      <c r="AN18" s="62">
        <f ca="1">AVERAGE(OFFSET($AM$3,0,0,'Données projet'!$E$10+1,1))-AVERAGE(OFFSET($H$3,0,0,'Données projet'!$E$10+1,1))</f>
        <v>430.40491895612814</v>
      </c>
      <c r="AO18" s="62">
        <f t="shared" si="36"/>
        <v>231.36959598460686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4.3703703703703702</v>
      </c>
      <c r="BD18" s="13">
        <f>IF('Données projet'!$A$88&gt;35,BD17+BC18-BL17,IF(A18&lt;'Données projet'!$A$88,$BA$205^A18,IF(A18='Données projet'!$A$88,'Données projet'!$B$88,BD17+BC18-BL17)))</f>
        <v>14.159423114374338</v>
      </c>
      <c r="BE18" s="14">
        <f>BD18*VLOOKUP('Données projet'!$B$11,Paramètres!$A$1:$I$89,3,0)*VLOOKUP('Données projet'!$B$11,Paramètres!$A$1:$I$89,5,0)</f>
        <v>8.4673350223958543</v>
      </c>
      <c r="BF18" s="14">
        <f t="shared" si="37"/>
        <v>3.0430499948027987</v>
      </c>
      <c r="BG18" s="22">
        <f t="shared" si="7"/>
        <v>20.047253904954317</v>
      </c>
      <c r="BH18" s="62">
        <f t="shared" si="8"/>
        <v>295.04725390495435</v>
      </c>
      <c r="BI18" s="62">
        <f ca="1">AVERAGE(OFFSET($BH$3,0,0,'Données projet'!$E$11+1,1))-AVERAGE(OFFSET($H$3,0,0,'Données projet'!$E$11+1,1))</f>
        <v>295.83974441964551</v>
      </c>
      <c r="BJ18" s="62">
        <f t="shared" si="38"/>
        <v>212.24900914818096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4.2272727272727275</v>
      </c>
      <c r="BY18" s="13">
        <f>IF('Données projet'!$A$114&gt;35,BY17+BX18-CG17,IF(A18&lt;'Données projet'!$A$114,$BV$205^A18,IF(A18='Données projet'!$A$114,'Données projet'!$B$114,BY17+BX18-CG17)))</f>
        <v>21.986062839927392</v>
      </c>
      <c r="BZ18" s="14">
        <f>BY18*VLOOKUP('Données projet'!$B$12,Paramètres!$A$1:$I$89,3,0)*VLOOKUP('Données projet'!$B$12,Paramètres!$A$1:$I$89,5,0)</f>
        <v>12.576027944438469</v>
      </c>
      <c r="CA18" s="14">
        <f t="shared" si="39"/>
        <v>4.316270916285923</v>
      </c>
      <c r="CB18" s="22">
        <f t="shared" si="10"/>
        <v>29.420753849094982</v>
      </c>
      <c r="CC18" s="62">
        <f t="shared" si="11"/>
        <v>304.42075384909498</v>
      </c>
      <c r="CD18" s="62">
        <f ca="1">AVERAGE(OFFSET($CC$3,0,0,'Données projet'!$E$12+1,1))-AVERAGE(OFFSET($H$3,0,0,'Données projet'!$E$12+1,1))</f>
        <v>309.71642374647882</v>
      </c>
      <c r="CE18" s="62">
        <f t="shared" si="40"/>
        <v>266.63880397664315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37</v>
      </c>
      <c r="CR18" s="13">
        <f>VLOOKUP(A18,'Données projet'!$A$139:$I$159,9,0)</f>
        <v>2.4666666666666668</v>
      </c>
      <c r="CS18" s="13">
        <f t="array" ref="CS18">INDEX(CR:CR,MIN(IF(ISNUMBER(CR18:CR214),ROW(CR18:CR214),"")))</f>
        <v>2.4666666666666668</v>
      </c>
      <c r="CT18" s="13">
        <f>IF('Données projet'!$A$140&gt;35,CT17+CS18-DB17,IF(A18&lt;'Données projet'!$A$140,$CQ$205^A18,IF(A18='Données projet'!$A$140,'Données projet'!$B$140,CT17+CS18-DB17)))</f>
        <v>37</v>
      </c>
      <c r="CU18" s="18">
        <f>CT18*VLOOKUP('Données projet'!$B$13,Paramètres!$A$1:$I$89,3,0)*VLOOKUP('Données projet'!$B$13,Paramètres!$A$1:$I$89,5,0)</f>
        <v>29.437200000000004</v>
      </c>
      <c r="CV18" s="14">
        <f t="shared" si="41"/>
        <v>9.1510096001539196</v>
      </c>
      <c r="CW18" s="22">
        <f t="shared" si="13"/>
        <v>67.207798386934755</v>
      </c>
      <c r="CX18" s="62">
        <f t="shared" si="14"/>
        <v>342.20779838693477</v>
      </c>
      <c r="CY18" s="62">
        <f ca="1">AVERAGE(OFFSET($CX$3,0,0,'Données projet'!$E$13+1,1))-AVERAGE(OFFSET($H$3,0,0,'Données projet'!$E$13+1,1))</f>
        <v>312.53381881960331</v>
      </c>
      <c r="CZ18" s="62">
        <f t="shared" si="42"/>
        <v>342.06887933351783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2.1</v>
      </c>
      <c r="DO18" s="13">
        <f>IF('Données projet'!$A$166&gt;35,DO17+DN18-DW17,IF(A18&lt;'Données projet'!$A$166,$DL$205^A18,IF(A18='Données projet'!$A$166,'Données projet'!$B$166,DO17+DN18-DW17)))</f>
        <v>16.498215337821566</v>
      </c>
      <c r="DP18" s="18">
        <f>DO18*VLOOKUP('Données projet'!$B$14,Paramètres!$A$1:$I$89,3,0)*VLOOKUP('Données projet'!$B$14,Paramètres!$A$1:$I$89,5,0)</f>
        <v>17.758678989631132</v>
      </c>
      <c r="DQ18" s="14">
        <f t="shared" si="43"/>
        <v>5.8550596146042126</v>
      </c>
      <c r="DR18" s="22">
        <f t="shared" si="16"/>
        <v>41.127261402376554</v>
      </c>
      <c r="DS18" s="62">
        <f t="shared" si="17"/>
        <v>316.12726140237658</v>
      </c>
      <c r="DT18" s="62">
        <f ca="1">AVERAGE(OFFSET($DS$3,0,0,'Données projet'!$E$14+1,1))-AVERAGE(OFFSET($H$3,0,0,'Données projet'!$E$14+1,1))</f>
        <v>503.92230226365683</v>
      </c>
      <c r="DU18" s="62">
        <f t="shared" si="44"/>
        <v>267.2998309535638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2.1</v>
      </c>
      <c r="EJ18" s="13">
        <f>IF('Données projet'!$A$192&gt;35,EJ17+EI18-ER17,IF(A18&lt;'Données projet'!$A$192,$EG$205^A18,IF(A18='Données projet'!$A$192,'Données projet'!$B$192,EJ17+EI18-ER17)))</f>
        <v>16.498215337821566</v>
      </c>
      <c r="EK18" s="18">
        <f>EJ18*VLOOKUP('Données projet'!$B$15,Paramètres!$A$1:$I$89,3,0)*VLOOKUP('Données projet'!$B$15,Paramètres!$A$1:$I$89,5,0)</f>
        <v>15.957073874741019</v>
      </c>
      <c r="EL18" s="14">
        <f t="shared" si="45"/>
        <v>5.3269860755326848</v>
      </c>
      <c r="EM18" s="22">
        <f t="shared" si="19"/>
        <v>37.069737746726702</v>
      </c>
      <c r="EN18" s="62">
        <f t="shared" si="20"/>
        <v>312.06973774672667</v>
      </c>
      <c r="EO18" s="62">
        <f ca="1">AVERAGE(OFFSET($EN$3,0,0,'Données projet'!$E$15+1,1))-AVERAGE(OFFSET($H$3,0,0,'Données projet'!$E$15+1,1))</f>
        <v>457.16923206840744</v>
      </c>
      <c r="EP18" s="62">
        <f t="shared" si="46"/>
        <v>244.45149244446094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>
        <f>VLOOKUP(A18,'Données projet'!$A$217:$I$237,2,0)</f>
        <v>49</v>
      </c>
      <c r="FC18" s="13">
        <f>VLOOKUP(A18,'Données projet'!$A$217:$I$237,9,0)</f>
        <v>3.2666666666666666</v>
      </c>
      <c r="FD18" s="13">
        <f t="array" ref="FD18">INDEX(FC:FC,MIN(IF(ISNUMBER(FC18:FC214),ROW(FC18:FC214),"")))</f>
        <v>3.2666666666666666</v>
      </c>
      <c r="FE18" s="13">
        <f>IF('Données projet'!$A$218&gt;35,FE17+FD18-FM17,IF(A18&lt;'Données projet'!$A$218,$FB$205^A18,IF(A18='Données projet'!$A$218,'Données projet'!$B$218,FE17+FD18-FM17)))</f>
        <v>49</v>
      </c>
      <c r="FF18" s="18">
        <f>FE18*VLOOKUP('Données projet'!$B$16,Paramètres!$A$1:$I$89,3,0)*VLOOKUP('Données projet'!$B$16,Paramètres!$A$1:$I$89,5,0)</f>
        <v>32.869199999999999</v>
      </c>
      <c r="FG18" s="14">
        <f t="shared" si="47"/>
        <v>10.087578878191662</v>
      </c>
      <c r="FH18" s="22">
        <f t="shared" si="22"/>
        <v>74.816389879517146</v>
      </c>
      <c r="FI18" s="62">
        <f t="shared" si="23"/>
        <v>349.81638987951715</v>
      </c>
      <c r="FJ18" s="62">
        <f ca="1">AVERAGE(OFFSET($FI$3,0,0,'Données projet'!$E$16+1,1))-AVERAGE(OFFSET($H$3,0,0,'Données projet'!$E$16+1,1))</f>
        <v>385.97853124853452</v>
      </c>
      <c r="FK18" s="62">
        <f t="shared" si="48"/>
        <v>300.99118099739695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>
        <f>VLOOKUP(A19,'Données projet'!$A$35:$I$55,2,0)</f>
        <v>193</v>
      </c>
      <c r="L19" s="13">
        <f>VLOOKUP(A19,'Données projet'!$A$35:$I$55,9,0)</f>
        <v>21</v>
      </c>
      <c r="M19" s="13">
        <f t="array" ref="M19">INDEX(L:L,MIN(IF(ISNUMBER(L19:L215),ROW(L19:L215),"")))</f>
        <v>21</v>
      </c>
      <c r="N19" s="14">
        <f>IF('Données projet'!$A$36&gt;35,N18+M19-V18,IF(A19&lt;'Données projet'!$A$36,$K$205^A19,IF(A19='Données projet'!$A$36,'Données projet'!$B$36,N18+M19-V18)))</f>
        <v>193</v>
      </c>
      <c r="O19" s="14">
        <f>N19*VLOOKUP('Données projet'!$B$9,Paramètres!$A$1:$I$89,3,0)*VLOOKUP('Données projet'!$B$9,Paramètres!$A$1:$I$89,5,0)</f>
        <v>98.152079999999998</v>
      </c>
      <c r="P19" s="14">
        <f t="shared" si="33"/>
        <v>26.521279327341439</v>
      </c>
      <c r="Q19" s="22">
        <f t="shared" si="2"/>
        <v>217.13943416178634</v>
      </c>
      <c r="R19" s="62">
        <f t="shared" si="0"/>
        <v>493.3616563840086</v>
      </c>
      <c r="S19" s="62">
        <f ca="1">AVERAGE(OFFSET($R$3,0,0,'Données projet'!$E$9+1,1))-AVERAGE(OFFSET($H$3,0,0,'Données projet'!$E$9+1,1))</f>
        <v>132.280299502248</v>
      </c>
      <c r="T19" s="62">
        <f t="shared" si="34"/>
        <v>337.98099449405339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17.995007178485412</v>
      </c>
      <c r="AK19" s="14">
        <f t="shared" si="35"/>
        <v>5.9238546434872337</v>
      </c>
      <c r="AL19" s="22">
        <f t="shared" si="4"/>
        <v>41.658684339935689</v>
      </c>
      <c r="AM19" s="62">
        <f t="shared" si="5"/>
        <v>317.88090656215792</v>
      </c>
      <c r="AN19" s="62">
        <f ca="1">AVERAGE(OFFSET($AM$3,0,0,'Données projet'!$E$10+1,1))-AVERAGE(OFFSET($H$3,0,0,'Données projet'!$E$10+1,1))</f>
        <v>430.40491895612814</v>
      </c>
      <c r="AO19" s="62">
        <f t="shared" si="36"/>
        <v>231.36959598460686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4.3703703703703702</v>
      </c>
      <c r="BD19" s="13">
        <f>IF('Données projet'!$A$88&gt;35,BD18+BC19-BL18,IF(A19&lt;'Données projet'!$A$88,$BA$205^A19,IF(A19='Données projet'!$A$88,'Données projet'!$B$88,BD18+BC19-BL18)))</f>
        <v>16.895923335078734</v>
      </c>
      <c r="BE19" s="14">
        <f>BD19*VLOOKUP('Données projet'!$B$11,Paramètres!$A$1:$I$89,3,0)*VLOOKUP('Données projet'!$B$11,Paramètres!$A$1:$I$89,5,0)</f>
        <v>10.103762154377083</v>
      </c>
      <c r="BF19" s="14">
        <f t="shared" si="37"/>
        <v>3.5572414534253478</v>
      </c>
      <c r="BG19" s="22">
        <f t="shared" si="7"/>
        <v>23.79291461692257</v>
      </c>
      <c r="BH19" s="62">
        <f t="shared" si="8"/>
        <v>300.01513683914482</v>
      </c>
      <c r="BI19" s="62">
        <f ca="1">AVERAGE(OFFSET($BH$3,0,0,'Données projet'!$E$11+1,1))-AVERAGE(OFFSET($H$3,0,0,'Données projet'!$E$11+1,1))</f>
        <v>295.83974441964551</v>
      </c>
      <c r="BJ19" s="62">
        <f t="shared" si="38"/>
        <v>212.24900914818096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4.2272727272727275</v>
      </c>
      <c r="BY19" s="13">
        <f>IF('Données projet'!$A$114&gt;35,BY18+BX19-CG18,IF(A19&lt;'Données projet'!$A$114,$BV$205^A19,IF(A19='Données projet'!$A$114,'Données projet'!$B$114,BY18+BX19-CG18)))</f>
        <v>27.016181330306161</v>
      </c>
      <c r="BZ19" s="14">
        <f>BY19*VLOOKUP('Données projet'!$B$12,Paramètres!$A$1:$I$89,3,0)*VLOOKUP('Données projet'!$B$12,Paramètres!$A$1:$I$89,5,0)</f>
        <v>15.453255720935125</v>
      </c>
      <c r="CA19" s="14">
        <f t="shared" si="39"/>
        <v>5.1780963745856683</v>
      </c>
      <c r="CB19" s="22">
        <f t="shared" si="10"/>
        <v>35.932938233032047</v>
      </c>
      <c r="CC19" s="62">
        <f t="shared" si="11"/>
        <v>312.1551604552543</v>
      </c>
      <c r="CD19" s="62">
        <f ca="1">AVERAGE(OFFSET($CC$3,0,0,'Données projet'!$E$12+1,1))-AVERAGE(OFFSET($H$3,0,0,'Données projet'!$E$12+1,1))</f>
        <v>309.71642374647882</v>
      </c>
      <c r="CE19" s="62">
        <f t="shared" si="40"/>
        <v>266.63880397664315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11.6</v>
      </c>
      <c r="CT19" s="13">
        <f>IF('Données projet'!$A$140&gt;35,CT18+CS19-DB18,IF(A19&lt;'Données projet'!$A$140,$CQ$205^A19,IF(A19='Données projet'!$A$140,'Données projet'!$B$140,CT18+CS19-DB18)))</f>
        <v>48.6</v>
      </c>
      <c r="CU19" s="18">
        <f>CT19*VLOOKUP('Données projet'!$B$13,Paramètres!$A$1:$I$89,3,0)*VLOOKUP('Données projet'!$B$13,Paramètres!$A$1:$I$89,5,0)</f>
        <v>38.666160000000005</v>
      </c>
      <c r="CV19" s="14">
        <f t="shared" si="41"/>
        <v>11.644417682758437</v>
      </c>
      <c r="CW19" s="22">
        <f t="shared" si="13"/>
        <v>87.624256130804284</v>
      </c>
      <c r="CX19" s="62">
        <f t="shared" si="14"/>
        <v>363.8464783530265</v>
      </c>
      <c r="CY19" s="62">
        <f ca="1">AVERAGE(OFFSET($CX$3,0,0,'Données projet'!$E$13+1,1))-AVERAGE(OFFSET($H$3,0,0,'Données projet'!$E$13+1,1))</f>
        <v>312.53381881960331</v>
      </c>
      <c r="CZ19" s="62">
        <f t="shared" si="42"/>
        <v>342.06887933351783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2.1</v>
      </c>
      <c r="DO19" s="13">
        <f>IF('Données projet'!$A$166&gt;35,DO18+DN19-DW18,IF(A19&lt;'Données projet'!$A$166,$DL$205^A19,IF(A19='Données projet'!$A$166,'Données projet'!$B$166,DO18+DN19-DW18)))</f>
        <v>19.888381054913147</v>
      </c>
      <c r="DP19" s="18">
        <f>DO19*VLOOKUP('Données projet'!$B$14,Paramètres!$A$1:$I$89,3,0)*VLOOKUP('Données projet'!$B$14,Paramètres!$A$1:$I$89,5,0)</f>
        <v>21.407853367508512</v>
      </c>
      <c r="DQ19" s="14">
        <f t="shared" si="43"/>
        <v>6.906316464991046</v>
      </c>
      <c r="DR19" s="22">
        <f t="shared" si="16"/>
        <v>49.313845791603399</v>
      </c>
      <c r="DS19" s="62">
        <f t="shared" si="17"/>
        <v>325.53606801382563</v>
      </c>
      <c r="DT19" s="62">
        <f ca="1">AVERAGE(OFFSET($DS$3,0,0,'Données projet'!$E$14+1,1))-AVERAGE(OFFSET($H$3,0,0,'Données projet'!$E$14+1,1))</f>
        <v>503.92230226365683</v>
      </c>
      <c r="DU19" s="62">
        <f t="shared" si="44"/>
        <v>267.2998309535638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2.1</v>
      </c>
      <c r="EJ19" s="13">
        <f>IF('Données projet'!$A$192&gt;35,EJ18+EI19-ER18,IF(A19&lt;'Données projet'!$A$192,$EG$205^A19,IF(A19='Données projet'!$A$192,'Données projet'!$B$192,EJ18+EI19-ER18)))</f>
        <v>19.888381054913147</v>
      </c>
      <c r="EK19" s="18">
        <f>EJ19*VLOOKUP('Données projet'!$B$15,Paramètres!$A$1:$I$89,3,0)*VLOOKUP('Données projet'!$B$15,Paramètres!$A$1:$I$89,5,0)</f>
        <v>19.236042156311996</v>
      </c>
      <c r="EL19" s="14">
        <f t="shared" si="45"/>
        <v>6.2834290449348904</v>
      </c>
      <c r="EM19" s="22">
        <f t="shared" si="19"/>
        <v>44.446412342171662</v>
      </c>
      <c r="EN19" s="62">
        <f t="shared" si="20"/>
        <v>320.66863456439387</v>
      </c>
      <c r="EO19" s="62">
        <f ca="1">AVERAGE(OFFSET($EN$3,0,0,'Données projet'!$E$15+1,1))-AVERAGE(OFFSET($H$3,0,0,'Données projet'!$E$15+1,1))</f>
        <v>457.16923206840744</v>
      </c>
      <c r="EP19" s="62">
        <f t="shared" si="46"/>
        <v>244.45149244446094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9.8000000000000007</v>
      </c>
      <c r="FE19" s="13">
        <f>IF('Données projet'!$A$218&gt;35,FE18+FD19-FM18,IF(A19&lt;'Données projet'!$A$218,$FB$205^A19,IF(A19='Données projet'!$A$218,'Données projet'!$B$218,FE18+FD19-FM18)))</f>
        <v>58.8</v>
      </c>
      <c r="FF19" s="18">
        <f>FE19*VLOOKUP('Données projet'!$B$16,Paramètres!$A$1:$I$89,3,0)*VLOOKUP('Données projet'!$B$16,Paramètres!$A$1:$I$89,5,0)</f>
        <v>39.443039999999996</v>
      </c>
      <c r="FG19" s="14">
        <f t="shared" si="47"/>
        <v>11.850904343164059</v>
      </c>
      <c r="FH19" s="22">
        <f t="shared" si="22"/>
        <v>89.336953064344058</v>
      </c>
      <c r="FI19" s="62">
        <f t="shared" si="23"/>
        <v>365.5591752865663</v>
      </c>
      <c r="FJ19" s="62">
        <f ca="1">AVERAGE(OFFSET($FI$3,0,0,'Données projet'!$E$16+1,1))-AVERAGE(OFFSET($H$3,0,0,'Données projet'!$E$16+1,1))</f>
        <v>385.97853124853452</v>
      </c>
      <c r="FK19" s="62">
        <f t="shared" si="48"/>
        <v>300.99118099739695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212</v>
      </c>
      <c r="L20" s="13">
        <f>VLOOKUP(A20,'Données projet'!$A$35:$I$55,9,0)</f>
        <v>19</v>
      </c>
      <c r="M20" s="13">
        <f t="array" ref="M20">INDEX(L:L,MIN(IF(ISNUMBER(L20:L216),ROW(L20:L216),"")))</f>
        <v>19</v>
      </c>
      <c r="N20" s="14">
        <f>IF('Données projet'!$A$36&gt;35,N19+M20-V19,IF(A20&lt;'Données projet'!$A$36,$K$205^A20,IF(A20='Données projet'!$A$36,'Données projet'!$B$36,N19+M20-V19)))</f>
        <v>212</v>
      </c>
      <c r="O20" s="14">
        <f>N20*VLOOKUP('Données projet'!$B$9,Paramètres!$A$1:$I$89,3,0)*VLOOKUP('Données projet'!$B$9,Paramètres!$A$1:$I$89,5,0)</f>
        <v>107.81472000000002</v>
      </c>
      <c r="P20" s="14">
        <f t="shared" si="33"/>
        <v>28.815515814589094</v>
      </c>
      <c r="Q20" s="22">
        <f t="shared" si="2"/>
        <v>237.96432737707607</v>
      </c>
      <c r="R20" s="62">
        <f t="shared" si="0"/>
        <v>515.40877182152053</v>
      </c>
      <c r="S20" s="62">
        <f ca="1">AVERAGE(OFFSET($R$3,0,0,'Données projet'!$E$9+1,1))-AVERAGE(OFFSET($H$3,0,0,'Données projet'!$E$9+1,1))</f>
        <v>132.280299502248</v>
      </c>
      <c r="T20" s="62">
        <f t="shared" si="34"/>
        <v>337.98099449405339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21.692743883101215</v>
      </c>
      <c r="AK20" s="14">
        <f t="shared" si="35"/>
        <v>6.98746341685115</v>
      </c>
      <c r="AL20" s="22">
        <f t="shared" si="4"/>
        <v>49.951361047417038</v>
      </c>
      <c r="AM20" s="62">
        <f t="shared" si="5"/>
        <v>327.39580549186149</v>
      </c>
      <c r="AN20" s="62">
        <f ca="1">AVERAGE(OFFSET($AM$3,0,0,'Données projet'!$E$10+1,1))-AVERAGE(OFFSET($H$3,0,0,'Données projet'!$E$10+1,1))</f>
        <v>430.40491895612814</v>
      </c>
      <c r="AO20" s="62">
        <f t="shared" si="36"/>
        <v>231.36959598460686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4.3703703703703702</v>
      </c>
      <c r="BD20" s="13">
        <f>IF('Données projet'!$A$88&gt;35,BD19+BC20-BL19,IF(A20&lt;'Données projet'!$A$88,$BA$205^A20,IF(A20='Données projet'!$A$88,'Données projet'!$B$88,BD19+BC20-BL19)))</f>
        <v>20.161289272799031</v>
      </c>
      <c r="BE20" s="14">
        <f>BD20*VLOOKUP('Données projet'!$B$11,Paramètres!$A$1:$I$89,3,0)*VLOOKUP('Données projet'!$B$11,Paramètres!$A$1:$I$89,5,0)</f>
        <v>12.056450985133822</v>
      </c>
      <c r="BF20" s="14">
        <f t="shared" si="37"/>
        <v>4.1583170764789594</v>
      </c>
      <c r="BG20" s="22">
        <f t="shared" si="7"/>
        <v>28.240721040642256</v>
      </c>
      <c r="BH20" s="62">
        <f t="shared" si="8"/>
        <v>305.68516548508671</v>
      </c>
      <c r="BI20" s="62">
        <f ca="1">AVERAGE(OFFSET($BH$3,0,0,'Données projet'!$E$11+1,1))-AVERAGE(OFFSET($H$3,0,0,'Données projet'!$E$11+1,1))</f>
        <v>295.83974441964551</v>
      </c>
      <c r="BJ20" s="62">
        <f t="shared" si="38"/>
        <v>212.24900914818096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4.2272727272727275</v>
      </c>
      <c r="BY20" s="13">
        <f>IF('Données projet'!$A$114&gt;35,BY19+BX20-CG19,IF(A20&lt;'Données projet'!$A$114,$BV$205^A20,IF(A20='Données projet'!$A$114,'Données projet'!$B$114,BY19+BX20-CG19)))</f>
        <v>33.197123968303622</v>
      </c>
      <c r="BZ20" s="14">
        <f>BY20*VLOOKUP('Données projet'!$B$12,Paramètres!$A$1:$I$89,3,0)*VLOOKUP('Données projet'!$B$12,Paramètres!$A$1:$I$89,5,0)</f>
        <v>18.988754909869673</v>
      </c>
      <c r="CA20" s="14">
        <f t="shared" si="39"/>
        <v>6.2120016524748385</v>
      </c>
      <c r="CB20" s="22">
        <f t="shared" si="10"/>
        <v>43.891317679416687</v>
      </c>
      <c r="CC20" s="62">
        <f t="shared" si="11"/>
        <v>321.33576212386117</v>
      </c>
      <c r="CD20" s="62">
        <f ca="1">AVERAGE(OFFSET($CC$3,0,0,'Données projet'!$E$12+1,1))-AVERAGE(OFFSET($H$3,0,0,'Données projet'!$E$12+1,1))</f>
        <v>309.71642374647882</v>
      </c>
      <c r="CE20" s="62">
        <f t="shared" si="40"/>
        <v>266.63880397664315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11.6</v>
      </c>
      <c r="CT20" s="13">
        <f>IF('Données projet'!$A$140&gt;35,CT19+CS20-DB19,IF(A20&lt;'Données projet'!$A$140,$CQ$205^A20,IF(A20='Données projet'!$A$140,'Données projet'!$B$140,CT19+CS20-DB19)))</f>
        <v>60.2</v>
      </c>
      <c r="CU20" s="18">
        <f>CT20*VLOOKUP('Données projet'!$B$13,Paramètres!$A$1:$I$89,3,0)*VLOOKUP('Données projet'!$B$13,Paramètres!$A$1:$I$89,5,0)</f>
        <v>47.895120000000006</v>
      </c>
      <c r="CV20" s="14">
        <f t="shared" si="41"/>
        <v>14.068812032564205</v>
      </c>
      <c r="CW20" s="22">
        <f t="shared" si="13"/>
        <v>107.92051495671599</v>
      </c>
      <c r="CX20" s="62">
        <f t="shared" si="14"/>
        <v>385.36495940116043</v>
      </c>
      <c r="CY20" s="62">
        <f ca="1">AVERAGE(OFFSET($CX$3,0,0,'Données projet'!$E$13+1,1))-AVERAGE(OFFSET($H$3,0,0,'Données projet'!$E$13+1,1))</f>
        <v>312.53381881960331</v>
      </c>
      <c r="CZ20" s="62">
        <f t="shared" si="42"/>
        <v>342.06887933351783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2.1</v>
      </c>
      <c r="DO20" s="13">
        <f>IF('Données projet'!$A$166&gt;35,DO19+DN20-DW19,IF(A20&lt;'Données projet'!$A$166,$DL$205^A20,IF(A20='Données projet'!$A$166,'Données projet'!$B$166,DO19+DN20-DW19)))</f>
        <v>23.975181126327602</v>
      </c>
      <c r="DP20" s="18">
        <f>DO20*VLOOKUP('Données projet'!$B$14,Paramètres!$A$1:$I$89,3,0)*VLOOKUP('Données projet'!$B$14,Paramètres!$A$1:$I$89,5,0)</f>
        <v>25.80688496437903</v>
      </c>
      <c r="DQ20" s="14">
        <f t="shared" si="43"/>
        <v>8.146323052908933</v>
      </c>
      <c r="DR20" s="22">
        <f t="shared" si="16"/>
        <v>59.135170630109862</v>
      </c>
      <c r="DS20" s="62">
        <f t="shared" si="17"/>
        <v>336.57961507455434</v>
      </c>
      <c r="DT20" s="62">
        <f ca="1">AVERAGE(OFFSET($DS$3,0,0,'Données projet'!$E$14+1,1))-AVERAGE(OFFSET($H$3,0,0,'Données projet'!$E$14+1,1))</f>
        <v>503.92230226365683</v>
      </c>
      <c r="DU20" s="62">
        <f t="shared" si="44"/>
        <v>267.2998309535638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2.1</v>
      </c>
      <c r="EJ20" s="13">
        <f>IF('Données projet'!$A$192&gt;35,EJ19+EI20-ER19,IF(A20&lt;'Données projet'!$A$192,$EG$205^A20,IF(A20='Données projet'!$A$192,'Données projet'!$B$192,EJ19+EI20-ER19)))</f>
        <v>23.975181126327602</v>
      </c>
      <c r="EK20" s="18">
        <f>EJ20*VLOOKUP('Données projet'!$B$15,Paramètres!$A$1:$I$89,3,0)*VLOOKUP('Données projet'!$B$15,Paramètres!$A$1:$I$89,5,0)</f>
        <v>23.188795185384055</v>
      </c>
      <c r="EL20" s="14">
        <f t="shared" si="45"/>
        <v>7.4115982288884323</v>
      </c>
      <c r="EM20" s="22">
        <f t="shared" si="19"/>
        <v>53.29568519652458</v>
      </c>
      <c r="EN20" s="62">
        <f t="shared" si="20"/>
        <v>330.74012964096903</v>
      </c>
      <c r="EO20" s="62">
        <f ca="1">AVERAGE(OFFSET($EN$3,0,0,'Données projet'!$E$15+1,1))-AVERAGE(OFFSET($H$3,0,0,'Données projet'!$E$15+1,1))</f>
        <v>457.16923206840744</v>
      </c>
      <c r="EP20" s="62">
        <f t="shared" si="46"/>
        <v>244.45149244446094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9.8000000000000007</v>
      </c>
      <c r="FE20" s="13">
        <f>IF('Données projet'!$A$218&gt;35,FE19+FD20-FM19,IF(A20&lt;'Données projet'!$A$218,$FB$205^A20,IF(A20='Données projet'!$A$218,'Données projet'!$B$218,FE19+FD20-FM19)))</f>
        <v>68.599999999999994</v>
      </c>
      <c r="FF20" s="18">
        <f>FE20*VLOOKUP('Données projet'!$B$16,Paramètres!$A$1:$I$89,3,0)*VLOOKUP('Données projet'!$B$16,Paramètres!$A$1:$I$89,5,0)</f>
        <v>46.01688</v>
      </c>
      <c r="FG20" s="14">
        <f t="shared" si="47"/>
        <v>13.580184677208505</v>
      </c>
      <c r="FH20" s="22">
        <f t="shared" si="22"/>
        <v>103.79822097947148</v>
      </c>
      <c r="FI20" s="62">
        <f t="shared" si="23"/>
        <v>381.24266542391592</v>
      </c>
      <c r="FJ20" s="62">
        <f ca="1">AVERAGE(OFFSET($FI$3,0,0,'Données projet'!$E$16+1,1))-AVERAGE(OFFSET($H$3,0,0,'Données projet'!$E$16+1,1))</f>
        <v>385.97853124853452</v>
      </c>
      <c r="FK20" s="62">
        <f t="shared" si="48"/>
        <v>300.99118099739695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230</v>
      </c>
      <c r="L21" s="13">
        <f>VLOOKUP(A21,'Données projet'!$A$35:$I$55,9,0)</f>
        <v>18</v>
      </c>
      <c r="M21" s="13">
        <f t="array" ref="M21">INDEX(L:L,MIN(IF(ISNUMBER(L21:L217),ROW(L21:L217),"")))</f>
        <v>18</v>
      </c>
      <c r="N21" s="14">
        <f>IF('Données projet'!$A$36&gt;35,N20+M21-V20,IF(A21&lt;'Données projet'!$A$36,$K$205^A21,IF(A21='Données projet'!$A$36,'Données projet'!$B$36,N20+M21-V20)))</f>
        <v>230</v>
      </c>
      <c r="O21" s="14">
        <f>N21*VLOOKUP('Données projet'!$B$9,Paramètres!$A$1:$I$89,3,0)*VLOOKUP('Données projet'!$B$9,Paramètres!$A$1:$I$89,5,0)</f>
        <v>116.96880000000002</v>
      </c>
      <c r="P21" s="14">
        <f t="shared" si="33"/>
        <v>30.966972418998537</v>
      </c>
      <c r="Q21" s="22">
        <f t="shared" si="2"/>
        <v>257.6548036297558</v>
      </c>
      <c r="R21" s="62">
        <f t="shared" si="0"/>
        <v>536.32147029642249</v>
      </c>
      <c r="S21" s="62">
        <f ca="1">AVERAGE(OFFSET($R$3,0,0,'Données projet'!$E$9+1,1))-AVERAGE(OFFSET($H$3,0,0,'Données projet'!$E$9+1,1))</f>
        <v>132.280299502248</v>
      </c>
      <c r="T21" s="62">
        <f t="shared" si="34"/>
        <v>337.98099449405339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26.150316724543362</v>
      </c>
      <c r="AK21" s="14">
        <f t="shared" si="35"/>
        <v>8.2420396752158016</v>
      </c>
      <c r="AL21" s="22">
        <f t="shared" si="4"/>
        <v>59.900020729580547</v>
      </c>
      <c r="AM21" s="62">
        <f t="shared" si="5"/>
        <v>338.56668739624723</v>
      </c>
      <c r="AN21" s="62">
        <f ca="1">AVERAGE(OFFSET($AM$3,0,0,'Données projet'!$E$10+1,1))-AVERAGE(OFFSET($H$3,0,0,'Données projet'!$E$10+1,1))</f>
        <v>430.40491895612814</v>
      </c>
      <c r="AO21" s="62">
        <f t="shared" si="36"/>
        <v>231.36959598460686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4.3703703703703702</v>
      </c>
      <c r="BD21" s="13">
        <f>IF('Données projet'!$A$88&gt;35,BD20+BC21-BL20,IF(A21&lt;'Données projet'!$A$88,$BA$205^A21,IF(A21='Données projet'!$A$88,'Données projet'!$B$88,BD20+BC21-BL20)))</f>
        <v>24.057731387639919</v>
      </c>
      <c r="BE21" s="14">
        <f>BD21*VLOOKUP('Données projet'!$B$11,Paramètres!$A$1:$I$89,3,0)*VLOOKUP('Données projet'!$B$11,Paramètres!$A$1:$I$89,5,0)</f>
        <v>14.386523369808673</v>
      </c>
      <c r="BF21" s="14">
        <f t="shared" si="37"/>
        <v>4.8609578896833261</v>
      </c>
      <c r="BG21" s="22">
        <f t="shared" si="7"/>
        <v>33.522696526948565</v>
      </c>
      <c r="BH21" s="62">
        <f t="shared" si="8"/>
        <v>312.18936319361524</v>
      </c>
      <c r="BI21" s="62">
        <f ca="1">AVERAGE(OFFSET($BH$3,0,0,'Données projet'!$E$11+1,1))-AVERAGE(OFFSET($H$3,0,0,'Données projet'!$E$11+1,1))</f>
        <v>295.83974441964551</v>
      </c>
      <c r="BJ21" s="62">
        <f t="shared" si="38"/>
        <v>212.24900914818096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4.2272727272727275</v>
      </c>
      <c r="BY21" s="13">
        <f>IF('Données projet'!$A$114&gt;35,BY20+BX21-CG20,IF(A21&lt;'Données projet'!$A$114,$BV$205^A21,IF(A21='Données projet'!$A$114,'Données projet'!$B$114,BY20+BX21-CG20)))</f>
        <v>40.792183998656547</v>
      </c>
      <c r="BZ21" s="14">
        <f>BY21*VLOOKUP('Données projet'!$B$12,Paramètres!$A$1:$I$89,3,0)*VLOOKUP('Données projet'!$B$12,Paramètres!$A$1:$I$89,5,0)</f>
        <v>23.333129247231543</v>
      </c>
      <c r="CA21" s="14">
        <f t="shared" si="39"/>
        <v>7.4523457538848614</v>
      </c>
      <c r="CB21" s="22">
        <f t="shared" si="10"/>
        <v>53.618035626944398</v>
      </c>
      <c r="CC21" s="62">
        <f t="shared" si="11"/>
        <v>332.28470229361108</v>
      </c>
      <c r="CD21" s="62">
        <f ca="1">AVERAGE(OFFSET($CC$3,0,0,'Données projet'!$E$12+1,1))-AVERAGE(OFFSET($H$3,0,0,'Données projet'!$E$12+1,1))</f>
        <v>309.71642374647882</v>
      </c>
      <c r="CE21" s="62">
        <f t="shared" si="40"/>
        <v>266.63880397664315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11.6</v>
      </c>
      <c r="CT21" s="13">
        <f>IF('Données projet'!$A$140&gt;35,CT20+CS21-DB20,IF(A21&lt;'Données projet'!$A$140,$CQ$205^A21,IF(A21='Données projet'!$A$140,'Données projet'!$B$140,CT20+CS21-DB20)))</f>
        <v>71.8</v>
      </c>
      <c r="CU21" s="18">
        <f>CT21*VLOOKUP('Données projet'!$B$13,Paramètres!$A$1:$I$89,3,0)*VLOOKUP('Données projet'!$B$13,Paramètres!$A$1:$I$89,5,0)</f>
        <v>57.124080000000006</v>
      </c>
      <c r="CV21" s="14">
        <f t="shared" si="41"/>
        <v>16.439080665003988</v>
      </c>
      <c r="CW21" s="22">
        <f t="shared" si="13"/>
        <v>128.12250482488196</v>
      </c>
      <c r="CX21" s="62">
        <f t="shared" si="14"/>
        <v>406.78917149154864</v>
      </c>
      <c r="CY21" s="62">
        <f ca="1">AVERAGE(OFFSET($CX$3,0,0,'Données projet'!$E$13+1,1))-AVERAGE(OFFSET($H$3,0,0,'Données projet'!$E$13+1,1))</f>
        <v>312.53381881960331</v>
      </c>
      <c r="CZ21" s="62">
        <f t="shared" si="42"/>
        <v>342.06887933351783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2.1</v>
      </c>
      <c r="DO21" s="13">
        <f>IF('Données projet'!$A$166&gt;35,DO20+DN21-DW20,IF(A21&lt;'Données projet'!$A$166,$DL$205^A21,IF(A21='Données projet'!$A$166,'Données projet'!$B$166,DO20+DN21-DW20)))</f>
        <v>28.901764726506816</v>
      </c>
      <c r="DP21" s="18">
        <f>DO21*VLOOKUP('Données projet'!$B$14,Paramètres!$A$1:$I$89,3,0)*VLOOKUP('Données projet'!$B$14,Paramètres!$A$1:$I$89,5,0)</f>
        <v>31.109859551611933</v>
      </c>
      <c r="DQ21" s="14">
        <f t="shared" si="43"/>
        <v>9.6089687778941872</v>
      </c>
      <c r="DR21" s="22">
        <f t="shared" si="16"/>
        <v>70.918626007223153</v>
      </c>
      <c r="DS21" s="62">
        <f t="shared" si="17"/>
        <v>349.58529267388985</v>
      </c>
      <c r="DT21" s="62">
        <f ca="1">AVERAGE(OFFSET($DS$3,0,0,'Données projet'!$E$14+1,1))-AVERAGE(OFFSET($H$3,0,0,'Données projet'!$E$14+1,1))</f>
        <v>503.92230226365683</v>
      </c>
      <c r="DU21" s="62">
        <f t="shared" si="44"/>
        <v>267.2998309535638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2.1</v>
      </c>
      <c r="EJ21" s="13">
        <f>IF('Données projet'!$A$192&gt;35,EJ20+EI21-ER20,IF(A21&lt;'Données projet'!$A$192,$EG$205^A21,IF(A21='Données projet'!$A$192,'Données projet'!$B$192,EJ20+EI21-ER20)))</f>
        <v>28.901764726506816</v>
      </c>
      <c r="EK21" s="18">
        <f>EJ21*VLOOKUP('Données projet'!$B$15,Paramètres!$A$1:$I$89,3,0)*VLOOKUP('Données projet'!$B$15,Paramètres!$A$1:$I$89,5,0)</f>
        <v>27.953786843477392</v>
      </c>
      <c r="EL21" s="14">
        <f t="shared" si="45"/>
        <v>8.7423265089215931</v>
      </c>
      <c r="EM21" s="22">
        <f t="shared" si="19"/>
        <v>63.912397422094891</v>
      </c>
      <c r="EN21" s="62">
        <f t="shared" si="20"/>
        <v>342.57906408876158</v>
      </c>
      <c r="EO21" s="62">
        <f ca="1">AVERAGE(OFFSET($EN$3,0,0,'Données projet'!$E$15+1,1))-AVERAGE(OFFSET($H$3,0,0,'Données projet'!$E$15+1,1))</f>
        <v>457.16923206840744</v>
      </c>
      <c r="EP21" s="62">
        <f t="shared" si="46"/>
        <v>244.45149244446094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9.8000000000000007</v>
      </c>
      <c r="FE21" s="13">
        <f>IF('Données projet'!$A$218&gt;35,FE20+FD21-FM20,IF(A21&lt;'Données projet'!$A$218,$FB$205^A21,IF(A21='Données projet'!$A$218,'Données projet'!$B$218,FE20+FD21-FM20)))</f>
        <v>78.399999999999991</v>
      </c>
      <c r="FF21" s="18">
        <f>FE21*VLOOKUP('Données projet'!$B$16,Paramètres!$A$1:$I$89,3,0)*VLOOKUP('Données projet'!$B$16,Paramètres!$A$1:$I$89,5,0)</f>
        <v>52.590719999999997</v>
      </c>
      <c r="FG21" s="14">
        <f t="shared" si="47"/>
        <v>15.280844641052973</v>
      </c>
      <c r="FH21" s="22">
        <f t="shared" si="22"/>
        <v>118.20964174983392</v>
      </c>
      <c r="FI21" s="62">
        <f t="shared" si="23"/>
        <v>396.87630841650059</v>
      </c>
      <c r="FJ21" s="62">
        <f ca="1">AVERAGE(OFFSET($FI$3,0,0,'Données projet'!$E$16+1,1))-AVERAGE(OFFSET($H$3,0,0,'Données projet'!$E$16+1,1))</f>
        <v>385.97853124853452</v>
      </c>
      <c r="FK21" s="62">
        <f t="shared" si="48"/>
        <v>300.99118099739695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>
        <f>VLOOKUP(A22,'Données projet'!$A$35:$I$55,2,0)</f>
        <v>245</v>
      </c>
      <c r="L22" s="13">
        <f>VLOOKUP(A22,'Données projet'!$A$35:$I$55,9,0)</f>
        <v>15</v>
      </c>
      <c r="M22" s="13">
        <f t="array" ref="M22">INDEX(L:L,MIN(IF(ISNUMBER(L22:L218),ROW(L22:L218),"")))</f>
        <v>15</v>
      </c>
      <c r="N22" s="14">
        <f>IF('Données projet'!$A$36&gt;35,N21+M22-V21,IF(A22&lt;'Données projet'!$A$36,$K$205^A22,IF(A22='Données projet'!$A$36,'Données projet'!$B$36,N21+M22-V21)))</f>
        <v>245</v>
      </c>
      <c r="O22" s="14">
        <f>N22*VLOOKUP('Données projet'!$B$9,Paramètres!$A$1:$I$89,3,0)*VLOOKUP('Données projet'!$B$9,Paramètres!$A$1:$I$89,5,0)</f>
        <v>124.59720000000002</v>
      </c>
      <c r="P22" s="14">
        <f t="shared" si="33"/>
        <v>32.744863437292544</v>
      </c>
      <c r="Q22" s="22">
        <f t="shared" si="2"/>
        <v>274.03742715328451</v>
      </c>
      <c r="R22" s="62">
        <f t="shared" si="0"/>
        <v>553.92631604217331</v>
      </c>
      <c r="S22" s="62">
        <f ca="1">AVERAGE(OFFSET($R$3,0,0,'Données projet'!$E$9+1,1))-AVERAGE(OFFSET($H$3,0,0,'Données projet'!$E$9+1,1))</f>
        <v>132.280299502248</v>
      </c>
      <c r="T22" s="62">
        <f t="shared" si="34"/>
        <v>337.98099449405339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31.52386201022027</v>
      </c>
      <c r="AK22" s="14">
        <f t="shared" si="35"/>
        <v>9.7218710074397983</v>
      </c>
      <c r="AL22" s="22">
        <f t="shared" si="4"/>
        <v>71.836318339091292</v>
      </c>
      <c r="AM22" s="62">
        <f t="shared" si="5"/>
        <v>351.72520722798015</v>
      </c>
      <c r="AN22" s="62">
        <f ca="1">AVERAGE(OFFSET($AM$3,0,0,'Données projet'!$E$10+1,1))-AVERAGE(OFFSET($H$3,0,0,'Données projet'!$E$10+1,1))</f>
        <v>430.40491895612814</v>
      </c>
      <c r="AO22" s="62">
        <f t="shared" si="36"/>
        <v>231.36959598460686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4.3703703703703702</v>
      </c>
      <c r="BD22" s="13">
        <f>IF('Données projet'!$A$88&gt;35,BD21+BC22-BL21,IF(A22&lt;'Données projet'!$A$88,$BA$205^A22,IF(A22='Données projet'!$A$88,'Données projet'!$B$88,BD21+BC22-BL21)))</f>
        <v>28.707213694944539</v>
      </c>
      <c r="BE22" s="14">
        <f>BD22*VLOOKUP('Données projet'!$B$11,Paramètres!$A$1:$I$89,3,0)*VLOOKUP('Données projet'!$B$11,Paramètres!$A$1:$I$89,5,0)</f>
        <v>17.166913789576835</v>
      </c>
      <c r="BF22" s="14">
        <f t="shared" si="37"/>
        <v>5.6823256068972627</v>
      </c>
      <c r="BG22" s="22">
        <f t="shared" si="7"/>
        <v>39.79575861552572</v>
      </c>
      <c r="BH22" s="62">
        <f t="shared" si="8"/>
        <v>319.68464750441456</v>
      </c>
      <c r="BI22" s="62">
        <f ca="1">AVERAGE(OFFSET($BH$3,0,0,'Données projet'!$E$11+1,1))-AVERAGE(OFFSET($H$3,0,0,'Données projet'!$E$11+1,1))</f>
        <v>295.83974441964551</v>
      </c>
      <c r="BJ22" s="62">
        <f t="shared" si="38"/>
        <v>212.24900914818096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4.2272727272727275</v>
      </c>
      <c r="BY22" s="13">
        <f>IF('Données projet'!$A$114&gt;35,BY21+BX22-CG21,IF(A22&lt;'Données projet'!$A$114,$BV$205^A22,IF(A22='Données projet'!$A$114,'Données projet'!$B$114,BY21+BX22-CG21)))</f>
        <v>50.124892655430898</v>
      </c>
      <c r="BZ22" s="14">
        <f>BY22*VLOOKUP('Données projet'!$B$12,Paramètres!$A$1:$I$89,3,0)*VLOOKUP('Données projet'!$B$12,Paramètres!$A$1:$I$89,5,0)</f>
        <v>28.671438598906473</v>
      </c>
      <c r="CA22" s="14">
        <f t="shared" si="39"/>
        <v>8.9403481103904472</v>
      </c>
      <c r="CB22" s="22">
        <f t="shared" si="10"/>
        <v>65.50719518535881</v>
      </c>
      <c r="CC22" s="62">
        <f t="shared" si="11"/>
        <v>345.39608407424765</v>
      </c>
      <c r="CD22" s="62">
        <f ca="1">AVERAGE(OFFSET($CC$3,0,0,'Données projet'!$E$12+1,1))-AVERAGE(OFFSET($H$3,0,0,'Données projet'!$E$12+1,1))</f>
        <v>309.71642374647882</v>
      </c>
      <c r="CE22" s="62">
        <f t="shared" si="40"/>
        <v>266.63880397664315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11.6</v>
      </c>
      <c r="CT22" s="13">
        <f>IF('Données projet'!$A$140&gt;35,CT21+CS22-DB21,IF(A22&lt;'Données projet'!$A$140,$CQ$205^A22,IF(A22='Données projet'!$A$140,'Données projet'!$B$140,CT21+CS22-DB21)))</f>
        <v>83.399999999999991</v>
      </c>
      <c r="CU22" s="18">
        <f>CT22*VLOOKUP('Données projet'!$B$13,Paramètres!$A$1:$I$89,3,0)*VLOOKUP('Données projet'!$B$13,Paramètres!$A$1:$I$89,5,0)</f>
        <v>66.353040000000007</v>
      </c>
      <c r="CV22" s="14">
        <f t="shared" si="41"/>
        <v>18.76498795231873</v>
      </c>
      <c r="CW22" s="22">
        <f t="shared" si="13"/>
        <v>148.24723201695511</v>
      </c>
      <c r="CX22" s="62">
        <f t="shared" si="14"/>
        <v>428.136120905844</v>
      </c>
      <c r="CY22" s="62">
        <f ca="1">AVERAGE(OFFSET($CX$3,0,0,'Données projet'!$E$13+1,1))-AVERAGE(OFFSET($H$3,0,0,'Données projet'!$E$13+1,1))</f>
        <v>312.53381881960331</v>
      </c>
      <c r="CZ22" s="62">
        <f t="shared" si="42"/>
        <v>342.06887933351783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2.1</v>
      </c>
      <c r="DO22" s="13">
        <f>IF('Données projet'!$A$166&gt;35,DO21+DN22-DW21,IF(A22&lt;'Données projet'!$A$166,$DL$205^A22,IF(A22='Données projet'!$A$166,'Données projet'!$B$166,DO21+DN22-DW21)))</f>
        <v>34.840696297767764</v>
      </c>
      <c r="DP22" s="18">
        <f>DO22*VLOOKUP('Données projet'!$B$14,Paramètres!$A$1:$I$89,3,0)*VLOOKUP('Données projet'!$B$14,Paramètres!$A$1:$I$89,5,0)</f>
        <v>37.502525494917215</v>
      </c>
      <c r="DQ22" s="14">
        <f t="shared" si="43"/>
        <v>11.334227770598273</v>
      </c>
      <c r="DR22" s="22">
        <f t="shared" si="16"/>
        <v>85.057345270772814</v>
      </c>
      <c r="DS22" s="62">
        <f t="shared" si="17"/>
        <v>364.94623415966169</v>
      </c>
      <c r="DT22" s="62">
        <f ca="1">AVERAGE(OFFSET($DS$3,0,0,'Données projet'!$E$14+1,1))-AVERAGE(OFFSET($H$3,0,0,'Données projet'!$E$14+1,1))</f>
        <v>503.92230226365683</v>
      </c>
      <c r="DU22" s="62">
        <f t="shared" si="44"/>
        <v>267.2998309535638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2.1</v>
      </c>
      <c r="EJ22" s="13">
        <f>IF('Données projet'!$A$192&gt;35,EJ21+EI22-ER21,IF(A22&lt;'Données projet'!$A$192,$EG$205^A22,IF(A22='Données projet'!$A$192,'Données projet'!$B$192,EJ21+EI22-ER21)))</f>
        <v>34.840696297767764</v>
      </c>
      <c r="EK22" s="18">
        <f>EJ22*VLOOKUP('Données projet'!$B$15,Paramètres!$A$1:$I$89,3,0)*VLOOKUP('Données projet'!$B$15,Paramètres!$A$1:$I$89,5,0)</f>
        <v>33.697921459200977</v>
      </c>
      <c r="EL22" s="14">
        <f t="shared" si="45"/>
        <v>10.31198270984201</v>
      </c>
      <c r="EM22" s="22">
        <f t="shared" si="19"/>
        <v>76.650583094416518</v>
      </c>
      <c r="EN22" s="62">
        <f t="shared" si="20"/>
        <v>356.53947198330536</v>
      </c>
      <c r="EO22" s="62">
        <f ca="1">AVERAGE(OFFSET($EN$3,0,0,'Données projet'!$E$15+1,1))-AVERAGE(OFFSET($H$3,0,0,'Données projet'!$E$15+1,1))</f>
        <v>457.16923206840744</v>
      </c>
      <c r="EP22" s="62">
        <f t="shared" si="46"/>
        <v>244.45149244446094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9.8000000000000007</v>
      </c>
      <c r="FE22" s="13">
        <f>IF('Données projet'!$A$218&gt;35,FE21+FD22-FM21,IF(A22&lt;'Données projet'!$A$218,$FB$205^A22,IF(A22='Données projet'!$A$218,'Données projet'!$B$218,FE21+FD22-FM21)))</f>
        <v>88.199999999999989</v>
      </c>
      <c r="FF22" s="18">
        <f>FE22*VLOOKUP('Données projet'!$B$16,Paramètres!$A$1:$I$89,3,0)*VLOOKUP('Données projet'!$B$16,Paramètres!$A$1:$I$89,5,0)</f>
        <v>59.164559999999994</v>
      </c>
      <c r="FG22" s="14">
        <f t="shared" si="47"/>
        <v>16.956871502840986</v>
      </c>
      <c r="FH22" s="22">
        <f t="shared" si="22"/>
        <v>132.57815986744802</v>
      </c>
      <c r="FI22" s="62">
        <f t="shared" si="23"/>
        <v>412.46704875633691</v>
      </c>
      <c r="FJ22" s="62">
        <f ca="1">AVERAGE(OFFSET($FI$3,0,0,'Données projet'!$E$16+1,1))-AVERAGE(OFFSET($H$3,0,0,'Données projet'!$E$16+1,1))</f>
        <v>385.97853124853452</v>
      </c>
      <c r="FK22" s="62">
        <f t="shared" si="48"/>
        <v>300.99118099739695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259</v>
      </c>
      <c r="L23" s="13">
        <f>VLOOKUP(A23,'Données projet'!$A$35:$I$55,9,0)</f>
        <v>14</v>
      </c>
      <c r="M23" s="13">
        <f t="array" ref="M23">INDEX(L:L,MIN(IF(ISNUMBER(L23:L219),ROW(L23:L219),"")))</f>
        <v>14</v>
      </c>
      <c r="N23" s="14">
        <f>IF('Données projet'!$A$36&gt;35,N22+M23-V22,IF(A23&lt;'Données projet'!$A$36,$K$205^A23,IF(A23='Données projet'!$A$36,'Données projet'!$B$36,N22+M23-V22)))</f>
        <v>259</v>
      </c>
      <c r="O23" s="14">
        <f>N23*VLOOKUP('Données projet'!$B$9,Paramètres!$A$1:$I$89,3,0)*VLOOKUP('Données projet'!$B$9,Paramètres!$A$1:$I$89,5,0)</f>
        <v>131.71704</v>
      </c>
      <c r="P23" s="14">
        <f t="shared" si="33"/>
        <v>34.392813361754953</v>
      </c>
      <c r="Q23" s="22">
        <f t="shared" si="2"/>
        <v>289.30799460505648</v>
      </c>
      <c r="R23" s="62">
        <f t="shared" si="0"/>
        <v>570.41910571616768</v>
      </c>
      <c r="S23" s="62">
        <f ca="1">AVERAGE(OFFSET($R$3,0,0,'Données projet'!$E$9+1,1))-AVERAGE(OFFSET($H$3,0,0,'Données projet'!$E$9+1,1))</f>
        <v>132.280299502248</v>
      </c>
      <c r="T23" s="62">
        <f t="shared" si="34"/>
        <v>337.98099449405339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38.001600000000003</v>
      </c>
      <c r="AK23" s="14">
        <f t="shared" si="35"/>
        <v>11.467401227090512</v>
      </c>
      <c r="AL23" s="22">
        <f t="shared" si="4"/>
        <v>86.158510470515978</v>
      </c>
      <c r="AM23" s="62">
        <f t="shared" si="5"/>
        <v>367.26962158162712</v>
      </c>
      <c r="AN23" s="62">
        <f ca="1">AVERAGE(OFFSET($AM$3,0,0,'Données projet'!$E$10+1,1))-AVERAGE(OFFSET($H$3,0,0,'Données projet'!$E$10+1,1))</f>
        <v>430.40491895612814</v>
      </c>
      <c r="AO23" s="62">
        <f t="shared" si="36"/>
        <v>231.36959598460686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4.3703703703703702</v>
      </c>
      <c r="BD23" s="13">
        <f>IF('Données projet'!$A$88&gt;35,BD22+BC23-BL22,IF(A23&lt;'Données projet'!$A$88,$BA$205^A23,IF(A23='Données projet'!$A$88,'Données projet'!$B$88,BD22+BC23-BL22)))</f>
        <v>34.255271407286948</v>
      </c>
      <c r="BE23" s="14">
        <f>BD23*VLOOKUP('Données projet'!$B$11,Paramètres!$A$1:$I$89,3,0)*VLOOKUP('Données projet'!$B$11,Paramètres!$A$1:$I$89,5,0)</f>
        <v>20.484652301557595</v>
      </c>
      <c r="BF23" s="14">
        <f t="shared" si="37"/>
        <v>6.6424817979453561</v>
      </c>
      <c r="BG23" s="22">
        <f t="shared" si="7"/>
        <v>47.246425223300974</v>
      </c>
      <c r="BH23" s="62">
        <f t="shared" si="8"/>
        <v>328.35753633441209</v>
      </c>
      <c r="BI23" s="62">
        <f ca="1">AVERAGE(OFFSET($BH$3,0,0,'Données projet'!$E$11+1,1))-AVERAGE(OFFSET($H$3,0,0,'Données projet'!$E$11+1,1))</f>
        <v>295.83974441964551</v>
      </c>
      <c r="BJ23" s="62">
        <f t="shared" si="38"/>
        <v>212.24900914818096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4.2272727272727275</v>
      </c>
      <c r="BY23" s="13">
        <f>IF('Données projet'!$A$114&gt;35,BY22+BX23-CG22,IF(A23&lt;'Données projet'!$A$114,$BV$205^A23,IF(A23='Données projet'!$A$114,'Données projet'!$B$114,BY22+BX23-CG22)))</f>
        <v>61.592800812067757</v>
      </c>
      <c r="BZ23" s="14">
        <f>BY23*VLOOKUP('Données projet'!$B$12,Paramètres!$A$1:$I$89,3,0)*VLOOKUP('Données projet'!$B$12,Paramètres!$A$1:$I$89,5,0)</f>
        <v>35.231082064502758</v>
      </c>
      <c r="CA23" s="14">
        <f t="shared" si="39"/>
        <v>10.725458395874229</v>
      </c>
      <c r="CB23" s="22">
        <f t="shared" si="10"/>
        <v>80.040974635156573</v>
      </c>
      <c r="CC23" s="62">
        <f t="shared" si="11"/>
        <v>361.15208574626774</v>
      </c>
      <c r="CD23" s="62">
        <f ca="1">AVERAGE(OFFSET($CC$3,0,0,'Données projet'!$E$12+1,1))-AVERAGE(OFFSET($H$3,0,0,'Données projet'!$E$12+1,1))</f>
        <v>309.71642374647882</v>
      </c>
      <c r="CE23" s="62">
        <f t="shared" si="40"/>
        <v>266.63880397664315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95</v>
      </c>
      <c r="CR23" s="13">
        <f>VLOOKUP(A23,'Données projet'!$A$139:$I$159,9,0)</f>
        <v>11.6</v>
      </c>
      <c r="CS23" s="13">
        <f t="array" ref="CS23">INDEX(CR:CR,MIN(IF(ISNUMBER(CR23:CR219),ROW(CR23:CR219),"")))</f>
        <v>11.6</v>
      </c>
      <c r="CT23" s="13">
        <f>IF('Données projet'!$A$140&gt;35,CT22+CS23-DB22,IF(A23&lt;'Données projet'!$A$140,$CQ$205^A23,IF(A23='Données projet'!$A$140,'Données projet'!$B$140,CT22+CS23-DB22)))</f>
        <v>94.999999999999986</v>
      </c>
      <c r="CU23" s="18">
        <f>CT23*VLOOKUP('Données projet'!$B$13,Paramètres!$A$1:$I$89,3,0)*VLOOKUP('Données projet'!$B$13,Paramètres!$A$1:$I$89,5,0)</f>
        <v>75.581999999999994</v>
      </c>
      <c r="CV23" s="14">
        <f t="shared" si="41"/>
        <v>21.053414706764119</v>
      </c>
      <c r="CW23" s="22">
        <f t="shared" si="13"/>
        <v>168.30668061428082</v>
      </c>
      <c r="CX23" s="62">
        <f t="shared" si="14"/>
        <v>449.41779172539196</v>
      </c>
      <c r="CY23" s="62">
        <f ca="1">AVERAGE(OFFSET($CX$3,0,0,'Données projet'!$E$13+1,1))-AVERAGE(OFFSET($H$3,0,0,'Données projet'!$E$13+1,1))</f>
        <v>312.53381881960331</v>
      </c>
      <c r="CZ23" s="62">
        <f t="shared" si="42"/>
        <v>342.06887933351783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43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42</v>
      </c>
      <c r="DM23" s="13">
        <f>VLOOKUP(A23,'Données projet'!$A$165:$I$185,9,0)</f>
        <v>2.1</v>
      </c>
      <c r="DN23" s="13">
        <f t="array" ref="DN23">INDEX(DM:DM,MIN(IF(ISNUMBER(DM23:DM219),ROW(DM23:DM219),"")))</f>
        <v>2.1</v>
      </c>
      <c r="DO23" s="13">
        <f>IF('Données projet'!$A$166&gt;35,DO22+DN23-DW22,IF(A23&lt;'Données projet'!$A$166,$DL$205^A23,IF(A23='Données projet'!$A$166,'Données projet'!$B$166,DO22+DN23-DW22)))</f>
        <v>42</v>
      </c>
      <c r="DP23" s="18">
        <f>DO23*VLOOKUP('Données projet'!$B$14,Paramètres!$A$1:$I$89,3,0)*VLOOKUP('Données projet'!$B$14,Paramètres!$A$1:$I$89,5,0)</f>
        <v>45.208799999999997</v>
      </c>
      <c r="DQ23" s="14">
        <f t="shared" si="43"/>
        <v>13.369251386406743</v>
      </c>
      <c r="DR23" s="22">
        <f t="shared" si="16"/>
        <v>102.02343949799173</v>
      </c>
      <c r="DS23" s="62">
        <f t="shared" si="17"/>
        <v>383.13455060910286</v>
      </c>
      <c r="DT23" s="62">
        <f ca="1">AVERAGE(OFFSET($DS$3,0,0,'Données projet'!$E$14+1,1))-AVERAGE(OFFSET($H$3,0,0,'Données projet'!$E$14+1,1))</f>
        <v>503.92230226365683</v>
      </c>
      <c r="DU23" s="62">
        <f t="shared" si="44"/>
        <v>267.2998309535638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42</v>
      </c>
      <c r="EH23" s="13">
        <f>VLOOKUP(A23,'Données projet'!$A$191:$I$211,9,0)</f>
        <v>2.1</v>
      </c>
      <c r="EI23" s="13">
        <f t="array" ref="EI23">INDEX(EH:EH,MIN(IF(ISNUMBER(EH23:EH219),ROW(EH23:EH219),"")))</f>
        <v>2.1</v>
      </c>
      <c r="EJ23" s="13">
        <f>IF('Données projet'!$A$192&gt;35,EJ22+EI23-ER22,IF(A23&lt;'Données projet'!$A$192,$EG$205^A23,IF(A23='Données projet'!$A$192,'Données projet'!$B$192,EJ22+EI23-ER22)))</f>
        <v>42</v>
      </c>
      <c r="EK23" s="18">
        <f>EJ23*VLOOKUP('Données projet'!$B$15,Paramètres!$A$1:$I$89,3,0)*VLOOKUP('Données projet'!$B$15,Paramètres!$A$1:$I$89,5,0)</f>
        <v>40.622399999999999</v>
      </c>
      <c r="EL23" s="14">
        <f t="shared" si="45"/>
        <v>12.163465560290264</v>
      </c>
      <c r="EM23" s="22">
        <f t="shared" si="19"/>
        <v>91.935382517505545</v>
      </c>
      <c r="EN23" s="62">
        <f t="shared" si="20"/>
        <v>373.0464936286167</v>
      </c>
      <c r="EO23" s="62">
        <f ca="1">AVERAGE(OFFSET($EN$3,0,0,'Données projet'!$E$15+1,1))-AVERAGE(OFFSET($H$3,0,0,'Données projet'!$E$15+1,1))</f>
        <v>457.16923206840744</v>
      </c>
      <c r="EP23" s="62">
        <f t="shared" si="46"/>
        <v>244.45149244446094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98</v>
      </c>
      <c r="FC23" s="13">
        <f>VLOOKUP(A23,'Données projet'!$A$217:$I$237,9,0)</f>
        <v>9.8000000000000007</v>
      </c>
      <c r="FD23" s="13">
        <f t="array" ref="FD23">INDEX(FC:FC,MIN(IF(ISNUMBER(FC23:FC219),ROW(FC23:FC219),"")))</f>
        <v>9.8000000000000007</v>
      </c>
      <c r="FE23" s="13">
        <f>IF('Données projet'!$A$218&gt;35,FE22+FD23-FM22,IF(A23&lt;'Données projet'!$A$218,$FB$205^A23,IF(A23='Données projet'!$A$218,'Données projet'!$B$218,FE22+FD23-FM22)))</f>
        <v>97.999999999999986</v>
      </c>
      <c r="FF23" s="18">
        <f>FE23*VLOOKUP('Données projet'!$B$16,Paramètres!$A$1:$I$89,3,0)*VLOOKUP('Données projet'!$B$16,Paramètres!$A$1:$I$89,5,0)</f>
        <v>65.738399999999999</v>
      </c>
      <c r="FG23" s="14">
        <f t="shared" si="47"/>
        <v>18.61131449032748</v>
      </c>
      <c r="FH23" s="22">
        <f t="shared" si="22"/>
        <v>146.90908607065367</v>
      </c>
      <c r="FI23" s="62">
        <f t="shared" si="23"/>
        <v>428.02019718176484</v>
      </c>
      <c r="FJ23" s="62">
        <f ca="1">AVERAGE(OFFSET($FI$3,0,0,'Données projet'!$E$16+1,1))-AVERAGE(OFFSET($H$3,0,0,'Données projet'!$E$16+1,1))</f>
        <v>385.97853124853452</v>
      </c>
      <c r="FK23" s="62">
        <f t="shared" si="48"/>
        <v>300.99118099739695</v>
      </c>
      <c r="FL23" s="16">
        <f>IF(ISNA(VLOOKUP(A23,'Données projet'!$A$217:$I$237,3,0)),0,VLOOKUP(A23,'Données projet'!$A$217:$I$237,3,0))</f>
        <v>1</v>
      </c>
      <c r="FM23" s="16">
        <f>IF(ISNA(VLOOKUP(A23,'Données projet'!$A$217:$I$237,4,0)),0,VLOOKUP(A23,'Données projet'!$A$217:$I$237,4,0))</f>
        <v>27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>
        <f>VLOOKUP(A24,'Données projet'!$A$35:$I$55,2,0)</f>
        <v>272</v>
      </c>
      <c r="L24" s="13">
        <f>VLOOKUP(A24,'Données projet'!$A$35:$I$55,9,0)</f>
        <v>13</v>
      </c>
      <c r="M24" s="13">
        <f t="array" ref="M24">INDEX(L:L,MIN(IF(ISNUMBER(L24:L220),ROW(L24:L220),"")))</f>
        <v>13</v>
      </c>
      <c r="N24" s="14">
        <f>IF('Données projet'!$A$36&gt;35,N23+M24-V23,IF(A24&lt;'Données projet'!$A$36,$K$205^A24,IF(A24='Données projet'!$A$36,'Données projet'!$B$36,N23+M24-V23)))</f>
        <v>272</v>
      </c>
      <c r="O24" s="14">
        <f>N24*VLOOKUP('Données projet'!$B$9,Paramètres!$A$1:$I$89,3,0)*VLOOKUP('Données projet'!$B$9,Paramètres!$A$1:$I$89,5,0)</f>
        <v>138.32831999999999</v>
      </c>
      <c r="P24" s="14">
        <f t="shared" si="33"/>
        <v>35.913779757821004</v>
      </c>
      <c r="Q24" s="22">
        <f t="shared" si="2"/>
        <v>303.47165707820488</v>
      </c>
      <c r="R24" s="62">
        <f t="shared" si="0"/>
        <v>585.80499041153826</v>
      </c>
      <c r="S24" s="62">
        <f ca="1">AVERAGE(OFFSET($R$3,0,0,'Données projet'!$E$9+1,1))-AVERAGE(OFFSET($H$3,0,0,'Données projet'!$E$9+1,1))</f>
        <v>132.280299502248</v>
      </c>
      <c r="T24" s="62">
        <f t="shared" si="34"/>
        <v>337.98099449405339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IF('Données projet'!$A$62&gt;35,AI23+AH24-AQ23,IF(A24&lt;'Données projet'!$A$62,$AF$205^A24,IF(A24='Données projet'!$A$62,'Données projet'!$B$62,AI23+AH24-AQ23)))</f>
        <v>47.6</v>
      </c>
      <c r="AJ24" s="14">
        <f>AI24*VLOOKUP('Données projet'!$B$10,Paramètres!$A$1:$I$89,3,0)*VLOOKUP('Données projet'!$B$10,Paramètres!$A$1:$I$89,5,0)</f>
        <v>43.068480000000001</v>
      </c>
      <c r="AK24" s="14">
        <f t="shared" si="35"/>
        <v>12.808416415102187</v>
      </c>
      <c r="AL24" s="22">
        <f t="shared" si="4"/>
        <v>97.318927922969635</v>
      </c>
      <c r="AM24" s="62">
        <f t="shared" si="5"/>
        <v>379.65226125630295</v>
      </c>
      <c r="AN24" s="62">
        <f ca="1">AVERAGE(OFFSET($AM$3,0,0,'Données projet'!$E$10+1,1))-AVERAGE(OFFSET($H$3,0,0,'Données projet'!$E$10+1,1))</f>
        <v>430.40491895612814</v>
      </c>
      <c r="AO24" s="62">
        <f t="shared" si="36"/>
        <v>231.36959598460686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4.3703703703703702</v>
      </c>
      <c r="BD24" s="13">
        <f>IF('Données projet'!$A$88&gt;35,BD23+BC24-BL23,IF(A24&lt;'Données projet'!$A$88,$BA$205^A24,IF(A24='Données projet'!$A$88,'Données projet'!$B$88,BD23+BC24-BL23)))</f>
        <v>40.875566387466414</v>
      </c>
      <c r="BE24" s="14">
        <f>BD24*VLOOKUP('Données projet'!$B$11,Paramètres!$A$1:$I$89,3,0)*VLOOKUP('Données projet'!$B$11,Paramètres!$A$1:$I$89,5,0)</f>
        <v>24.443588699704918</v>
      </c>
      <c r="BF24" s="14">
        <f t="shared" si="37"/>
        <v>7.7648778842379169</v>
      </c>
      <c r="BG24" s="22">
        <f t="shared" si="7"/>
        <v>56.096412633700432</v>
      </c>
      <c r="BH24" s="62">
        <f t="shared" si="8"/>
        <v>338.42974596703374</v>
      </c>
      <c r="BI24" s="62">
        <f ca="1">AVERAGE(OFFSET($BH$3,0,0,'Données projet'!$E$11+1,1))-AVERAGE(OFFSET($H$3,0,0,'Données projet'!$E$11+1,1))</f>
        <v>295.83974441964551</v>
      </c>
      <c r="BJ24" s="62">
        <f t="shared" si="38"/>
        <v>212.24900914818096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4.2272727272727275</v>
      </c>
      <c r="BY24" s="13">
        <f>IF('Données projet'!$A$114&gt;35,BY23+BX24-CG23,IF(A24&lt;'Données projet'!$A$114,$BV$205^A24,IF(A24='Données projet'!$A$114,'Données projet'!$B$114,BY23+BX24-CG23)))</f>
        <v>75.684413689492871</v>
      </c>
      <c r="BZ24" s="14">
        <f>BY24*VLOOKUP('Données projet'!$B$12,Paramètres!$A$1:$I$89,3,0)*VLOOKUP('Données projet'!$B$12,Paramètres!$A$1:$I$89,5,0)</f>
        <v>43.291484630389924</v>
      </c>
      <c r="CA24" s="14">
        <f t="shared" si="39"/>
        <v>12.866999850703252</v>
      </c>
      <c r="CB24" s="22">
        <f t="shared" si="10"/>
        <v>97.80936047123727</v>
      </c>
      <c r="CC24" s="62">
        <f t="shared" si="11"/>
        <v>380.14269380457057</v>
      </c>
      <c r="CD24" s="62">
        <f ca="1">AVERAGE(OFFSET($CC$3,0,0,'Données projet'!$E$12+1,1))-AVERAGE(OFFSET($H$3,0,0,'Données projet'!$E$12+1,1))</f>
        <v>309.71642374647882</v>
      </c>
      <c r="CE24" s="62">
        <f t="shared" si="40"/>
        <v>266.63880397664315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12.6</v>
      </c>
      <c r="CT24" s="13">
        <f>IF('Données projet'!$A$140&gt;35,CT23+CS24-DB23,IF(A24&lt;'Données projet'!$A$140,$CQ$205^A24,IF(A24='Données projet'!$A$140,'Données projet'!$B$140,CT23+CS24-DB23)))</f>
        <v>64.59999999999998</v>
      </c>
      <c r="CU24" s="18">
        <f>CT24*VLOOKUP('Données projet'!$B$13,Paramètres!$A$1:$I$89,3,0)*VLOOKUP('Données projet'!$B$13,Paramètres!$A$1:$I$89,5,0)</f>
        <v>51.395759999999989</v>
      </c>
      <c r="CV24" s="14">
        <f t="shared" si="41"/>
        <v>14.973641136922506</v>
      </c>
      <c r="CW24" s="22">
        <f t="shared" si="13"/>
        <v>115.59337364680665</v>
      </c>
      <c r="CX24" s="62">
        <f t="shared" si="14"/>
        <v>397.92670698013995</v>
      </c>
      <c r="CY24" s="62">
        <f ca="1">AVERAGE(OFFSET($CX$3,0,0,'Données projet'!$E$13+1,1))-AVERAGE(OFFSET($H$3,0,0,'Données projet'!$E$13+1,1))</f>
        <v>312.53381881960331</v>
      </c>
      <c r="CZ24" s="62">
        <f t="shared" si="42"/>
        <v>342.06887933351783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5.6</v>
      </c>
      <c r="DO24" s="13">
        <f>IF('Données projet'!$A$166&gt;35,DO23+DN24-DW23,IF(A24&lt;'Données projet'!$A$166,$DL$205^A24,IF(A24='Données projet'!$A$166,'Données projet'!$B$166,DO23+DN24-DW23)))</f>
        <v>47.6</v>
      </c>
      <c r="DP24" s="18">
        <f>DO24*VLOOKUP('Données projet'!$B$14,Paramètres!$A$1:$I$89,3,0)*VLOOKUP('Données projet'!$B$14,Paramètres!$A$1:$I$89,5,0)</f>
        <v>51.236640000000001</v>
      </c>
      <c r="DQ24" s="14">
        <f t="shared" si="43"/>
        <v>14.932671799321549</v>
      </c>
      <c r="DR24" s="22">
        <f t="shared" si="16"/>
        <v>115.24488471715169</v>
      </c>
      <c r="DS24" s="62">
        <f t="shared" si="17"/>
        <v>397.57821805048502</v>
      </c>
      <c r="DT24" s="62">
        <f ca="1">AVERAGE(OFFSET($DS$3,0,0,'Données projet'!$E$14+1,1))-AVERAGE(OFFSET($H$3,0,0,'Données projet'!$E$14+1,1))</f>
        <v>503.92230226365683</v>
      </c>
      <c r="DU24" s="62">
        <f t="shared" si="44"/>
        <v>267.2998309535638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5.6</v>
      </c>
      <c r="EJ24" s="13">
        <f>IF('Données projet'!$A$192&gt;35,EJ23+EI24-ER23,IF(A24&lt;'Données projet'!$A$192,$EG$205^A24,IF(A24='Données projet'!$A$192,'Données projet'!$B$192,EJ23+EI24-ER23)))</f>
        <v>47.6</v>
      </c>
      <c r="EK24" s="18">
        <f>EJ24*VLOOKUP('Données projet'!$B$15,Paramètres!$A$1:$I$89,3,0)*VLOOKUP('Données projet'!$B$15,Paramètres!$A$1:$I$89,5,0)</f>
        <v>46.038720000000005</v>
      </c>
      <c r="EL24" s="14">
        <f t="shared" si="45"/>
        <v>13.585879560828786</v>
      </c>
      <c r="EM24" s="22">
        <f t="shared" si="19"/>
        <v>103.84617756844348</v>
      </c>
      <c r="EN24" s="62">
        <f t="shared" si="20"/>
        <v>386.17951090177678</v>
      </c>
      <c r="EO24" s="62">
        <f ca="1">AVERAGE(OFFSET($EN$3,0,0,'Données projet'!$E$15+1,1))-AVERAGE(OFFSET($H$3,0,0,'Données projet'!$E$15+1,1))</f>
        <v>457.16923206840744</v>
      </c>
      <c r="EP24" s="62">
        <f t="shared" si="46"/>
        <v>244.45149244446094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10.8</v>
      </c>
      <c r="FE24" s="13">
        <f>IF('Données projet'!$A$218&gt;35,FE23+FD24-FM23,IF(A24&lt;'Données projet'!$A$218,$FB$205^A24,IF(A24='Données projet'!$A$218,'Données projet'!$B$218,FE23+FD24-FM23)))</f>
        <v>81.799999999999983</v>
      </c>
      <c r="FF24" s="18">
        <f>FE24*VLOOKUP('Données projet'!$B$16,Paramètres!$A$1:$I$89,3,0)*VLOOKUP('Données projet'!$B$16,Paramètres!$A$1:$I$89,5,0)</f>
        <v>54.871439999999993</v>
      </c>
      <c r="FG24" s="14">
        <f t="shared" si="47"/>
        <v>15.864942647682177</v>
      </c>
      <c r="FH24" s="22">
        <f t="shared" si="22"/>
        <v>123.19919977804646</v>
      </c>
      <c r="FI24" s="62">
        <f t="shared" si="23"/>
        <v>405.53253311137979</v>
      </c>
      <c r="FJ24" s="62">
        <f ca="1">AVERAGE(OFFSET($FI$3,0,0,'Données projet'!$E$16+1,1))-AVERAGE(OFFSET($H$3,0,0,'Données projet'!$E$16+1,1))</f>
        <v>385.97853124853452</v>
      </c>
      <c r="FK24" s="62">
        <f t="shared" si="48"/>
        <v>300.99118099739695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279</v>
      </c>
      <c r="L25" s="13">
        <f>VLOOKUP(A25,'Données projet'!$A$35:$I$55,9,0)</f>
        <v>7</v>
      </c>
      <c r="M25" s="13">
        <f t="array" ref="M25">INDEX(L:L,MIN(IF(ISNUMBER(L25:L221),ROW(L25:L221),"")))</f>
        <v>7</v>
      </c>
      <c r="N25" s="14">
        <f>IF('Données projet'!$A$36&gt;35,N24+M25-V24,IF(A25&lt;'Données projet'!$A$36,$K$205^A25,IF(A25='Données projet'!$A$36,'Données projet'!$B$36,N24+M25-V24)))</f>
        <v>279</v>
      </c>
      <c r="O25" s="14">
        <f>N25*VLOOKUP('Données projet'!$B$9,Paramètres!$A$1:$I$89,3,0)*VLOOKUP('Données projet'!$B$9,Paramètres!$A$1:$I$89,5,0)</f>
        <v>141.88824000000002</v>
      </c>
      <c r="P25" s="14">
        <f t="shared" si="33"/>
        <v>36.729236902486804</v>
      </c>
      <c r="Q25" s="22">
        <f t="shared" si="2"/>
        <v>311.09210560516453</v>
      </c>
      <c r="R25" s="62">
        <f t="shared" si="0"/>
        <v>594.64766116072008</v>
      </c>
      <c r="S25" s="62">
        <f ca="1">AVERAGE(OFFSET($R$3,0,0,'Données projet'!$E$9+1,1))-AVERAGE(OFFSET($H$3,0,0,'Données projet'!$E$9+1,1))</f>
        <v>132.280299502248</v>
      </c>
      <c r="T25" s="62">
        <f t="shared" si="34"/>
        <v>337.98099449405339</v>
      </c>
      <c r="U25" s="16">
        <f>IF(ISNA(VLOOKUP(A25,'Données projet'!$A$35:$I$55,3,0)),0,VLOOKUP(A25,'Données projet'!$A$35:$I$55,3,0))</f>
        <v>1</v>
      </c>
      <c r="V25" s="16">
        <f>IF(ISNA(VLOOKUP(A25,'Données projet'!$A$35:$I$55,4,0)),0,VLOOKUP(A25,'Données projet'!$A$35:$I$55,4,0))</f>
        <v>279</v>
      </c>
      <c r="W25" s="17">
        <f>IF(ISNA(VLOOKUP(A25,'Données projet'!$A$35:$I$55,5,0)),0%,VLOOKUP(A25,'Données projet'!$A$35:$I$55,5,0)*VLOOKUP('Données projet'!$B$9,Paramètres!$A$1:$I$89,7,0))</f>
        <v>0.46799999999999997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0.22</v>
      </c>
      <c r="Z25" s="23">
        <f>EXP(-LN(2)/35)*Z24+(1-EXP(-LN(2)/35))/(LN(2)/35)*V25*W25*VLOOKUP('Données projet'!$B$9,Paramètres!$A$1:$I$89,3,0)*0.475*44/12</f>
        <v>73.40731937326116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29.452582127317541</v>
      </c>
      <c r="AC25" s="24">
        <f t="shared" si="3"/>
        <v>102.8599015005787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IF('Données projet'!$A$62&gt;35,AI24+AH25-AQ24,IF(A25&lt;'Données projet'!$A$62,$AF$205^A25,IF(A25='Données projet'!$A$62,'Données projet'!$B$62,AI24+AH25-AQ24)))</f>
        <v>53.2</v>
      </c>
      <c r="AJ25" s="14">
        <f>AI25*VLOOKUP('Données projet'!$B$10,Paramètres!$A$1:$I$89,3,0)*VLOOKUP('Données projet'!$B$10,Paramètres!$A$1:$I$89,5,0)</f>
        <v>48.135359999999999</v>
      </c>
      <c r="AK25" s="14">
        <f t="shared" si="35"/>
        <v>14.131148275361113</v>
      </c>
      <c r="AL25" s="22">
        <f t="shared" si="4"/>
        <v>108.4475019129206</v>
      </c>
      <c r="AM25" s="62">
        <f t="shared" si="5"/>
        <v>392.00305746847613</v>
      </c>
      <c r="AN25" s="62">
        <f ca="1">AVERAGE(OFFSET($AM$3,0,0,'Données projet'!$E$10+1,1))-AVERAGE(OFFSET($H$3,0,0,'Données projet'!$E$10+1,1))</f>
        <v>430.40491895612814</v>
      </c>
      <c r="AO25" s="62">
        <f t="shared" si="36"/>
        <v>231.36959598460686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4.3703703703703702</v>
      </c>
      <c r="BD25" s="13">
        <f>IF('Données projet'!$A$88&gt;35,BD24+BC25-BL24,IF(A25&lt;'Données projet'!$A$88,$BA$205^A25,IF(A25='Données projet'!$A$88,'Données projet'!$B$88,BD24+BC25-BL24)))</f>
        <v>48.775323004469058</v>
      </c>
      <c r="BE25" s="14">
        <f>BD25*VLOOKUP('Données projet'!$B$11,Paramètres!$A$1:$I$89,3,0)*VLOOKUP('Données projet'!$B$11,Paramètres!$A$1:$I$89,5,0)</f>
        <v>29.167643156672497</v>
      </c>
      <c r="BF25" s="14">
        <f t="shared" si="37"/>
        <v>9.0769279301265016</v>
      </c>
      <c r="BG25" s="22">
        <f t="shared" si="7"/>
        <v>66.60929464284159</v>
      </c>
      <c r="BH25" s="62">
        <f t="shared" si="8"/>
        <v>350.16485019839712</v>
      </c>
      <c r="BI25" s="62">
        <f ca="1">AVERAGE(OFFSET($BH$3,0,0,'Données projet'!$E$11+1,1))-AVERAGE(OFFSET($H$3,0,0,'Données projet'!$E$11+1,1))</f>
        <v>295.83974441964551</v>
      </c>
      <c r="BJ25" s="62">
        <f t="shared" si="38"/>
        <v>212.24900914818096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>
        <f>VLOOKUP(A25,'Données projet'!$A$113:$I$133,2,0)</f>
        <v>93</v>
      </c>
      <c r="BW25" s="13">
        <f>VLOOKUP(A25,'Données projet'!$A$113:$I$133,9,0)</f>
        <v>4.2272727272727275</v>
      </c>
      <c r="BX25" s="13">
        <f t="array" ref="BX25">INDEX(BW:BW,MIN(IF(ISNUMBER(BW25:BW221),ROW(BW25:BW221),"")))</f>
        <v>4.2272727272727275</v>
      </c>
      <c r="BY25" s="13">
        <f>IF('Données projet'!$A$114&gt;35,BY24+BX25-CG24,IF(A25&lt;'Données projet'!$A$114,$BV$205^A25,IF(A25='Données projet'!$A$114,'Données projet'!$B$114,BY24+BX25-CG24)))</f>
        <v>93</v>
      </c>
      <c r="BZ25" s="14">
        <f>BY25*VLOOKUP('Données projet'!$B$12,Paramètres!$A$1:$I$89,3,0)*VLOOKUP('Données projet'!$B$12,Paramètres!$A$1:$I$89,5,0)</f>
        <v>53.196000000000005</v>
      </c>
      <c r="CA25" s="14">
        <f t="shared" si="39"/>
        <v>15.436140726785499</v>
      </c>
      <c r="CB25" s="22">
        <f t="shared" si="10"/>
        <v>119.53431176581809</v>
      </c>
      <c r="CC25" s="62">
        <f t="shared" si="11"/>
        <v>403.08986732137362</v>
      </c>
      <c r="CD25" s="62">
        <f ca="1">AVERAGE(OFFSET($CC$3,0,0,'Données projet'!$E$12+1,1))-AVERAGE(OFFSET($H$3,0,0,'Données projet'!$E$12+1,1))</f>
        <v>309.71642374647882</v>
      </c>
      <c r="CE25" s="62">
        <f t="shared" si="40"/>
        <v>266.63880397664315</v>
      </c>
      <c r="CF25" s="16">
        <f>IF(ISNA(VLOOKUP(A25,'Données projet'!$A$113:$I$133,3,0)),0,VLOOKUP(A25,'Données projet'!$A$113:$I$133,3,0))</f>
        <v>1</v>
      </c>
      <c r="CG25" s="16">
        <f>IF(ISNA(VLOOKUP(A25,'Données projet'!$A$113:$I$133,4,0)),0,VLOOKUP(A25,'Données projet'!$A$113:$I$133,4,0))</f>
        <v>9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12.6</v>
      </c>
      <c r="CT25" s="13">
        <f>IF('Données projet'!$A$140&gt;35,CT24+CS25-DB24,IF(A25&lt;'Données projet'!$A$140,$CQ$205^A25,IF(A25='Données projet'!$A$140,'Données projet'!$B$140,CT24+CS25-DB24)))</f>
        <v>77.199999999999974</v>
      </c>
      <c r="CU25" s="18">
        <f>CT25*VLOOKUP('Données projet'!$B$13,Paramètres!$A$1:$I$89,3,0)*VLOOKUP('Données projet'!$B$13,Paramètres!$A$1:$I$89,5,0)</f>
        <v>61.420319999999982</v>
      </c>
      <c r="CV25" s="14">
        <f t="shared" si="41"/>
        <v>17.526880037631354</v>
      </c>
      <c r="CW25" s="22">
        <f t="shared" si="13"/>
        <v>137.4997067322079</v>
      </c>
      <c r="CX25" s="62">
        <f t="shared" si="14"/>
        <v>421.05526228776341</v>
      </c>
      <c r="CY25" s="62">
        <f ca="1">AVERAGE(OFFSET($CX$3,0,0,'Données projet'!$E$13+1,1))-AVERAGE(OFFSET($H$3,0,0,'Données projet'!$E$13+1,1))</f>
        <v>312.53381881960331</v>
      </c>
      <c r="CZ25" s="62">
        <f t="shared" si="42"/>
        <v>342.06887933351783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5.6</v>
      </c>
      <c r="DO25" s="13">
        <f>IF('Données projet'!$A$166&gt;35,DO24+DN25-DW24,IF(A25&lt;'Données projet'!$A$166,$DL$205^A25,IF(A25='Données projet'!$A$166,'Données projet'!$B$166,DO24+DN25-DW24)))</f>
        <v>53.2</v>
      </c>
      <c r="DP25" s="18">
        <f>DO25*VLOOKUP('Données projet'!$B$14,Paramètres!$A$1:$I$89,3,0)*VLOOKUP('Données projet'!$B$14,Paramètres!$A$1:$I$89,5,0)</f>
        <v>57.264479999999999</v>
      </c>
      <c r="DQ25" s="14">
        <f t="shared" si="43"/>
        <v>16.474776623807379</v>
      </c>
      <c r="DR25" s="22">
        <f t="shared" si="16"/>
        <v>128.42920528646451</v>
      </c>
      <c r="DS25" s="62">
        <f t="shared" si="17"/>
        <v>411.98476084202002</v>
      </c>
      <c r="DT25" s="62">
        <f ca="1">AVERAGE(OFFSET($DS$3,0,0,'Données projet'!$E$14+1,1))-AVERAGE(OFFSET($H$3,0,0,'Données projet'!$E$14+1,1))</f>
        <v>503.92230226365683</v>
      </c>
      <c r="DU25" s="62">
        <f t="shared" si="44"/>
        <v>267.2998309535638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5.6</v>
      </c>
      <c r="EJ25" s="13">
        <f>IF('Données projet'!$A$192&gt;35,EJ24+EI25-ER24,IF(A25&lt;'Données projet'!$A$192,$EG$205^A25,IF(A25='Données projet'!$A$192,'Données projet'!$B$192,EJ24+EI25-ER24)))</f>
        <v>53.2</v>
      </c>
      <c r="EK25" s="18">
        <f>EJ25*VLOOKUP('Données projet'!$B$15,Paramètres!$A$1:$I$89,3,0)*VLOOKUP('Données projet'!$B$15,Paramètres!$A$1:$I$89,5,0)</f>
        <v>51.455040000000004</v>
      </c>
      <c r="EL25" s="14">
        <f t="shared" si="45"/>
        <v>14.988900446655085</v>
      </c>
      <c r="EM25" s="22">
        <f t="shared" si="19"/>
        <v>115.72319627792427</v>
      </c>
      <c r="EN25" s="62">
        <f t="shared" si="20"/>
        <v>399.27875183347982</v>
      </c>
      <c r="EO25" s="62">
        <f ca="1">AVERAGE(OFFSET($EN$3,0,0,'Données projet'!$E$15+1,1))-AVERAGE(OFFSET($H$3,0,0,'Données projet'!$E$15+1,1))</f>
        <v>457.16923206840744</v>
      </c>
      <c r="EP25" s="62">
        <f t="shared" si="46"/>
        <v>244.45149244446094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10.8</v>
      </c>
      <c r="FE25" s="13">
        <f>IF('Données projet'!$A$218&gt;35,FE24+FD25-FM24,IF(A25&lt;'Données projet'!$A$218,$FB$205^A25,IF(A25='Données projet'!$A$218,'Données projet'!$B$218,FE24+FD25-FM24)))</f>
        <v>92.59999999999998</v>
      </c>
      <c r="FF25" s="18">
        <f>FE25*VLOOKUP('Données projet'!$B$16,Paramètres!$A$1:$I$89,3,0)*VLOOKUP('Données projet'!$B$16,Paramètres!$A$1:$I$89,5,0)</f>
        <v>62.11607999999999</v>
      </c>
      <c r="FG25" s="14">
        <f t="shared" si="47"/>
        <v>17.702196414896488</v>
      </c>
      <c r="FH25" s="22">
        <f t="shared" si="22"/>
        <v>139.01683142261138</v>
      </c>
      <c r="FI25" s="62">
        <f t="shared" si="23"/>
        <v>422.57238697816695</v>
      </c>
      <c r="FJ25" s="62">
        <f ca="1">AVERAGE(OFFSET($FI$3,0,0,'Données projet'!$E$16+1,1))-AVERAGE(OFFSET($H$3,0,0,'Données projet'!$E$16+1,1))</f>
        <v>385.97853124853452</v>
      </c>
      <c r="FK25" s="62">
        <f t="shared" si="48"/>
        <v>300.99118099739695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132.280299502248</v>
      </c>
      <c r="T26" s="62">
        <f t="shared" si="34"/>
        <v>337.98099449405339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71.967846614395256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20.826120545679945</v>
      </c>
      <c r="AC26" s="24">
        <f t="shared" si="3"/>
        <v>92.793967160075198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IF('Données projet'!$A$62&gt;35,AI25+AH26-AQ25,IF(A26&lt;'Données projet'!$A$62,$AF$205^A26,IF(A26='Données projet'!$A$62,'Données projet'!$B$62,AI25+AH26-AQ25)))</f>
        <v>58.800000000000004</v>
      </c>
      <c r="AJ26" s="14">
        <f>AI26*VLOOKUP('Données projet'!$B$10,Paramètres!$A$1:$I$89,3,0)*VLOOKUP('Données projet'!$B$10,Paramètres!$A$1:$I$89,5,0)</f>
        <v>53.202240000000003</v>
      </c>
      <c r="AK26" s="14">
        <f t="shared" si="35"/>
        <v>15.437740642425908</v>
      </c>
      <c r="AL26" s="22">
        <f t="shared" si="4"/>
        <v>119.54796628555846</v>
      </c>
      <c r="AM26" s="62">
        <f t="shared" si="5"/>
        <v>404.32574406333623</v>
      </c>
      <c r="AN26" s="62">
        <f ca="1">AVERAGE(OFFSET($AM$3,0,0,'Données projet'!$E$10+1,1))-AVERAGE(OFFSET($H$3,0,0,'Données projet'!$E$10+1,1))</f>
        <v>430.40491895612814</v>
      </c>
      <c r="AO26" s="62">
        <f t="shared" si="36"/>
        <v>231.36959598460686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4.3703703703703702</v>
      </c>
      <c r="BD26" s="13">
        <f>IF('Données projet'!$A$88&gt;35,BD25+BC26-BL25,IF(A26&lt;'Données projet'!$A$88,$BA$205^A26,IF(A26='Données projet'!$A$88,'Données projet'!$B$88,BD25+BC26-BL25)))</f>
        <v>58.201814542189823</v>
      </c>
      <c r="BE26" s="14">
        <f>BD26*VLOOKUP('Données projet'!$B$11,Paramètres!$A$1:$I$89,3,0)*VLOOKUP('Données projet'!$B$11,Paramètres!$A$1:$I$89,5,0)</f>
        <v>34.804685096229512</v>
      </c>
      <c r="BF26" s="14">
        <f t="shared" si="37"/>
        <v>10.610678220189007</v>
      </c>
      <c r="BG26" s="22">
        <f t="shared" si="7"/>
        <v>79.098424442762266</v>
      </c>
      <c r="BH26" s="62">
        <f t="shared" si="8"/>
        <v>363.87620222054005</v>
      </c>
      <c r="BI26" s="62">
        <f ca="1">AVERAGE(OFFSET($BH$3,0,0,'Données projet'!$E$11+1,1))-AVERAGE(OFFSET($H$3,0,0,'Données projet'!$E$11+1,1))</f>
        <v>295.83974441964551</v>
      </c>
      <c r="BJ26" s="62">
        <f t="shared" si="38"/>
        <v>212.24900914818096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15.666666666666666</v>
      </c>
      <c r="BY26" s="13">
        <f>IF('Données projet'!$A$114&gt;35,BY25+BX26-CG25,IF(A26&lt;'Données projet'!$A$114,$BV$205^A26,IF(A26='Données projet'!$A$114,'Données projet'!$B$114,BY25+BX26-CG25)))</f>
        <v>99.666666666666671</v>
      </c>
      <c r="BZ26" s="14">
        <f>BY26*VLOOKUP('Données projet'!$B$12,Paramètres!$A$1:$I$89,3,0)*VLOOKUP('Données projet'!$B$12,Paramètres!$A$1:$I$89,5,0)</f>
        <v>57.009333333333345</v>
      </c>
      <c r="CA26" s="14">
        <f t="shared" si="39"/>
        <v>16.409899347168675</v>
      </c>
      <c r="CB26" s="22">
        <f t="shared" si="10"/>
        <v>127.87183025187436</v>
      </c>
      <c r="CC26" s="62">
        <f t="shared" si="11"/>
        <v>412.64960802965214</v>
      </c>
      <c r="CD26" s="62">
        <f ca="1">AVERAGE(OFFSET($CC$3,0,0,'Données projet'!$E$12+1,1))-AVERAGE(OFFSET($H$3,0,0,'Données projet'!$E$12+1,1))</f>
        <v>309.71642374647882</v>
      </c>
      <c r="CE26" s="62">
        <f t="shared" si="40"/>
        <v>266.63880397664315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12.6</v>
      </c>
      <c r="CT26" s="13">
        <f>IF('Données projet'!$A$140&gt;35,CT25+CS26-DB25,IF(A26&lt;'Données projet'!$A$140,$CQ$205^A26,IF(A26='Données projet'!$A$140,'Données projet'!$B$140,CT25+CS26-DB25)))</f>
        <v>89.799999999999969</v>
      </c>
      <c r="CU26" s="18">
        <f>CT26*VLOOKUP('Données projet'!$B$13,Paramètres!$A$1:$I$89,3,0)*VLOOKUP('Données projet'!$B$13,Paramètres!$A$1:$I$89,5,0)</f>
        <v>71.444879999999984</v>
      </c>
      <c r="CV26" s="14">
        <f t="shared" si="41"/>
        <v>20.03184442542841</v>
      </c>
      <c r="CW26" s="22">
        <f t="shared" si="13"/>
        <v>159.32196170762111</v>
      </c>
      <c r="CX26" s="62">
        <f t="shared" si="14"/>
        <v>444.09973948539891</v>
      </c>
      <c r="CY26" s="62">
        <f ca="1">AVERAGE(OFFSET($CX$3,0,0,'Données projet'!$E$13+1,1))-AVERAGE(OFFSET($H$3,0,0,'Données projet'!$E$13+1,1))</f>
        <v>312.53381881960331</v>
      </c>
      <c r="CZ26" s="62">
        <f t="shared" si="42"/>
        <v>342.06887933351783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5.6</v>
      </c>
      <c r="DO26" s="13">
        <f>IF('Données projet'!$A$166&gt;35,DO25+DN26-DW25,IF(A26&lt;'Données projet'!$A$166,$DL$205^A26,IF(A26='Données projet'!$A$166,'Données projet'!$B$166,DO25+DN26-DW25)))</f>
        <v>58.800000000000004</v>
      </c>
      <c r="DP26" s="18">
        <f>DO26*VLOOKUP('Données projet'!$B$14,Paramètres!$A$1:$I$89,3,0)*VLOOKUP('Données projet'!$B$14,Paramètres!$A$1:$I$89,5,0)</f>
        <v>63.292320000000004</v>
      </c>
      <c r="DQ26" s="14">
        <f t="shared" si="43"/>
        <v>17.998065245956816</v>
      </c>
      <c r="DR26" s="22">
        <f t="shared" si="16"/>
        <v>141.58075430337479</v>
      </c>
      <c r="DS26" s="62">
        <f t="shared" si="17"/>
        <v>426.35853208115259</v>
      </c>
      <c r="DT26" s="62">
        <f ca="1">AVERAGE(OFFSET($DS$3,0,0,'Données projet'!$E$14+1,1))-AVERAGE(OFFSET($H$3,0,0,'Données projet'!$E$14+1,1))</f>
        <v>503.92230226365683</v>
      </c>
      <c r="DU26" s="62">
        <f t="shared" si="44"/>
        <v>267.2998309535638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5.6</v>
      </c>
      <c r="EJ26" s="13">
        <f>IF('Données projet'!$A$192&gt;35,EJ25+EI26-ER25,IF(A26&lt;'Données projet'!$A$192,$EG$205^A26,IF(A26='Données projet'!$A$192,'Données projet'!$B$192,EJ25+EI26-ER25)))</f>
        <v>58.800000000000004</v>
      </c>
      <c r="EK26" s="18">
        <f>EJ26*VLOOKUP('Données projet'!$B$15,Paramètres!$A$1:$I$89,3,0)*VLOOKUP('Données projet'!$B$15,Paramètres!$A$1:$I$89,5,0)</f>
        <v>56.87136000000001</v>
      </c>
      <c r="EL26" s="14">
        <f t="shared" si="45"/>
        <v>16.374802181791551</v>
      </c>
      <c r="EM26" s="22">
        <f t="shared" si="19"/>
        <v>127.57039913328697</v>
      </c>
      <c r="EN26" s="62">
        <f t="shared" si="20"/>
        <v>412.34817691106474</v>
      </c>
      <c r="EO26" s="62">
        <f ca="1">AVERAGE(OFFSET($EN$3,0,0,'Données projet'!$E$15+1,1))-AVERAGE(OFFSET($H$3,0,0,'Données projet'!$E$15+1,1))</f>
        <v>457.16923206840744</v>
      </c>
      <c r="EP26" s="62">
        <f t="shared" si="46"/>
        <v>244.45149244446094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10.8</v>
      </c>
      <c r="FE26" s="13">
        <f>IF('Données projet'!$A$218&gt;35,FE25+FD26-FM25,IF(A26&lt;'Données projet'!$A$218,$FB$205^A26,IF(A26='Données projet'!$A$218,'Données projet'!$B$218,FE25+FD26-FM25)))</f>
        <v>103.39999999999998</v>
      </c>
      <c r="FF26" s="18">
        <f>FE26*VLOOKUP('Données projet'!$B$16,Paramètres!$A$1:$I$89,3,0)*VLOOKUP('Données projet'!$B$16,Paramètres!$A$1:$I$89,5,0)</f>
        <v>69.360719999999986</v>
      </c>
      <c r="FG26" s="14">
        <f t="shared" si="47"/>
        <v>19.514617146984676</v>
      </c>
      <c r="FH26" s="22">
        <f t="shared" si="22"/>
        <v>154.79121219766498</v>
      </c>
      <c r="FI26" s="62">
        <f t="shared" si="23"/>
        <v>439.56898997544272</v>
      </c>
      <c r="FJ26" s="62">
        <f ca="1">AVERAGE(OFFSET($FI$3,0,0,'Données projet'!$E$16+1,1))-AVERAGE(OFFSET($H$3,0,0,'Données projet'!$E$16+1,1))</f>
        <v>385.97853124853452</v>
      </c>
      <c r="FK26" s="62">
        <f t="shared" si="48"/>
        <v>300.99118099739695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132.280299502248</v>
      </c>
      <c r="T27" s="62">
        <f t="shared" si="34"/>
        <v>337.98099449405339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70.556601038339025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14.726291063658772</v>
      </c>
      <c r="AC27" s="24">
        <f t="shared" si="3"/>
        <v>85.282892101997803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IF('Données projet'!$A$62&gt;35,AI26+AH27-AQ26,IF(A27&lt;'Données projet'!$A$62,$AF$205^A27,IF(A27='Données projet'!$A$62,'Données projet'!$B$62,AI26+AH27-AQ26)))</f>
        <v>64.400000000000006</v>
      </c>
      <c r="AJ27" s="14">
        <f>AI27*VLOOKUP('Données projet'!$B$10,Paramètres!$A$1:$I$89,3,0)*VLOOKUP('Données projet'!$B$10,Paramètres!$A$1:$I$89,5,0)</f>
        <v>58.269120000000008</v>
      </c>
      <c r="AK27" s="14">
        <f t="shared" si="35"/>
        <v>16.729905486873804</v>
      </c>
      <c r="AL27" s="22">
        <f t="shared" si="4"/>
        <v>130.62330272297189</v>
      </c>
      <c r="AM27" s="62">
        <f t="shared" si="5"/>
        <v>416.62330272297186</v>
      </c>
      <c r="AN27" s="62">
        <f ca="1">AVERAGE(OFFSET($AM$3,0,0,'Données projet'!$E$10+1,1))-AVERAGE(OFFSET($H$3,0,0,'Données projet'!$E$10+1,1))</f>
        <v>430.40491895612814</v>
      </c>
      <c r="AO27" s="62">
        <f t="shared" si="36"/>
        <v>231.36959598460686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4.3703703703703702</v>
      </c>
      <c r="BD27" s="13">
        <f>IF('Données projet'!$A$88&gt;35,BD26+BC27-BL26,IF(A27&lt;'Données projet'!$A$88,$BA$205^A27,IF(A27='Données projet'!$A$88,'Données projet'!$B$88,BD26+BC27-BL26)))</f>
        <v>69.450103194459274</v>
      </c>
      <c r="BE27" s="14">
        <f>BD27*VLOOKUP('Données projet'!$B$11,Paramètres!$A$1:$I$89,3,0)*VLOOKUP('Données projet'!$B$11,Paramètres!$A$1:$I$89,5,0)</f>
        <v>41.531161710286646</v>
      </c>
      <c r="BF27" s="14">
        <f t="shared" si="37"/>
        <v>12.40358997659513</v>
      </c>
      <c r="BG27" s="22">
        <f t="shared" si="7"/>
        <v>93.936359187985758</v>
      </c>
      <c r="BH27" s="62">
        <f t="shared" si="8"/>
        <v>379.93635918798577</v>
      </c>
      <c r="BI27" s="62">
        <f ca="1">AVERAGE(OFFSET($BH$3,0,0,'Données projet'!$E$11+1,1))-AVERAGE(OFFSET($H$3,0,0,'Données projet'!$E$11+1,1))</f>
        <v>295.83974441964551</v>
      </c>
      <c r="BJ27" s="62">
        <f t="shared" si="38"/>
        <v>212.24900914818096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15.666666666666666</v>
      </c>
      <c r="BY27" s="13">
        <f>IF('Données projet'!$A$114&gt;35,BY26+BX27-CG26,IF(A27&lt;'Données projet'!$A$114,$BV$205^A27,IF(A27='Données projet'!$A$114,'Données projet'!$B$114,BY26+BX27-CG26)))</f>
        <v>115.33333333333334</v>
      </c>
      <c r="BZ27" s="14">
        <f>BY27*VLOOKUP('Données projet'!$B$12,Paramètres!$A$1:$I$89,3,0)*VLOOKUP('Données projet'!$B$12,Paramètres!$A$1:$I$89,5,0)</f>
        <v>65.970666666666673</v>
      </c>
      <c r="CA27" s="14">
        <f t="shared" si="39"/>
        <v>18.669405819805228</v>
      </c>
      <c r="CB27" s="22">
        <f t="shared" si="10"/>
        <v>147.41479291393856</v>
      </c>
      <c r="CC27" s="62">
        <f t="shared" si="11"/>
        <v>433.41479291393853</v>
      </c>
      <c r="CD27" s="62">
        <f ca="1">AVERAGE(OFFSET($CC$3,0,0,'Données projet'!$E$12+1,1))-AVERAGE(OFFSET($H$3,0,0,'Données projet'!$E$12+1,1))</f>
        <v>309.71642374647882</v>
      </c>
      <c r="CE27" s="62">
        <f t="shared" si="40"/>
        <v>266.63880397664315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12.6</v>
      </c>
      <c r="CT27" s="13">
        <f>IF('Données projet'!$A$140&gt;35,CT26+CS27-DB26,IF(A27&lt;'Données projet'!$A$140,$CQ$205^A27,IF(A27='Données projet'!$A$140,'Données projet'!$B$140,CT26+CS27-DB26)))</f>
        <v>102.39999999999996</v>
      </c>
      <c r="CU27" s="18">
        <f>CT27*VLOOKUP('Données projet'!$B$13,Paramètres!$A$1:$I$89,3,0)*VLOOKUP('Données projet'!$B$13,Paramètres!$A$1:$I$89,5,0)</f>
        <v>81.469439999999977</v>
      </c>
      <c r="CV27" s="14">
        <f t="shared" si="41"/>
        <v>22.496088365195671</v>
      </c>
      <c r="CW27" s="22">
        <f t="shared" si="13"/>
        <v>181.07329523604912</v>
      </c>
      <c r="CX27" s="62">
        <f t="shared" si="14"/>
        <v>467.07329523604915</v>
      </c>
      <c r="CY27" s="62">
        <f ca="1">AVERAGE(OFFSET($CX$3,0,0,'Données projet'!$E$13+1,1))-AVERAGE(OFFSET($H$3,0,0,'Données projet'!$E$13+1,1))</f>
        <v>312.53381881960331</v>
      </c>
      <c r="CZ27" s="62">
        <f t="shared" si="42"/>
        <v>342.06887933351783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5.6</v>
      </c>
      <c r="DO27" s="13">
        <f>IF('Données projet'!$A$166&gt;35,DO26+DN27-DW26,IF(A27&lt;'Données projet'!$A$166,$DL$205^A27,IF(A27='Données projet'!$A$166,'Données projet'!$B$166,DO26+DN27-DW26)))</f>
        <v>64.400000000000006</v>
      </c>
      <c r="DP27" s="18">
        <f>DO27*VLOOKUP('Données projet'!$B$14,Paramètres!$A$1:$I$89,3,0)*VLOOKUP('Données projet'!$B$14,Paramètres!$A$1:$I$89,5,0)</f>
        <v>69.320160000000001</v>
      </c>
      <c r="DQ27" s="14">
        <f t="shared" si="43"/>
        <v>19.50453356393022</v>
      </c>
      <c r="DR27" s="22">
        <f t="shared" si="16"/>
        <v>154.70300795717847</v>
      </c>
      <c r="DS27" s="62">
        <f t="shared" si="17"/>
        <v>440.70300795717844</v>
      </c>
      <c r="DT27" s="62">
        <f ca="1">AVERAGE(OFFSET($DS$3,0,0,'Données projet'!$E$14+1,1))-AVERAGE(OFFSET($H$3,0,0,'Données projet'!$E$14+1,1))</f>
        <v>503.92230226365683</v>
      </c>
      <c r="DU27" s="62">
        <f t="shared" si="44"/>
        <v>267.2998309535638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5.6</v>
      </c>
      <c r="EJ27" s="13">
        <f>IF('Données projet'!$A$192&gt;35,EJ26+EI27-ER26,IF(A27&lt;'Données projet'!$A$192,$EG$205^A27,IF(A27='Données projet'!$A$192,'Données projet'!$B$192,EJ26+EI27-ER26)))</f>
        <v>64.400000000000006</v>
      </c>
      <c r="EK27" s="18">
        <f>EJ27*VLOOKUP('Données projet'!$B$15,Paramètres!$A$1:$I$89,3,0)*VLOOKUP('Données projet'!$B$15,Paramètres!$A$1:$I$89,5,0)</f>
        <v>62.287680000000009</v>
      </c>
      <c r="EL27" s="14">
        <f t="shared" si="45"/>
        <v>17.745400652396182</v>
      </c>
      <c r="EM27" s="22">
        <f t="shared" si="19"/>
        <v>139.39094880292336</v>
      </c>
      <c r="EN27" s="62">
        <f t="shared" si="20"/>
        <v>425.39094880292339</v>
      </c>
      <c r="EO27" s="62">
        <f ca="1">AVERAGE(OFFSET($EN$3,0,0,'Données projet'!$E$15+1,1))-AVERAGE(OFFSET($H$3,0,0,'Données projet'!$E$15+1,1))</f>
        <v>457.16923206840744</v>
      </c>
      <c r="EP27" s="62">
        <f t="shared" si="46"/>
        <v>244.45149244446094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10.8</v>
      </c>
      <c r="FE27" s="13">
        <f>IF('Données projet'!$A$218&gt;35,FE26+FD27-FM26,IF(A27&lt;'Données projet'!$A$218,$FB$205^A27,IF(A27='Données projet'!$A$218,'Données projet'!$B$218,FE26+FD27-FM26)))</f>
        <v>114.19999999999997</v>
      </c>
      <c r="FF27" s="18">
        <f>FE27*VLOOKUP('Données projet'!$B$16,Paramètres!$A$1:$I$89,3,0)*VLOOKUP('Données projet'!$B$16,Paramètres!$A$1:$I$89,5,0)</f>
        <v>76.605359999999976</v>
      </c>
      <c r="FG27" s="14">
        <f t="shared" si="47"/>
        <v>21.30509410072349</v>
      </c>
      <c r="FH27" s="22">
        <f t="shared" si="22"/>
        <v>170.52737422542671</v>
      </c>
      <c r="FI27" s="62">
        <f t="shared" si="23"/>
        <v>456.52737422542668</v>
      </c>
      <c r="FJ27" s="62">
        <f ca="1">AVERAGE(OFFSET($FI$3,0,0,'Données projet'!$E$16+1,1))-AVERAGE(OFFSET($H$3,0,0,'Données projet'!$E$16+1,1))</f>
        <v>385.97853124853452</v>
      </c>
      <c r="FK27" s="62">
        <f t="shared" si="48"/>
        <v>300.99118099739695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132.280299502248</v>
      </c>
      <c r="T28" s="62">
        <f t="shared" si="34"/>
        <v>337.98099449405339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69.173029127254452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10.413060272839974</v>
      </c>
      <c r="AC28" s="24">
        <f t="shared" si="3"/>
        <v>79.586089400094423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63.335999999999991</v>
      </c>
      <c r="AK28" s="14">
        <f t="shared" si="35"/>
        <v>18.009040022946227</v>
      </c>
      <c r="AL28" s="22">
        <f t="shared" si="4"/>
        <v>141.67594470663133</v>
      </c>
      <c r="AM28" s="62">
        <f t="shared" si="5"/>
        <v>428.89816692885358</v>
      </c>
      <c r="AN28" s="62">
        <f ca="1">AVERAGE(OFFSET($AM$3,0,0,'Données projet'!$E$10+1,1))-AVERAGE(OFFSET($H$3,0,0,'Données projet'!$E$10+1,1))</f>
        <v>430.40491895612814</v>
      </c>
      <c r="AO28" s="62">
        <f t="shared" si="36"/>
        <v>231.36959598460686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4.3703703703703702</v>
      </c>
      <c r="BD28" s="13">
        <f>IF('Données projet'!$A$88&gt;35,BD27+BC28-BL27,IF(A28&lt;'Données projet'!$A$88,$BA$205^A28,IF(A28='Données projet'!$A$88,'Données projet'!$B$88,BD27+BC28-BL27)))</f>
        <v>82.872275918900684</v>
      </c>
      <c r="BE28" s="14">
        <f>BD28*VLOOKUP('Données projet'!$B$11,Paramètres!$A$1:$I$89,3,0)*VLOOKUP('Données projet'!$B$11,Paramètres!$A$1:$I$89,5,0)</f>
        <v>49.557620999502618</v>
      </c>
      <c r="BF28" s="14">
        <f t="shared" si="37"/>
        <v>14.49945433410293</v>
      </c>
      <c r="BG28" s="22">
        <f t="shared" si="7"/>
        <v>111.56607287269634</v>
      </c>
      <c r="BH28" s="62">
        <f t="shared" si="8"/>
        <v>398.78829509491857</v>
      </c>
      <c r="BI28" s="62">
        <f ca="1">AVERAGE(OFFSET($BH$3,0,0,'Données projet'!$E$11+1,1))-AVERAGE(OFFSET($H$3,0,0,'Données projet'!$E$11+1,1))</f>
        <v>295.83974441964551</v>
      </c>
      <c r="BJ28" s="62">
        <f t="shared" si="38"/>
        <v>212.24900914818096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131</v>
      </c>
      <c r="BW28" s="13">
        <f>VLOOKUP(A28,'Données projet'!$A$113:$I$133,9,0)</f>
        <v>15.666666666666666</v>
      </c>
      <c r="BX28" s="13">
        <f t="array" ref="BX28">INDEX(BW:BW,MIN(IF(ISNUMBER(BW28:BW224),ROW(BW28:BW224),"")))</f>
        <v>15.666666666666666</v>
      </c>
      <c r="BY28" s="13">
        <f>IF('Données projet'!$A$114&gt;35,BY27+BX28-CG27,IF(A28&lt;'Données projet'!$A$114,$BV$205^A28,IF(A28='Données projet'!$A$114,'Données projet'!$B$114,BY27+BX28-CG27)))</f>
        <v>131</v>
      </c>
      <c r="BZ28" s="14">
        <f>BY28*VLOOKUP('Données projet'!$B$12,Paramètres!$A$1:$I$89,3,0)*VLOOKUP('Données projet'!$B$12,Paramètres!$A$1:$I$89,5,0)</f>
        <v>74.932000000000002</v>
      </c>
      <c r="CA28" s="14">
        <f t="shared" si="39"/>
        <v>20.89335159903294</v>
      </c>
      <c r="CB28" s="22">
        <f t="shared" si="10"/>
        <v>166.89582070164903</v>
      </c>
      <c r="CC28" s="62">
        <f t="shared" si="11"/>
        <v>454.11804292387126</v>
      </c>
      <c r="CD28" s="62">
        <f ca="1">AVERAGE(OFFSET($CC$3,0,0,'Données projet'!$E$12+1,1))-AVERAGE(OFFSET($H$3,0,0,'Données projet'!$E$12+1,1))</f>
        <v>309.71642374647882</v>
      </c>
      <c r="CE28" s="62">
        <f t="shared" si="40"/>
        <v>266.63880397664315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21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0.4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5.4401497431551631</v>
      </c>
      <c r="CN28" s="24">
        <f t="shared" si="12"/>
        <v>5.4401497431551631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115</v>
      </c>
      <c r="CR28" s="13">
        <f>VLOOKUP(A28,'Données projet'!$A$139:$I$159,9,0)</f>
        <v>12.6</v>
      </c>
      <c r="CS28" s="13">
        <f t="array" ref="CS28">INDEX(CR:CR,MIN(IF(ISNUMBER(CR28:CR224),ROW(CR28:CR224),"")))</f>
        <v>12.6</v>
      </c>
      <c r="CT28" s="13">
        <f>IF('Données projet'!$A$140&gt;35,CT27+CS28-DB27,IF(A28&lt;'Données projet'!$A$140,$CQ$205^A28,IF(A28='Données projet'!$A$140,'Données projet'!$B$140,CT27+CS28-DB27)))</f>
        <v>114.99999999999996</v>
      </c>
      <c r="CU28" s="18">
        <f>CT28*VLOOKUP('Données projet'!$B$13,Paramètres!$A$1:$I$89,3,0)*VLOOKUP('Données projet'!$B$13,Paramètres!$A$1:$I$89,5,0)</f>
        <v>91.493999999999971</v>
      </c>
      <c r="CV28" s="14">
        <f t="shared" si="41"/>
        <v>24.925195840896517</v>
      </c>
      <c r="CW28" s="22">
        <f t="shared" si="13"/>
        <v>202.76343275622807</v>
      </c>
      <c r="CX28" s="62">
        <f t="shared" si="14"/>
        <v>489.98565497845027</v>
      </c>
      <c r="CY28" s="62">
        <f ca="1">AVERAGE(OFFSET($CX$3,0,0,'Données projet'!$E$13+1,1))-AVERAGE(OFFSET($H$3,0,0,'Données projet'!$E$13+1,1))</f>
        <v>312.53381881960331</v>
      </c>
      <c r="CZ28" s="62">
        <f t="shared" si="42"/>
        <v>342.06887933351783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70</v>
      </c>
      <c r="DM28" s="13">
        <f>VLOOKUP(A28,'Données projet'!$A$165:$I$185,9,0)</f>
        <v>5.6</v>
      </c>
      <c r="DN28" s="13">
        <f t="array" ref="DN28">INDEX(DM:DM,MIN(IF(ISNUMBER(DM28:DM224),ROW(DM28:DM224),"")))</f>
        <v>5.6</v>
      </c>
      <c r="DO28" s="13">
        <f>IF('Données projet'!$A$166&gt;35,DO27+DN28-DW27,IF(A28&lt;'Données projet'!$A$166,$DL$205^A28,IF(A28='Données projet'!$A$166,'Données projet'!$B$166,DO27+DN28-DW27)))</f>
        <v>70</v>
      </c>
      <c r="DP28" s="18">
        <f>DO28*VLOOKUP('Données projet'!$B$14,Paramètres!$A$1:$I$89,3,0)*VLOOKUP('Données projet'!$B$14,Paramètres!$A$1:$I$89,5,0)</f>
        <v>75.347999999999999</v>
      </c>
      <c r="DQ28" s="14">
        <f t="shared" si="43"/>
        <v>20.99581051771704</v>
      </c>
      <c r="DR28" s="22">
        <f t="shared" si="16"/>
        <v>167.79880331835713</v>
      </c>
      <c r="DS28" s="62">
        <f t="shared" si="17"/>
        <v>455.02102554057933</v>
      </c>
      <c r="DT28" s="62">
        <f ca="1">AVERAGE(OFFSET($DS$3,0,0,'Données projet'!$E$14+1,1))-AVERAGE(OFFSET($H$3,0,0,'Données projet'!$E$14+1,1))</f>
        <v>503.92230226365683</v>
      </c>
      <c r="DU28" s="62">
        <f t="shared" si="44"/>
        <v>267.2998309535638</v>
      </c>
      <c r="DV28" s="16">
        <f>IF(ISNA(VLOOKUP(A28,'Données projet'!$A$165:$I$185,3,0)),0,VLOOKUP(A28,'Données projet'!$A$165:$I$185,3,0))</f>
        <v>1</v>
      </c>
      <c r="DW28" s="16">
        <f>IF(ISNA(VLOOKUP(A28,'Données projet'!$A$165:$I$185,4,0)),0,VLOOKUP(A28,'Données projet'!$A$165:$I$185,4,0))</f>
        <v>8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70</v>
      </c>
      <c r="EH28" s="13">
        <f>VLOOKUP(A28,'Données projet'!$A$191:$I$211,9,0)</f>
        <v>5.6</v>
      </c>
      <c r="EI28" s="13">
        <f t="array" ref="EI28">INDEX(EH:EH,MIN(IF(ISNUMBER(EH28:EH224),ROW(EH28:EH224),"")))</f>
        <v>5.6</v>
      </c>
      <c r="EJ28" s="13">
        <f>IF('Données projet'!$A$192&gt;35,EJ27+EI28-ER27,IF(A28&lt;'Données projet'!$A$192,$EG$205^A28,IF(A28='Données projet'!$A$192,'Données projet'!$B$192,EJ27+EI28-ER27)))</f>
        <v>70</v>
      </c>
      <c r="EK28" s="18">
        <f>EJ28*VLOOKUP('Données projet'!$B$15,Paramètres!$A$1:$I$89,3,0)*VLOOKUP('Données projet'!$B$15,Paramètres!$A$1:$I$89,5,0)</f>
        <v>67.703999999999994</v>
      </c>
      <c r="EL28" s="14">
        <f t="shared" si="45"/>
        <v>19.102177882771514</v>
      </c>
      <c r="EM28" s="22">
        <f t="shared" si="19"/>
        <v>151.18742647916039</v>
      </c>
      <c r="EN28" s="62">
        <f t="shared" si="20"/>
        <v>438.40964870138259</v>
      </c>
      <c r="EO28" s="62">
        <f ca="1">AVERAGE(OFFSET($EN$3,0,0,'Données projet'!$E$15+1,1))-AVERAGE(OFFSET($H$3,0,0,'Données projet'!$E$15+1,1))</f>
        <v>457.16923206840744</v>
      </c>
      <c r="EP28" s="62">
        <f t="shared" si="46"/>
        <v>244.45149244446094</v>
      </c>
      <c r="EQ28" s="16">
        <f>IF(ISNA(VLOOKUP(A28,'Données projet'!$A$191:$I$211,3,0)),0,VLOOKUP(A28,'Données projet'!$A$191:$I$211,3,0))</f>
        <v>1</v>
      </c>
      <c r="ER28" s="16">
        <f>IF(ISNA(VLOOKUP(A28,'Données projet'!$A$191:$I$211,4,0)),0,VLOOKUP(A28,'Données projet'!$A$191:$I$211,4,0))</f>
        <v>8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125</v>
      </c>
      <c r="FC28" s="13">
        <f>VLOOKUP(A28,'Données projet'!$A$217:$I$237,9,0)</f>
        <v>10.8</v>
      </c>
      <c r="FD28" s="13">
        <f t="array" ref="FD28">INDEX(FC:FC,MIN(IF(ISNUMBER(FC28:FC224),ROW(FC28:FC224),"")))</f>
        <v>10.8</v>
      </c>
      <c r="FE28" s="13">
        <f>IF('Données projet'!$A$218&gt;35,FE27+FD28-FM27,IF(A28&lt;'Données projet'!$A$218,$FB$205^A28,IF(A28='Données projet'!$A$218,'Données projet'!$B$218,FE27+FD28-FM27)))</f>
        <v>124.99999999999997</v>
      </c>
      <c r="FF28" s="18">
        <f>FE28*VLOOKUP('Données projet'!$B$16,Paramètres!$A$1:$I$89,3,0)*VLOOKUP('Données projet'!$B$16,Paramètres!$A$1:$I$89,5,0)</f>
        <v>83.84999999999998</v>
      </c>
      <c r="FG28" s="14">
        <f t="shared" si="47"/>
        <v>23.075938604999987</v>
      </c>
      <c r="FH28" s="22">
        <f t="shared" si="22"/>
        <v>186.22934307037494</v>
      </c>
      <c r="FI28" s="62">
        <f t="shared" si="23"/>
        <v>473.45156529259714</v>
      </c>
      <c r="FJ28" s="62">
        <f ca="1">AVERAGE(OFFSET($FI$3,0,0,'Données projet'!$E$16+1,1))-AVERAGE(OFFSET($H$3,0,0,'Données projet'!$E$16+1,1))</f>
        <v>385.97853124853452</v>
      </c>
      <c r="FK28" s="62">
        <f t="shared" si="48"/>
        <v>300.99118099739695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132.280299502248</v>
      </c>
      <c r="T29" s="62">
        <f t="shared" si="34"/>
        <v>337.98099449405339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67.8165882174507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7.363145531829387</v>
      </c>
      <c r="AC29" s="24">
        <f t="shared" si="3"/>
        <v>75.179733749280089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69</v>
      </c>
      <c r="AJ29" s="14">
        <f>AI29*VLOOKUP('Données projet'!$B$10,Paramètres!$A$1:$I$89,3,0)*VLOOKUP('Données projet'!$B$10,Paramètres!$A$1:$I$89,5,0)</f>
        <v>62.431199999999997</v>
      </c>
      <c r="AK29" s="14">
        <f t="shared" si="35"/>
        <v>17.781524466058684</v>
      </c>
      <c r="AL29" s="22">
        <f t="shared" si="4"/>
        <v>139.70382844505221</v>
      </c>
      <c r="AM29" s="62">
        <f t="shared" si="5"/>
        <v>428.14827288949664</v>
      </c>
      <c r="AN29" s="62">
        <f ca="1">AVERAGE(OFFSET($AM$3,0,0,'Données projet'!$E$10+1,1))-AVERAGE(OFFSET($H$3,0,0,'Données projet'!$E$10+1,1))</f>
        <v>430.40491895612814</v>
      </c>
      <c r="AO29" s="62">
        <f t="shared" si="36"/>
        <v>231.36959598460686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4.3703703703703702</v>
      </c>
      <c r="BD29" s="13">
        <f>IF('Données projet'!$A$88&gt;35,BD28+BC29-BL28,IF(A29&lt;'Données projet'!$A$88,$BA$205^A29,IF(A29='Données projet'!$A$88,'Données projet'!$B$88,BD28+BC29-BL28)))</f>
        <v>98.888465244589028</v>
      </c>
      <c r="BE29" s="14">
        <f>BD29*VLOOKUP('Données projet'!$B$11,Paramètres!$A$1:$I$89,3,0)*VLOOKUP('Données projet'!$B$11,Paramètres!$A$1:$I$89,5,0)</f>
        <v>59.135302216264243</v>
      </c>
      <c r="BF29" s="14">
        <f t="shared" si="37"/>
        <v>16.949461920575921</v>
      </c>
      <c r="BG29" s="22">
        <f t="shared" si="7"/>
        <v>132.51429753832994</v>
      </c>
      <c r="BH29" s="62">
        <f t="shared" si="8"/>
        <v>420.95874198277443</v>
      </c>
      <c r="BI29" s="62">
        <f ca="1">AVERAGE(OFFSET($BH$3,0,0,'Données projet'!$E$11+1,1))-AVERAGE(OFFSET($H$3,0,0,'Données projet'!$E$11+1,1))</f>
        <v>295.83974441964551</v>
      </c>
      <c r="BJ29" s="62">
        <f t="shared" si="38"/>
        <v>212.24900914818096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14.4</v>
      </c>
      <c r="BY29" s="13">
        <f>IF('Données projet'!$A$114&gt;35,BY28+BX29-CG28,IF(A29&lt;'Données projet'!$A$114,$BV$205^A29,IF(A29='Données projet'!$A$114,'Données projet'!$B$114,BY28+BX29-CG28)))</f>
        <v>124.4</v>
      </c>
      <c r="BZ29" s="14">
        <f>BY29*VLOOKUP('Données projet'!$B$12,Paramètres!$A$1:$I$89,3,0)*VLOOKUP('Données projet'!$B$12,Paramètres!$A$1:$I$89,5,0)</f>
        <v>71.156800000000004</v>
      </c>
      <c r="CA29" s="14">
        <f t="shared" si="39"/>
        <v>19.960457167255548</v>
      </c>
      <c r="CB29" s="22">
        <f t="shared" si="10"/>
        <v>158.69588956630341</v>
      </c>
      <c r="CC29" s="62">
        <f t="shared" si="11"/>
        <v>447.14033401074789</v>
      </c>
      <c r="CD29" s="62">
        <f ca="1">AVERAGE(OFFSET($CC$3,0,0,'Données projet'!$E$12+1,1))-AVERAGE(OFFSET($H$3,0,0,'Données projet'!$E$12+1,1))</f>
        <v>309.71642374647882</v>
      </c>
      <c r="CE29" s="62">
        <f t="shared" si="40"/>
        <v>266.63880397664315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3.8467667740552707</v>
      </c>
      <c r="CN29" s="24">
        <f t="shared" si="12"/>
        <v>3.8467667740552707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12</v>
      </c>
      <c r="CT29" s="13">
        <f>IF('Données projet'!$A$140&gt;35,CT28+CS29-DB28,IF(A29&lt;'Données projet'!$A$140,$CQ$205^A29,IF(A29='Données projet'!$A$140,'Données projet'!$B$140,CT28+CS29-DB28)))</f>
        <v>126.99999999999996</v>
      </c>
      <c r="CU29" s="18">
        <f>CT29*VLOOKUP('Données projet'!$B$13,Paramètres!$A$1:$I$89,3,0)*VLOOKUP('Données projet'!$B$13,Paramètres!$A$1:$I$89,5,0)</f>
        <v>101.04119999999998</v>
      </c>
      <c r="CV29" s="14">
        <f t="shared" si="41"/>
        <v>27.209899355903595</v>
      </c>
      <c r="CW29" s="22">
        <f t="shared" si="13"/>
        <v>223.37066471153204</v>
      </c>
      <c r="CX29" s="62">
        <f t="shared" si="14"/>
        <v>511.81510915597653</v>
      </c>
      <c r="CY29" s="62">
        <f ca="1">AVERAGE(OFFSET($CX$3,0,0,'Données projet'!$E$13+1,1))-AVERAGE(OFFSET($H$3,0,0,'Données projet'!$E$13+1,1))</f>
        <v>312.53381881960331</v>
      </c>
      <c r="CZ29" s="62">
        <f t="shared" si="42"/>
        <v>342.06887933351783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7</v>
      </c>
      <c r="DO29" s="13">
        <f>IF('Données projet'!$A$166&gt;35,DO28+DN29-DW28,IF(A29&lt;'Données projet'!$A$166,$DL$205^A29,IF(A29='Données projet'!$A$166,'Données projet'!$B$166,DO28+DN29-DW28)))</f>
        <v>69</v>
      </c>
      <c r="DP29" s="18">
        <f>DO29*VLOOKUP('Données projet'!$B$14,Paramètres!$A$1:$I$89,3,0)*VLOOKUP('Données projet'!$B$14,Paramètres!$A$1:$I$89,5,0)</f>
        <v>74.271600000000007</v>
      </c>
      <c r="DQ29" s="14">
        <f t="shared" si="43"/>
        <v>20.730561869473863</v>
      </c>
      <c r="DR29" s="22">
        <f t="shared" si="16"/>
        <v>165.46209858933364</v>
      </c>
      <c r="DS29" s="62">
        <f t="shared" si="17"/>
        <v>453.90654303377812</v>
      </c>
      <c r="DT29" s="62">
        <f ca="1">AVERAGE(OFFSET($DS$3,0,0,'Données projet'!$E$14+1,1))-AVERAGE(OFFSET($H$3,0,0,'Données projet'!$E$14+1,1))</f>
        <v>503.92230226365683</v>
      </c>
      <c r="DU29" s="62">
        <f t="shared" si="44"/>
        <v>267.2998309535638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7</v>
      </c>
      <c r="EJ29" s="13">
        <f>IF('Données projet'!$A$192&gt;35,EJ28+EI29-ER28,IF(A29&lt;'Données projet'!$A$192,$EG$205^A29,IF(A29='Données projet'!$A$192,'Données projet'!$B$192,EJ28+EI29-ER28)))</f>
        <v>69</v>
      </c>
      <c r="EK29" s="18">
        <f>EJ29*VLOOKUP('Données projet'!$B$15,Paramètres!$A$1:$I$89,3,0)*VLOOKUP('Données projet'!$B$15,Paramètres!$A$1:$I$89,5,0)</f>
        <v>66.736800000000002</v>
      </c>
      <c r="EL29" s="14">
        <f t="shared" si="45"/>
        <v>18.860852268900601</v>
      </c>
      <c r="EM29" s="22">
        <f t="shared" si="19"/>
        <v>149.08257770166853</v>
      </c>
      <c r="EN29" s="62">
        <f t="shared" si="20"/>
        <v>437.52702214611298</v>
      </c>
      <c r="EO29" s="62">
        <f ca="1">AVERAGE(OFFSET($EN$3,0,0,'Données projet'!$E$15+1,1))-AVERAGE(OFFSET($H$3,0,0,'Données projet'!$E$15+1,1))</f>
        <v>457.16923206840744</v>
      </c>
      <c r="EP29" s="62">
        <f t="shared" si="46"/>
        <v>244.45149244446094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10.8</v>
      </c>
      <c r="FE29" s="13">
        <f>IF('Données projet'!$A$218&gt;35,FE28+FD29-FM28,IF(A29&lt;'Données projet'!$A$218,$FB$205^A29,IF(A29='Données projet'!$A$218,'Données projet'!$B$218,FE28+FD29-FM28)))</f>
        <v>135.79999999999998</v>
      </c>
      <c r="FF29" s="18">
        <f>FE29*VLOOKUP('Données projet'!$B$16,Paramètres!$A$1:$I$89,3,0)*VLOOKUP('Données projet'!$B$16,Paramètres!$A$1:$I$89,5,0)</f>
        <v>91.094639999999984</v>
      </c>
      <c r="FG29" s="14">
        <f t="shared" si="47"/>
        <v>24.829039765951219</v>
      </c>
      <c r="FH29" s="22">
        <f t="shared" si="22"/>
        <v>201.90040892569834</v>
      </c>
      <c r="FI29" s="62">
        <f t="shared" si="23"/>
        <v>490.3448533701428</v>
      </c>
      <c r="FJ29" s="62">
        <f ca="1">AVERAGE(OFFSET($FI$3,0,0,'Données projet'!$E$16+1,1))-AVERAGE(OFFSET($H$3,0,0,'Données projet'!$E$16+1,1))</f>
        <v>385.97853124853452</v>
      </c>
      <c r="FK29" s="62">
        <f t="shared" si="48"/>
        <v>300.99118099739695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132.280299502248</v>
      </c>
      <c r="T30" s="62">
        <f t="shared" si="34"/>
        <v>337.98099449405339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66.486746286540949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5.2065301364199881</v>
      </c>
      <c r="AC30" s="24">
        <f t="shared" si="3"/>
        <v>71.693276422960935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76</v>
      </c>
      <c r="AJ30" s="14">
        <f>AI30*VLOOKUP('Données projet'!$B$10,Paramètres!$A$1:$I$89,3,0)*VLOOKUP('Données projet'!$B$10,Paramètres!$A$1:$I$89,5,0)</f>
        <v>68.764799999999994</v>
      </c>
      <c r="AK30" s="14">
        <f t="shared" si="35"/>
        <v>19.366396769521369</v>
      </c>
      <c r="AL30" s="22">
        <f t="shared" si="4"/>
        <v>153.49516770691636</v>
      </c>
      <c r="AM30" s="62">
        <f t="shared" si="5"/>
        <v>443.16183437358302</v>
      </c>
      <c r="AN30" s="62">
        <f ca="1">AVERAGE(OFFSET($AM$3,0,0,'Données projet'!$E$10+1,1))-AVERAGE(OFFSET($H$3,0,0,'Données projet'!$E$10+1,1))</f>
        <v>430.40491895612814</v>
      </c>
      <c r="AO30" s="62">
        <f t="shared" si="36"/>
        <v>231.36959598460686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>
        <f>VLOOKUP(A30,'Données projet'!$A$87:$I$107,2,0)</f>
        <v>118</v>
      </c>
      <c r="BB30" s="13">
        <f>VLOOKUP(A30,'Données projet'!$A$87:$I$107,9,0)</f>
        <v>4.3703703703703702</v>
      </c>
      <c r="BC30" s="13">
        <f t="array" ref="BC30">INDEX(BB:BB,MIN(IF(ISNUMBER(BB30:BB226),ROW(BB30:BB226),"")))</f>
        <v>4.3703703703703702</v>
      </c>
      <c r="BD30" s="13">
        <f>IF('Données projet'!$A$88&gt;35,BD29+BC30-BL29,IF(A30&lt;'Données projet'!$A$88,$BA$205^A30,IF(A30='Données projet'!$A$88,'Données projet'!$B$88,BD29+BC30-BL29)))</f>
        <v>118</v>
      </c>
      <c r="BE30" s="14">
        <f>BD30*VLOOKUP('Données projet'!$B$11,Paramètres!$A$1:$I$89,3,0)*VLOOKUP('Données projet'!$B$11,Paramètres!$A$1:$I$89,5,0)</f>
        <v>70.564000000000007</v>
      </c>
      <c r="BF30" s="14">
        <f t="shared" si="37"/>
        <v>19.813453167086163</v>
      </c>
      <c r="BG30" s="22">
        <f t="shared" si="7"/>
        <v>157.40739759934175</v>
      </c>
      <c r="BH30" s="62">
        <f t="shared" si="8"/>
        <v>447.07406426600846</v>
      </c>
      <c r="BI30" s="62">
        <f ca="1">AVERAGE(OFFSET($BH$3,0,0,'Données projet'!$E$11+1,1))-AVERAGE(OFFSET($H$3,0,0,'Données projet'!$E$11+1,1))</f>
        <v>295.83974441964551</v>
      </c>
      <c r="BJ30" s="62">
        <f t="shared" si="38"/>
        <v>212.24900914818096</v>
      </c>
      <c r="BK30" s="16">
        <f>IF(ISNA(VLOOKUP(A30,'Données projet'!$A$87:$I$107,3,0)),0,VLOOKUP(A30,'Données projet'!$A$87:$I$107,3,0))</f>
        <v>1</v>
      </c>
      <c r="BL30" s="16">
        <f>IF(ISNA(VLOOKUP(A30,'Données projet'!$A$87:$I$107,4,0)),0,VLOOKUP(A30,'Données projet'!$A$87:$I$107,4,0))</f>
        <v>15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14.4</v>
      </c>
      <c r="BY30" s="13">
        <f>IF('Données projet'!$A$114&gt;35,BY29+BX30-CG29,IF(A30&lt;'Données projet'!$A$114,$BV$205^A30,IF(A30='Données projet'!$A$114,'Données projet'!$B$114,BY29+BX30-CG29)))</f>
        <v>138.80000000000001</v>
      </c>
      <c r="BZ30" s="14">
        <f>BY30*VLOOKUP('Données projet'!$B$12,Paramètres!$A$1:$I$89,3,0)*VLOOKUP('Données projet'!$B$12,Paramètres!$A$1:$I$89,5,0)</f>
        <v>79.393600000000006</v>
      </c>
      <c r="CA30" s="14">
        <f t="shared" si="39"/>
        <v>21.988850581624067</v>
      </c>
      <c r="CB30" s="22">
        <f t="shared" si="10"/>
        <v>176.57443476299522</v>
      </c>
      <c r="CC30" s="62">
        <f t="shared" si="11"/>
        <v>466.24110142966191</v>
      </c>
      <c r="CD30" s="62">
        <f ca="1">AVERAGE(OFFSET($CC$3,0,0,'Données projet'!$E$12+1,1))-AVERAGE(OFFSET($H$3,0,0,'Données projet'!$E$12+1,1))</f>
        <v>309.71642374647882</v>
      </c>
      <c r="CE30" s="62">
        <f t="shared" si="40"/>
        <v>266.63880397664315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2.720074871577582</v>
      </c>
      <c r="CN30" s="24">
        <f t="shared" si="12"/>
        <v>2.720074871577582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12</v>
      </c>
      <c r="CT30" s="13">
        <f>IF('Données projet'!$A$140&gt;35,CT29+CS30-DB29,IF(A30&lt;'Données projet'!$A$140,$CQ$205^A30,IF(A30='Données projet'!$A$140,'Données projet'!$B$140,CT29+CS30-DB29)))</f>
        <v>138.99999999999994</v>
      </c>
      <c r="CU30" s="18">
        <f>CT30*VLOOKUP('Données projet'!$B$13,Paramètres!$A$1:$I$89,3,0)*VLOOKUP('Données projet'!$B$13,Paramètres!$A$1:$I$89,5,0)</f>
        <v>110.58839999999996</v>
      </c>
      <c r="CV30" s="14">
        <f t="shared" si="41"/>
        <v>29.469573129181644</v>
      </c>
      <c r="CW30" s="22">
        <f t="shared" si="13"/>
        <v>243.93430319999132</v>
      </c>
      <c r="CX30" s="62">
        <f t="shared" si="14"/>
        <v>533.60096986665803</v>
      </c>
      <c r="CY30" s="62">
        <f ca="1">AVERAGE(OFFSET($CX$3,0,0,'Données projet'!$E$13+1,1))-AVERAGE(OFFSET($H$3,0,0,'Données projet'!$E$13+1,1))</f>
        <v>312.53381881960331</v>
      </c>
      <c r="CZ30" s="62">
        <f t="shared" si="42"/>
        <v>342.06887933351783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7</v>
      </c>
      <c r="DO30" s="13">
        <f>IF('Données projet'!$A$166&gt;35,DO29+DN30-DW29,IF(A30&lt;'Données projet'!$A$166,$DL$205^A30,IF(A30='Données projet'!$A$166,'Données projet'!$B$166,DO29+DN30-DW29)))</f>
        <v>76</v>
      </c>
      <c r="DP30" s="18">
        <f>DO30*VLOOKUP('Données projet'!$B$14,Paramètres!$A$1:$I$89,3,0)*VLOOKUP('Données projet'!$B$14,Paramètres!$A$1:$I$89,5,0)</f>
        <v>81.806399999999996</v>
      </c>
      <c r="DQ30" s="14">
        <f t="shared" si="43"/>
        <v>22.578282710556032</v>
      </c>
      <c r="DR30" s="22">
        <f t="shared" si="16"/>
        <v>181.80332238755173</v>
      </c>
      <c r="DS30" s="62">
        <f t="shared" si="17"/>
        <v>471.46998905421844</v>
      </c>
      <c r="DT30" s="62">
        <f ca="1">AVERAGE(OFFSET($DS$3,0,0,'Données projet'!$E$14+1,1))-AVERAGE(OFFSET($H$3,0,0,'Données projet'!$E$14+1,1))</f>
        <v>503.92230226365683</v>
      </c>
      <c r="DU30" s="62">
        <f t="shared" si="44"/>
        <v>267.2998309535638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7</v>
      </c>
      <c r="EJ30" s="13">
        <f>IF('Données projet'!$A$192&gt;35,EJ29+EI30-ER29,IF(A30&lt;'Données projet'!$A$192,$EG$205^A30,IF(A30='Données projet'!$A$192,'Données projet'!$B$192,EJ29+EI30-ER29)))</f>
        <v>76</v>
      </c>
      <c r="EK30" s="18">
        <f>EJ30*VLOOKUP('Données projet'!$B$15,Paramètres!$A$1:$I$89,3,0)*VLOOKUP('Données projet'!$B$15,Paramètres!$A$1:$I$89,5,0)</f>
        <v>73.507199999999997</v>
      </c>
      <c r="EL30" s="14">
        <f t="shared" si="45"/>
        <v>20.541925364615185</v>
      </c>
      <c r="EM30" s="22">
        <f t="shared" si="19"/>
        <v>163.80222667670475</v>
      </c>
      <c r="EN30" s="62">
        <f t="shared" si="20"/>
        <v>453.46889334337141</v>
      </c>
      <c r="EO30" s="62">
        <f ca="1">AVERAGE(OFFSET($EN$3,0,0,'Données projet'!$E$15+1,1))-AVERAGE(OFFSET($H$3,0,0,'Données projet'!$E$15+1,1))</f>
        <v>457.16923206840744</v>
      </c>
      <c r="EP30" s="62">
        <f t="shared" si="46"/>
        <v>244.45149244446094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10.8</v>
      </c>
      <c r="FE30" s="13">
        <f>IF('Données projet'!$A$218&gt;35,FE29+FD30-FM29,IF(A30&lt;'Données projet'!$A$218,$FB$205^A30,IF(A30='Données projet'!$A$218,'Données projet'!$B$218,FE29+FD30-FM29)))</f>
        <v>146.6</v>
      </c>
      <c r="FF30" s="18">
        <f>FE30*VLOOKUP('Données projet'!$B$16,Paramètres!$A$1:$I$89,3,0)*VLOOKUP('Données projet'!$B$16,Paramètres!$A$1:$I$89,5,0)</f>
        <v>98.339280000000002</v>
      </c>
      <c r="FG30" s="14">
        <f t="shared" si="47"/>
        <v>26.565969119814579</v>
      </c>
      <c r="FH30" s="22">
        <f t="shared" si="22"/>
        <v>217.54330888367704</v>
      </c>
      <c r="FI30" s="62">
        <f t="shared" si="23"/>
        <v>507.20997555034376</v>
      </c>
      <c r="FJ30" s="62">
        <f ca="1">AVERAGE(OFFSET($FI$3,0,0,'Données projet'!$E$16+1,1))-AVERAGE(OFFSET($H$3,0,0,'Données projet'!$E$16+1,1))</f>
        <v>385.97853124853452</v>
      </c>
      <c r="FK30" s="62">
        <f t="shared" si="48"/>
        <v>300.99118099739695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132.280299502248</v>
      </c>
      <c r="T31" s="62">
        <f t="shared" si="34"/>
        <v>337.98099449405339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65.182981744772846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3.6815727659146944</v>
      </c>
      <c r="AC31" s="24">
        <f t="shared" si="3"/>
        <v>68.86455451068754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83</v>
      </c>
      <c r="AJ31" s="14">
        <f>AI31*VLOOKUP('Données projet'!$B$10,Paramètres!$A$1:$I$89,3,0)*VLOOKUP('Données projet'!$B$10,Paramètres!$A$1:$I$89,5,0)</f>
        <v>75.098399999999998</v>
      </c>
      <c r="AK31" s="14">
        <f t="shared" si="35"/>
        <v>20.934343091450742</v>
      </c>
      <c r="AL31" s="22">
        <f t="shared" si="4"/>
        <v>167.25702755094335</v>
      </c>
      <c r="AM31" s="62">
        <f t="shared" si="5"/>
        <v>458.14591643983221</v>
      </c>
      <c r="AN31" s="62">
        <f ca="1">AVERAGE(OFFSET($AM$3,0,0,'Données projet'!$E$10+1,1))-AVERAGE(OFFSET($H$3,0,0,'Données projet'!$E$10+1,1))</f>
        <v>430.40491895612814</v>
      </c>
      <c r="AO31" s="62">
        <f t="shared" si="36"/>
        <v>231.36959598460686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9.6666666666666661</v>
      </c>
      <c r="BD31" s="13">
        <f>IF('Données projet'!$A$88&gt;35,BD30+BC31-BL30,IF(A31&lt;'Données projet'!$A$88,$BA$205^A31,IF(A31='Données projet'!$A$88,'Données projet'!$B$88,BD30+BC31-BL30)))</f>
        <v>112.66666666666667</v>
      </c>
      <c r="BE31" s="14">
        <f>BD31*VLOOKUP('Données projet'!$B$11,Paramètres!$A$1:$I$89,3,0)*VLOOKUP('Données projet'!$B$11,Paramètres!$A$1:$I$89,5,0)</f>
        <v>67.37466666666667</v>
      </c>
      <c r="BF31" s="14">
        <f t="shared" si="37"/>
        <v>19.020051421525295</v>
      </c>
      <c r="BG31" s="22">
        <f t="shared" si="7"/>
        <v>150.47080067026766</v>
      </c>
      <c r="BH31" s="62">
        <f t="shared" si="8"/>
        <v>441.35968955915655</v>
      </c>
      <c r="BI31" s="62">
        <f ca="1">AVERAGE(OFFSET($BH$3,0,0,'Données projet'!$E$11+1,1))-AVERAGE(OFFSET($H$3,0,0,'Données projet'!$E$11+1,1))</f>
        <v>295.83974441964551</v>
      </c>
      <c r="BJ31" s="62">
        <f t="shared" si="38"/>
        <v>212.24900914818096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14.4</v>
      </c>
      <c r="BY31" s="13">
        <f>IF('Données projet'!$A$114&gt;35,BY30+BX31-CG30,IF(A31&lt;'Données projet'!$A$114,$BV$205^A31,IF(A31='Données projet'!$A$114,'Données projet'!$B$114,BY30+BX31-CG30)))</f>
        <v>153.20000000000002</v>
      </c>
      <c r="BZ31" s="14">
        <f>BY31*VLOOKUP('Données projet'!$B$12,Paramètres!$A$1:$I$89,3,0)*VLOOKUP('Données projet'!$B$12,Paramètres!$A$1:$I$89,5,0)</f>
        <v>87.630400000000009</v>
      </c>
      <c r="CA31" s="14">
        <f t="shared" si="39"/>
        <v>23.992850113613226</v>
      </c>
      <c r="CB31" s="22">
        <f t="shared" si="10"/>
        <v>194.41049394787638</v>
      </c>
      <c r="CC31" s="62">
        <f t="shared" si="11"/>
        <v>485.29938283676523</v>
      </c>
      <c r="CD31" s="62">
        <f ca="1">AVERAGE(OFFSET($CC$3,0,0,'Données projet'!$E$12+1,1))-AVERAGE(OFFSET($H$3,0,0,'Données projet'!$E$12+1,1))</f>
        <v>309.71642374647882</v>
      </c>
      <c r="CE31" s="62">
        <f t="shared" si="40"/>
        <v>266.63880397664315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1.9233833870276358</v>
      </c>
      <c r="CN31" s="24">
        <f t="shared" si="12"/>
        <v>1.9233833870276358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12</v>
      </c>
      <c r="CT31" s="13">
        <f>IF('Données projet'!$A$140&gt;35,CT30+CS31-DB30,IF(A31&lt;'Données projet'!$A$140,$CQ$205^A31,IF(A31='Données projet'!$A$140,'Données projet'!$B$140,CT30+CS31-DB30)))</f>
        <v>150.99999999999994</v>
      </c>
      <c r="CU31" s="18">
        <f>CT31*VLOOKUP('Données projet'!$B$13,Paramètres!$A$1:$I$89,3,0)*VLOOKUP('Données projet'!$B$13,Paramètres!$A$1:$I$89,5,0)</f>
        <v>120.13559999999997</v>
      </c>
      <c r="CV31" s="14">
        <f t="shared" si="41"/>
        <v>31.70662368824571</v>
      </c>
      <c r="CW31" s="22">
        <f t="shared" si="13"/>
        <v>264.45853959036123</v>
      </c>
      <c r="CX31" s="62">
        <f t="shared" si="14"/>
        <v>555.34742847925008</v>
      </c>
      <c r="CY31" s="62">
        <f ca="1">AVERAGE(OFFSET($CX$3,0,0,'Données projet'!$E$13+1,1))-AVERAGE(OFFSET($H$3,0,0,'Données projet'!$E$13+1,1))</f>
        <v>312.53381881960331</v>
      </c>
      <c r="CZ31" s="62">
        <f t="shared" si="42"/>
        <v>342.06887933351783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7</v>
      </c>
      <c r="DO31" s="13">
        <f>IF('Données projet'!$A$166&gt;35,DO30+DN31-DW30,IF(A31&lt;'Données projet'!$A$166,$DL$205^A31,IF(A31='Données projet'!$A$166,'Données projet'!$B$166,DO30+DN31-DW30)))</f>
        <v>83</v>
      </c>
      <c r="DP31" s="18">
        <f>DO31*VLOOKUP('Données projet'!$B$14,Paramètres!$A$1:$I$89,3,0)*VLOOKUP('Données projet'!$B$14,Paramètres!$A$1:$I$89,5,0)</f>
        <v>89.341200000000001</v>
      </c>
      <c r="DQ31" s="14">
        <f t="shared" si="43"/>
        <v>24.40627042312898</v>
      </c>
      <c r="DR31" s="22">
        <f t="shared" si="16"/>
        <v>198.11017765361632</v>
      </c>
      <c r="DS31" s="62">
        <f t="shared" si="17"/>
        <v>488.99906654250515</v>
      </c>
      <c r="DT31" s="62">
        <f ca="1">AVERAGE(OFFSET($DS$3,0,0,'Données projet'!$E$14+1,1))-AVERAGE(OFFSET($H$3,0,0,'Données projet'!$E$14+1,1))</f>
        <v>503.92230226365683</v>
      </c>
      <c r="DU31" s="62">
        <f t="shared" si="44"/>
        <v>267.2998309535638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7</v>
      </c>
      <c r="EJ31" s="13">
        <f>IF('Données projet'!$A$192&gt;35,EJ30+EI31-ER30,IF(A31&lt;'Données projet'!$A$192,$EG$205^A31,IF(A31='Données projet'!$A$192,'Données projet'!$B$192,EJ30+EI31-ER30)))</f>
        <v>83</v>
      </c>
      <c r="EK31" s="18">
        <f>EJ31*VLOOKUP('Données projet'!$B$15,Paramètres!$A$1:$I$89,3,0)*VLOOKUP('Données projet'!$B$15,Paramètres!$A$1:$I$89,5,0)</f>
        <v>80.277600000000007</v>
      </c>
      <c r="EL31" s="14">
        <f t="shared" si="45"/>
        <v>22.205045081933264</v>
      </c>
      <c r="EM31" s="22">
        <f t="shared" si="19"/>
        <v>178.49060685103379</v>
      </c>
      <c r="EN31" s="62">
        <f t="shared" si="20"/>
        <v>469.37949573992262</v>
      </c>
      <c r="EO31" s="62">
        <f ca="1">AVERAGE(OFFSET($EN$3,0,0,'Données projet'!$E$15+1,1))-AVERAGE(OFFSET($H$3,0,0,'Données projet'!$E$15+1,1))</f>
        <v>457.16923206840744</v>
      </c>
      <c r="EP31" s="62">
        <f t="shared" si="46"/>
        <v>244.45149244446094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10.8</v>
      </c>
      <c r="FE31" s="13">
        <f>IF('Données projet'!$A$218&gt;35,FE30+FD31-FM30,IF(A31&lt;'Données projet'!$A$218,$FB$205^A31,IF(A31='Données projet'!$A$218,'Données projet'!$B$218,FE30+FD31-FM30)))</f>
        <v>157.4</v>
      </c>
      <c r="FF31" s="18">
        <f>FE31*VLOOKUP('Données projet'!$B$16,Paramètres!$A$1:$I$89,3,0)*VLOOKUP('Données projet'!$B$16,Paramètres!$A$1:$I$89,5,0)</f>
        <v>105.58392000000001</v>
      </c>
      <c r="FG31" s="14">
        <f t="shared" si="47"/>
        <v>28.288053520210617</v>
      </c>
      <c r="FH31" s="22">
        <f t="shared" si="22"/>
        <v>233.1603538810335</v>
      </c>
      <c r="FI31" s="62">
        <f t="shared" si="23"/>
        <v>524.04924276992233</v>
      </c>
      <c r="FJ31" s="62">
        <f ca="1">AVERAGE(OFFSET($FI$3,0,0,'Données projet'!$E$16+1,1))-AVERAGE(OFFSET($H$3,0,0,'Données projet'!$E$16+1,1))</f>
        <v>385.97853124853452</v>
      </c>
      <c r="FK31" s="62">
        <f t="shared" si="48"/>
        <v>300.99118099739695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132.280299502248</v>
      </c>
      <c r="T32" s="62">
        <f t="shared" si="34"/>
        <v>337.98099449405339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63.904783230450967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2.6032650682099945</v>
      </c>
      <c r="AC32" s="24">
        <f t="shared" si="3"/>
        <v>66.508048298660967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90</v>
      </c>
      <c r="AJ32" s="14">
        <f>AI32*VLOOKUP('Données projet'!$B$10,Paramètres!$A$1:$I$89,3,0)*VLOOKUP('Données projet'!$B$10,Paramètres!$A$1:$I$89,5,0)</f>
        <v>81.432000000000002</v>
      </c>
      <c r="AK32" s="14">
        <f t="shared" si="35"/>
        <v>22.486953220240881</v>
      </c>
      <c r="AL32" s="22">
        <f t="shared" si="4"/>
        <v>180.99217685858619</v>
      </c>
      <c r="AM32" s="62">
        <f t="shared" si="5"/>
        <v>473.10328796969736</v>
      </c>
      <c r="AN32" s="62">
        <f ca="1">AVERAGE(OFFSET($AM$3,0,0,'Données projet'!$E$10+1,1))-AVERAGE(OFFSET($H$3,0,0,'Données projet'!$E$10+1,1))</f>
        <v>430.40491895612814</v>
      </c>
      <c r="AO32" s="62">
        <f t="shared" si="36"/>
        <v>231.36959598460686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9.6666666666666661</v>
      </c>
      <c r="BD32" s="13">
        <f>IF('Données projet'!$A$88&gt;35,BD31+BC32-BL31,IF(A32&lt;'Données projet'!$A$88,$BA$205^A32,IF(A32='Données projet'!$A$88,'Données projet'!$B$88,BD31+BC32-BL31)))</f>
        <v>122.33333333333334</v>
      </c>
      <c r="BE32" s="14">
        <f>BD32*VLOOKUP('Données projet'!$B$11,Paramètres!$A$1:$I$89,3,0)*VLOOKUP('Données projet'!$B$11,Paramètres!$A$1:$I$89,5,0)</f>
        <v>73.155333333333346</v>
      </c>
      <c r="BF32" s="14">
        <f t="shared" si="37"/>
        <v>20.455016056663315</v>
      </c>
      <c r="BG32" s="22">
        <f t="shared" si="7"/>
        <v>163.03802518757752</v>
      </c>
      <c r="BH32" s="62">
        <f t="shared" si="8"/>
        <v>455.14913629868863</v>
      </c>
      <c r="BI32" s="62">
        <f ca="1">AVERAGE(OFFSET($BH$3,0,0,'Données projet'!$E$11+1,1))-AVERAGE(OFFSET($H$3,0,0,'Données projet'!$E$11+1,1))</f>
        <v>295.83974441964551</v>
      </c>
      <c r="BJ32" s="62">
        <f t="shared" si="38"/>
        <v>212.24900914818096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14.4</v>
      </c>
      <c r="BY32" s="13">
        <f>IF('Données projet'!$A$114&gt;35,BY31+BX32-CG31,IF(A32&lt;'Données projet'!$A$114,$BV$205^A32,IF(A32='Données projet'!$A$114,'Données projet'!$B$114,BY31+BX32-CG31)))</f>
        <v>167.60000000000002</v>
      </c>
      <c r="BZ32" s="14">
        <f>BY32*VLOOKUP('Données projet'!$B$12,Paramètres!$A$1:$I$89,3,0)*VLOOKUP('Données projet'!$B$12,Paramètres!$A$1:$I$89,5,0)</f>
        <v>95.867200000000025</v>
      </c>
      <c r="CA32" s="14">
        <f t="shared" si="39"/>
        <v>25.975009492526002</v>
      </c>
      <c r="CB32" s="22">
        <f t="shared" si="10"/>
        <v>212.20851486614947</v>
      </c>
      <c r="CC32" s="62">
        <f t="shared" si="11"/>
        <v>504.31962597726061</v>
      </c>
      <c r="CD32" s="62">
        <f ca="1">AVERAGE(OFFSET($CC$3,0,0,'Données projet'!$E$12+1,1))-AVERAGE(OFFSET($H$3,0,0,'Données projet'!$E$12+1,1))</f>
        <v>309.71642374647882</v>
      </c>
      <c r="CE32" s="62">
        <f t="shared" si="40"/>
        <v>266.63880397664315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1.3600374357887912</v>
      </c>
      <c r="CN32" s="24">
        <f t="shared" si="12"/>
        <v>1.3600374357887912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12</v>
      </c>
      <c r="CT32" s="13">
        <f>IF('Données projet'!$A$140&gt;35,CT31+CS32-DB31,IF(A32&lt;'Données projet'!$A$140,$CQ$205^A32,IF(A32='Données projet'!$A$140,'Données projet'!$B$140,CT31+CS32-DB31)))</f>
        <v>162.99999999999994</v>
      </c>
      <c r="CU32" s="18">
        <f>CT32*VLOOKUP('Données projet'!$B$13,Paramètres!$A$1:$I$89,3,0)*VLOOKUP('Données projet'!$B$13,Paramètres!$A$1:$I$89,5,0)</f>
        <v>129.68279999999996</v>
      </c>
      <c r="CV32" s="14">
        <f t="shared" si="41"/>
        <v>33.923053307545167</v>
      </c>
      <c r="CW32" s="22">
        <f t="shared" si="13"/>
        <v>284.94686117730771</v>
      </c>
      <c r="CX32" s="62">
        <f t="shared" si="14"/>
        <v>577.0579722884188</v>
      </c>
      <c r="CY32" s="62">
        <f ca="1">AVERAGE(OFFSET($CX$3,0,0,'Données projet'!$E$13+1,1))-AVERAGE(OFFSET($H$3,0,0,'Données projet'!$E$13+1,1))</f>
        <v>312.53381881960331</v>
      </c>
      <c r="CZ32" s="62">
        <f t="shared" si="42"/>
        <v>342.06887933351783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7</v>
      </c>
      <c r="DO32" s="13">
        <f>IF('Données projet'!$A$166&gt;35,DO31+DN32-DW31,IF(A32&lt;'Données projet'!$A$166,$DL$205^A32,IF(A32='Données projet'!$A$166,'Données projet'!$B$166,DO31+DN32-DW31)))</f>
        <v>90</v>
      </c>
      <c r="DP32" s="18">
        <f>DO32*VLOOKUP('Données projet'!$B$14,Paramètres!$A$1:$I$89,3,0)*VLOOKUP('Données projet'!$B$14,Paramètres!$A$1:$I$89,5,0)</f>
        <v>96.875999999999991</v>
      </c>
      <c r="DQ32" s="14">
        <f t="shared" si="43"/>
        <v>26.21637845945024</v>
      </c>
      <c r="DR32" s="22">
        <f t="shared" si="16"/>
        <v>214.38589248354245</v>
      </c>
      <c r="DS32" s="62">
        <f t="shared" si="17"/>
        <v>506.49700359465362</v>
      </c>
      <c r="DT32" s="62">
        <f ca="1">AVERAGE(OFFSET($DS$3,0,0,'Données projet'!$E$14+1,1))-AVERAGE(OFFSET($H$3,0,0,'Données projet'!$E$14+1,1))</f>
        <v>503.92230226365683</v>
      </c>
      <c r="DU32" s="62">
        <f t="shared" si="44"/>
        <v>267.2998309535638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7</v>
      </c>
      <c r="EJ32" s="13">
        <f>IF('Données projet'!$A$192&gt;35,EJ31+EI32-ER31,IF(A32&lt;'Données projet'!$A$192,$EG$205^A32,IF(A32='Données projet'!$A$192,'Données projet'!$B$192,EJ31+EI32-ER31)))</f>
        <v>90</v>
      </c>
      <c r="EK32" s="18">
        <f>EJ32*VLOOKUP('Données projet'!$B$15,Paramètres!$A$1:$I$89,3,0)*VLOOKUP('Données projet'!$B$15,Paramètres!$A$1:$I$89,5,0)</f>
        <v>87.048000000000002</v>
      </c>
      <c r="EL32" s="14">
        <f t="shared" si="45"/>
        <v>23.851897708444891</v>
      </c>
      <c r="EM32" s="22">
        <f t="shared" si="19"/>
        <v>193.15065517554152</v>
      </c>
      <c r="EN32" s="62">
        <f t="shared" si="20"/>
        <v>485.26176628665269</v>
      </c>
      <c r="EO32" s="62">
        <f ca="1">AVERAGE(OFFSET($EN$3,0,0,'Données projet'!$E$15+1,1))-AVERAGE(OFFSET($H$3,0,0,'Données projet'!$E$15+1,1))</f>
        <v>457.16923206840744</v>
      </c>
      <c r="EP32" s="62">
        <f t="shared" si="46"/>
        <v>244.45149244446094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10.8</v>
      </c>
      <c r="FE32" s="13">
        <f>IF('Données projet'!$A$218&gt;35,FE31+FD32-FM31,IF(A32&lt;'Données projet'!$A$218,$FB$205^A32,IF(A32='Données projet'!$A$218,'Données projet'!$B$218,FE31+FD32-FM31)))</f>
        <v>168.20000000000002</v>
      </c>
      <c r="FF32" s="18">
        <f>FE32*VLOOKUP('Données projet'!$B$16,Paramètres!$A$1:$I$89,3,0)*VLOOKUP('Données projet'!$B$16,Paramètres!$A$1:$I$89,5,0)</f>
        <v>112.82856000000001</v>
      </c>
      <c r="FG32" s="14">
        <f t="shared" si="47"/>
        <v>29.996427429264063</v>
      </c>
      <c r="FH32" s="22">
        <f t="shared" si="22"/>
        <v>248.75351977263492</v>
      </c>
      <c r="FI32" s="62">
        <f t="shared" si="23"/>
        <v>540.86463088374603</v>
      </c>
      <c r="FJ32" s="62">
        <f ca="1">AVERAGE(OFFSET($FI$3,0,0,'Données projet'!$E$16+1,1))-AVERAGE(OFFSET($H$3,0,0,'Données projet'!$E$16+1,1))</f>
        <v>385.97853124853452</v>
      </c>
      <c r="FK32" s="62">
        <f t="shared" si="48"/>
        <v>300.99118099739695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132.280299502248</v>
      </c>
      <c r="T33" s="62">
        <f t="shared" si="34"/>
        <v>337.98099449405339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62.651649409370826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1.8407863829573474</v>
      </c>
      <c r="AC33" s="24">
        <f t="shared" si="3"/>
        <v>64.49243579232818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97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97</v>
      </c>
      <c r="AJ33" s="14">
        <f>AI33*VLOOKUP('Données projet'!$B$10,Paramètres!$A$1:$I$89,3,0)*VLOOKUP('Données projet'!$B$10,Paramètres!$A$1:$I$89,5,0)</f>
        <v>87.765600000000006</v>
      </c>
      <c r="AK33" s="14">
        <f t="shared" si="35"/>
        <v>24.025555589247954</v>
      </c>
      <c r="AL33" s="22">
        <f t="shared" si="4"/>
        <v>194.7029293179402</v>
      </c>
      <c r="AM33" s="62">
        <f t="shared" si="5"/>
        <v>488.03626265127355</v>
      </c>
      <c r="AN33" s="62">
        <f ca="1">AVERAGE(OFFSET($AM$3,0,0,'Données projet'!$E$10+1,1))-AVERAGE(OFFSET($H$3,0,0,'Données projet'!$E$10+1,1))</f>
        <v>430.40491895612814</v>
      </c>
      <c r="AO33" s="62">
        <f t="shared" si="36"/>
        <v>231.36959598460686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132</v>
      </c>
      <c r="BB33" s="13">
        <f>VLOOKUP(A33,'Données projet'!$A$87:$I$107,9,0)</f>
        <v>9.6666666666666661</v>
      </c>
      <c r="BC33" s="13">
        <f t="array" ref="BC33">INDEX(BB:BB,MIN(IF(ISNUMBER(BB33:BB229),ROW(BB33:BB229),"")))</f>
        <v>9.6666666666666661</v>
      </c>
      <c r="BD33" s="13">
        <f>IF('Données projet'!$A$88&gt;35,BD32+BC33-BL32,IF(A33&lt;'Données projet'!$A$88,$BA$205^A33,IF(A33='Données projet'!$A$88,'Données projet'!$B$88,BD32+BC33-BL32)))</f>
        <v>132</v>
      </c>
      <c r="BE33" s="14">
        <f>BD33*VLOOKUP('Données projet'!$B$11,Paramètres!$A$1:$I$89,3,0)*VLOOKUP('Données projet'!$B$11,Paramètres!$A$1:$I$89,5,0)</f>
        <v>78.936000000000007</v>
      </c>
      <c r="BF33" s="14">
        <f t="shared" si="37"/>
        <v>21.876828219051273</v>
      </c>
      <c r="BG33" s="22">
        <f t="shared" si="7"/>
        <v>175.5823424815143</v>
      </c>
      <c r="BH33" s="62">
        <f t="shared" si="8"/>
        <v>468.91567581484765</v>
      </c>
      <c r="BI33" s="62">
        <f ca="1">AVERAGE(OFFSET($BH$3,0,0,'Données projet'!$E$11+1,1))-AVERAGE(OFFSET($H$3,0,0,'Données projet'!$E$11+1,1))</f>
        <v>295.83974441964551</v>
      </c>
      <c r="BJ33" s="62">
        <f t="shared" si="38"/>
        <v>212.24900914818096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13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182</v>
      </c>
      <c r="BW33" s="13">
        <f>VLOOKUP(A33,'Données projet'!$A$113:$I$133,9,0)</f>
        <v>14.4</v>
      </c>
      <c r="BX33" s="13">
        <f t="array" ref="BX33">INDEX(BW:BW,MIN(IF(ISNUMBER(BW33:BW229),ROW(BW33:BW229),"")))</f>
        <v>14.4</v>
      </c>
      <c r="BY33" s="13">
        <f>IF('Données projet'!$A$114&gt;35,BY32+BX33-CG32,IF(A33&lt;'Données projet'!$A$114,$BV$205^A33,IF(A33='Données projet'!$A$114,'Données projet'!$B$114,BY32+BX33-CG32)))</f>
        <v>182.00000000000003</v>
      </c>
      <c r="BZ33" s="14">
        <f>BY33*VLOOKUP('Données projet'!$B$12,Paramètres!$A$1:$I$89,3,0)*VLOOKUP('Données projet'!$B$12,Paramètres!$A$1:$I$89,5,0)</f>
        <v>104.10400000000001</v>
      </c>
      <c r="CA33" s="14">
        <f t="shared" si="39"/>
        <v>27.937418551182677</v>
      </c>
      <c r="CB33" s="22">
        <f t="shared" si="10"/>
        <v>229.97213730997649</v>
      </c>
      <c r="CC33" s="62">
        <f t="shared" si="11"/>
        <v>523.30547064330983</v>
      </c>
      <c r="CD33" s="62">
        <f ca="1">AVERAGE(OFFSET($CC$3,0,0,'Données projet'!$E$12+1,1))-AVERAGE(OFFSET($H$3,0,0,'Données projet'!$E$12+1,1))</f>
        <v>309.71642374647882</v>
      </c>
      <c r="CE33" s="62">
        <f t="shared" si="40"/>
        <v>266.63880397664315</v>
      </c>
      <c r="CF33" s="16">
        <f>IF(ISNA(VLOOKUP(A33,'Données projet'!$A$113:$I$133,3,0)),0,VLOOKUP(A33,'Données projet'!$A$113:$I$133,3,0))</f>
        <v>3</v>
      </c>
      <c r="CG33" s="16">
        <f>IF(ISNA(VLOOKUP(A33,'Données projet'!$A$113:$I$133,4,0)),0,VLOOKUP(A33,'Données projet'!$A$113:$I$133,4,0))</f>
        <v>36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9.0000000000000011E-2</v>
      </c>
      <c r="CJ33" s="17">
        <f>IF(ISNA(VLOOKUP(A33,'Données projet'!$A$113:$I$133,7,0)),0%,VLOOKUP(A33,'Données projet'!$A$113:$I$133,7,0))</f>
        <v>0.3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2.4488153409294662</v>
      </c>
      <c r="CM33" s="23">
        <f>EXP(-LN(2)/2)*CM32+(1-EXP(-LN(2)/2))/(LN(2)/2)*CG33*CJ33*VLOOKUP('Données projet'!$B$12,Paramètres!$A$1:$I$89,3,0)*0.475*44/12</f>
        <v>7.956169934713313</v>
      </c>
      <c r="CN33" s="24">
        <f t="shared" si="12"/>
        <v>10.40498527564278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175</v>
      </c>
      <c r="CR33" s="13">
        <f>VLOOKUP(A33,'Données projet'!$A$139:$I$159,9,0)</f>
        <v>12</v>
      </c>
      <c r="CS33" s="13">
        <f t="array" ref="CS33">INDEX(CR:CR,MIN(IF(ISNUMBER(CR33:CR229),ROW(CR33:CR229),"")))</f>
        <v>12</v>
      </c>
      <c r="CT33" s="13">
        <f>IF('Données projet'!$A$140&gt;35,CT32+CS33-DB32,IF(A33&lt;'Données projet'!$A$140,$CQ$205^A33,IF(A33='Données projet'!$A$140,'Données projet'!$B$140,CT32+CS33-DB32)))</f>
        <v>174.99999999999994</v>
      </c>
      <c r="CU33" s="18">
        <f>CT33*VLOOKUP('Données projet'!$B$13,Paramètres!$A$1:$I$89,3,0)*VLOOKUP('Données projet'!$B$13,Paramètres!$A$1:$I$89,5,0)</f>
        <v>139.22999999999996</v>
      </c>
      <c r="CV33" s="14">
        <f t="shared" si="41"/>
        <v>36.120552727378737</v>
      </c>
      <c r="CW33" s="22">
        <f t="shared" si="13"/>
        <v>305.4022126668512</v>
      </c>
      <c r="CX33" s="62">
        <f t="shared" si="14"/>
        <v>598.73554600018451</v>
      </c>
      <c r="CY33" s="62">
        <f ca="1">AVERAGE(OFFSET($CX$3,0,0,'Données projet'!$E$13+1,1))-AVERAGE(OFFSET($H$3,0,0,'Données projet'!$E$13+1,1))</f>
        <v>312.53381881960331</v>
      </c>
      <c r="CZ33" s="62">
        <f t="shared" si="42"/>
        <v>342.06887933351783</v>
      </c>
      <c r="DA33" s="16">
        <f>IF(ISNA(VLOOKUP(A33,'Données projet'!$A$139:$I$159,3,0)),0,VLOOKUP(A33,'Données projet'!$A$139:$I$159,3,0))</f>
        <v>2</v>
      </c>
      <c r="DB33" s="16">
        <f>IF(ISNA(VLOOKUP(A33,'Données projet'!$A$139:$I$159,4,0)),0,VLOOKUP(A33,'Données projet'!$A$139:$I$159,4,0))</f>
        <v>56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97</v>
      </c>
      <c r="DM33" s="13">
        <f>VLOOKUP(A33,'Données projet'!$A$165:$I$185,9,0)</f>
        <v>7</v>
      </c>
      <c r="DN33" s="13">
        <f t="array" ref="DN33">INDEX(DM:DM,MIN(IF(ISNUMBER(DM33:DM229),ROW(DM33:DM229),"")))</f>
        <v>7</v>
      </c>
      <c r="DO33" s="13">
        <f>IF('Données projet'!$A$166&gt;35,DO32+DN33-DW32,IF(A33&lt;'Données projet'!$A$166,$DL$205^A33,IF(A33='Données projet'!$A$166,'Données projet'!$B$166,DO32+DN33-DW32)))</f>
        <v>97</v>
      </c>
      <c r="DP33" s="18">
        <f>DO33*VLOOKUP('Données projet'!$B$14,Paramètres!$A$1:$I$89,3,0)*VLOOKUP('Données projet'!$B$14,Paramètres!$A$1:$I$89,5,0)</f>
        <v>104.41079999999999</v>
      </c>
      <c r="DQ33" s="14">
        <f t="shared" si="43"/>
        <v>28.010155571424168</v>
      </c>
      <c r="DR33" s="22">
        <f t="shared" si="16"/>
        <v>230.63316428689711</v>
      </c>
      <c r="DS33" s="62">
        <f t="shared" si="17"/>
        <v>523.96649762023048</v>
      </c>
      <c r="DT33" s="62">
        <f ca="1">AVERAGE(OFFSET($DS$3,0,0,'Données projet'!$E$14+1,1))-AVERAGE(OFFSET($H$3,0,0,'Données projet'!$E$14+1,1))</f>
        <v>503.92230226365683</v>
      </c>
      <c r="DU33" s="62">
        <f t="shared" si="44"/>
        <v>267.2998309535638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97</v>
      </c>
      <c r="EH33" s="13">
        <f>VLOOKUP(A33,'Données projet'!$A$191:$I$211,9,0)</f>
        <v>7</v>
      </c>
      <c r="EI33" s="13">
        <f t="array" ref="EI33">INDEX(EH:EH,MIN(IF(ISNUMBER(EH33:EH229),ROW(EH33:EH229),"")))</f>
        <v>7</v>
      </c>
      <c r="EJ33" s="13">
        <f>IF('Données projet'!$A$192&gt;35,EJ32+EI33-ER32,IF(A33&lt;'Données projet'!$A$192,$EG$205^A33,IF(A33='Données projet'!$A$192,'Données projet'!$B$192,EJ32+EI33-ER32)))</f>
        <v>97</v>
      </c>
      <c r="EK33" s="18">
        <f>EJ33*VLOOKUP('Données projet'!$B$15,Paramètres!$A$1:$I$89,3,0)*VLOOKUP('Données projet'!$B$15,Paramètres!$A$1:$I$89,5,0)</f>
        <v>93.818400000000011</v>
      </c>
      <c r="EL33" s="14">
        <f t="shared" si="45"/>
        <v>25.483892312609182</v>
      </c>
      <c r="EM33" s="22">
        <f t="shared" si="19"/>
        <v>207.78482577779434</v>
      </c>
      <c r="EN33" s="62">
        <f t="shared" si="20"/>
        <v>501.11815911112762</v>
      </c>
      <c r="EO33" s="62">
        <f ca="1">AVERAGE(OFFSET($EN$3,0,0,'Données projet'!$E$15+1,1))-AVERAGE(OFFSET($H$3,0,0,'Données projet'!$E$15+1,1))</f>
        <v>457.16923206840744</v>
      </c>
      <c r="EP33" s="62">
        <f t="shared" si="46"/>
        <v>244.45149244446094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179</v>
      </c>
      <c r="FC33" s="13">
        <f>VLOOKUP(A33,'Données projet'!$A$217:$I$237,9,0)</f>
        <v>10.8</v>
      </c>
      <c r="FD33" s="13">
        <f t="array" ref="FD33">INDEX(FC:FC,MIN(IF(ISNUMBER(FC33:FC229),ROW(FC33:FC229),"")))</f>
        <v>10.8</v>
      </c>
      <c r="FE33" s="13">
        <f>IF('Données projet'!$A$218&gt;35,FE32+FD33-FM32,IF(A33&lt;'Données projet'!$A$218,$FB$205^A33,IF(A33='Données projet'!$A$218,'Données projet'!$B$218,FE32+FD33-FM32)))</f>
        <v>179.00000000000003</v>
      </c>
      <c r="FF33" s="18">
        <f>FE33*VLOOKUP('Données projet'!$B$16,Paramètres!$A$1:$I$89,3,0)*VLOOKUP('Données projet'!$B$16,Paramètres!$A$1:$I$89,5,0)</f>
        <v>120.07320000000003</v>
      </c>
      <c r="FG33" s="14">
        <f t="shared" si="47"/>
        <v>31.69207138606523</v>
      </c>
      <c r="FH33" s="22">
        <f t="shared" si="22"/>
        <v>264.32451433073027</v>
      </c>
      <c r="FI33" s="62">
        <f t="shared" si="23"/>
        <v>557.65784766406364</v>
      </c>
      <c r="FJ33" s="62">
        <f ca="1">AVERAGE(OFFSET($FI$3,0,0,'Données projet'!$E$16+1,1))-AVERAGE(OFFSET($H$3,0,0,'Données projet'!$E$16+1,1))</f>
        <v>385.97853124853452</v>
      </c>
      <c r="FK33" s="62">
        <f t="shared" si="48"/>
        <v>300.99118099739695</v>
      </c>
      <c r="FL33" s="16">
        <f>IF(ISNA(VLOOKUP(A33,'Données projet'!$A$217:$I$237,3,0)),0,VLOOKUP(A33,'Données projet'!$A$217:$I$237,3,0))</f>
        <v>2</v>
      </c>
      <c r="FM33" s="16">
        <f>IF(ISNA(VLOOKUP(A33,'Données projet'!$A$217:$I$237,4,0)),0,VLOOKUP(A33,'Données projet'!$A$217:$I$237,4,0))</f>
        <v>41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132.280299502248</v>
      </c>
      <c r="T34" s="62">
        <f t="shared" si="34"/>
        <v>337.98099449405339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61.423088778185914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1.3016325341049975</v>
      </c>
      <c r="AC34" s="24">
        <f t="shared" si="3"/>
        <v>62.72472131229091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8.6</v>
      </c>
      <c r="AI34" s="14">
        <f>IF('Données projet'!$A$62&gt;35,AI33+AH34-AQ33,IF(A34&lt;'Données projet'!$A$62,$AF$205^A34,IF(A34='Données projet'!$A$62,'Données projet'!$B$62,AI33+AH34-AQ33)))</f>
        <v>105.6</v>
      </c>
      <c r="AJ34" s="14">
        <f>AI34*VLOOKUP('Données projet'!$B$10,Paramètres!$A$1:$I$89,3,0)*VLOOKUP('Données projet'!$B$10,Paramètres!$A$1:$I$89,5,0)</f>
        <v>95.546879999999987</v>
      </c>
      <c r="AK34" s="14">
        <f t="shared" si="35"/>
        <v>25.898306910102065</v>
      </c>
      <c r="AL34" s="22">
        <f t="shared" si="4"/>
        <v>211.51703386842772</v>
      </c>
      <c r="AM34" s="62">
        <f t="shared" si="5"/>
        <v>504.85036720176106</v>
      </c>
      <c r="AN34" s="62">
        <f ca="1">AVERAGE(OFFSET($AM$3,0,0,'Données projet'!$E$10+1,1))-AVERAGE(OFFSET($H$3,0,0,'Données projet'!$E$10+1,1))</f>
        <v>430.40491895612814</v>
      </c>
      <c r="AO34" s="62">
        <f t="shared" si="36"/>
        <v>231.36959598460686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</v>
      </c>
      <c r="BD34" s="13">
        <f>IF('Données projet'!$A$88&gt;35,BD33+BC34-BL33,IF(A34&lt;'Données projet'!$A$88,$BA$205^A34,IF(A34='Données projet'!$A$88,'Données projet'!$B$88,BD33+BC34-BL33)))</f>
        <v>129</v>
      </c>
      <c r="BE34" s="14">
        <f>BD34*VLOOKUP('Données projet'!$B$11,Paramètres!$A$1:$I$89,3,0)*VLOOKUP('Données projet'!$B$11,Paramètres!$A$1:$I$89,5,0)</f>
        <v>77.14200000000001</v>
      </c>
      <c r="BF34" s="14">
        <f t="shared" si="37"/>
        <v>21.436915648510755</v>
      </c>
      <c r="BG34" s="22">
        <f t="shared" si="7"/>
        <v>171.69161142115624</v>
      </c>
      <c r="BH34" s="62">
        <f t="shared" si="8"/>
        <v>465.02494475448952</v>
      </c>
      <c r="BI34" s="62">
        <f ca="1">AVERAGE(OFFSET($BH$3,0,0,'Données projet'!$E$11+1,1))-AVERAGE(OFFSET($H$3,0,0,'Données projet'!$E$11+1,1))</f>
        <v>295.83974441964551</v>
      </c>
      <c r="BJ34" s="62">
        <f t="shared" si="38"/>
        <v>212.24900914818096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16.600000000000001</v>
      </c>
      <c r="BY34" s="13">
        <f>IF('Données projet'!$A$114&gt;35,BY33+BX34-CG33,IF(A34&lt;'Données projet'!$A$114,$BV$205^A34,IF(A34='Données projet'!$A$114,'Données projet'!$B$114,BY33+BX34-CG33)))</f>
        <v>162.60000000000002</v>
      </c>
      <c r="BZ34" s="14">
        <f>BY34*VLOOKUP('Données projet'!$B$12,Paramètres!$A$1:$I$89,3,0)*VLOOKUP('Données projet'!$B$12,Paramètres!$A$1:$I$89,5,0)</f>
        <v>93.007200000000012</v>
      </c>
      <c r="CA34" s="14">
        <f t="shared" si="39"/>
        <v>25.289096064617418</v>
      </c>
      <c r="CB34" s="22">
        <f t="shared" si="10"/>
        <v>206.03271564587533</v>
      </c>
      <c r="CC34" s="62">
        <f t="shared" si="11"/>
        <v>499.36604897920864</v>
      </c>
      <c r="CD34" s="62">
        <f ca="1">AVERAGE(OFFSET($CC$3,0,0,'Données projet'!$E$12+1,1))-AVERAGE(OFFSET($H$3,0,0,'Données projet'!$E$12+1,1))</f>
        <v>309.71642374647882</v>
      </c>
      <c r="CE34" s="62">
        <f t="shared" si="40"/>
        <v>266.63880397664315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2.3818523566541479</v>
      </c>
      <c r="CM34" s="23">
        <f>EXP(-LN(2)/2)*CM33+(1-EXP(-LN(2)/2))/(LN(2)/2)*CG34*CJ34*VLOOKUP('Données projet'!$B$12,Paramètres!$A$1:$I$89,3,0)*0.475*44/12</f>
        <v>5.6258617131083151</v>
      </c>
      <c r="CN34" s="24">
        <f t="shared" si="12"/>
        <v>8.0077140697624625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10.6</v>
      </c>
      <c r="CT34" s="13">
        <f>IF('Données projet'!$A$140&gt;35,CT33+CS34-DB33,IF(A34&lt;'Données projet'!$A$140,$CQ$205^A34,IF(A34='Données projet'!$A$140,'Données projet'!$B$140,CT33+CS34-DB33)))</f>
        <v>129.59999999999994</v>
      </c>
      <c r="CU34" s="18">
        <f>CT34*VLOOKUP('Données projet'!$B$13,Paramètres!$A$1:$I$89,3,0)*VLOOKUP('Données projet'!$B$13,Paramètres!$A$1:$I$89,5,0)</f>
        <v>103.10975999999997</v>
      </c>
      <c r="CV34" s="14">
        <f t="shared" si="41"/>
        <v>27.701529389122925</v>
      </c>
      <c r="CW34" s="22">
        <f t="shared" si="13"/>
        <v>227.82966235272235</v>
      </c>
      <c r="CX34" s="62">
        <f t="shared" si="14"/>
        <v>521.16299568605564</v>
      </c>
      <c r="CY34" s="62">
        <f ca="1">AVERAGE(OFFSET($CX$3,0,0,'Données projet'!$E$13+1,1))-AVERAGE(OFFSET($H$3,0,0,'Données projet'!$E$13+1,1))</f>
        <v>312.53381881960331</v>
      </c>
      <c r="CZ34" s="62">
        <f t="shared" si="42"/>
        <v>342.06887933351783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8.6</v>
      </c>
      <c r="DO34" s="13">
        <f>IF('Données projet'!$A$166&gt;35,DO33+DN34-DW33,IF(A34&lt;'Données projet'!$A$166,$DL$205^A34,IF(A34='Données projet'!$A$166,'Données projet'!$B$166,DO33+DN34-DW33)))</f>
        <v>105.6</v>
      </c>
      <c r="DP34" s="18">
        <f>DO34*VLOOKUP('Données projet'!$B$14,Paramètres!$A$1:$I$89,3,0)*VLOOKUP('Données projet'!$B$14,Paramètres!$A$1:$I$89,5,0)</f>
        <v>113.66783999999998</v>
      </c>
      <c r="DQ34" s="14">
        <f t="shared" si="43"/>
        <v>30.193499704668234</v>
      </c>
      <c r="DR34" s="22">
        <f t="shared" si="16"/>
        <v>250.55849998563042</v>
      </c>
      <c r="DS34" s="62">
        <f t="shared" si="17"/>
        <v>543.89183331896379</v>
      </c>
      <c r="DT34" s="62">
        <f ca="1">AVERAGE(OFFSET($DS$3,0,0,'Données projet'!$E$14+1,1))-AVERAGE(OFFSET($H$3,0,0,'Données projet'!$E$14+1,1))</f>
        <v>503.92230226365683</v>
      </c>
      <c r="DU34" s="62">
        <f t="shared" si="44"/>
        <v>267.2998309535638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8.6</v>
      </c>
      <c r="EJ34" s="13">
        <f>IF('Données projet'!$A$192&gt;35,EJ33+EI34-ER33,IF(A34&lt;'Données projet'!$A$192,$EG$205^A34,IF(A34='Données projet'!$A$192,'Données projet'!$B$192,EJ33+EI34-ER33)))</f>
        <v>105.6</v>
      </c>
      <c r="EK34" s="18">
        <f>EJ34*VLOOKUP('Données projet'!$B$15,Paramètres!$A$1:$I$89,3,0)*VLOOKUP('Données projet'!$B$15,Paramètres!$A$1:$I$89,5,0)</f>
        <v>102.13632</v>
      </c>
      <c r="EL34" s="14">
        <f t="shared" si="45"/>
        <v>27.470318508318069</v>
      </c>
      <c r="EM34" s="22">
        <f t="shared" si="19"/>
        <v>225.73156206865394</v>
      </c>
      <c r="EN34" s="62">
        <f t="shared" si="20"/>
        <v>519.06489540198731</v>
      </c>
      <c r="EO34" s="62">
        <f ca="1">AVERAGE(OFFSET($EN$3,0,0,'Données projet'!$E$15+1,1))-AVERAGE(OFFSET($H$3,0,0,'Données projet'!$E$15+1,1))</f>
        <v>457.16923206840744</v>
      </c>
      <c r="EP34" s="62">
        <f t="shared" si="46"/>
        <v>244.45149244446094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10.199999999999999</v>
      </c>
      <c r="FE34" s="13">
        <f>IF('Données projet'!$A$218&gt;35,FE33+FD34-FM33,IF(A34&lt;'Données projet'!$A$218,$FB$205^A34,IF(A34='Données projet'!$A$218,'Données projet'!$B$218,FE33+FD34-FM33)))</f>
        <v>148.20000000000002</v>
      </c>
      <c r="FF34" s="18">
        <f>FE34*VLOOKUP('Données projet'!$B$16,Paramètres!$A$1:$I$89,3,0)*VLOOKUP('Données projet'!$B$16,Paramètres!$A$1:$I$89,5,0)</f>
        <v>99.412560000000013</v>
      </c>
      <c r="FG34" s="14">
        <f t="shared" si="47"/>
        <v>26.822000116688319</v>
      </c>
      <c r="FH34" s="22">
        <f t="shared" si="22"/>
        <v>219.85852553656548</v>
      </c>
      <c r="FI34" s="62">
        <f t="shared" si="23"/>
        <v>513.19185886989885</v>
      </c>
      <c r="FJ34" s="62">
        <f ca="1">AVERAGE(OFFSET($FI$3,0,0,'Données projet'!$E$16+1,1))-AVERAGE(OFFSET($H$3,0,0,'Données projet'!$E$16+1,1))</f>
        <v>385.97853124853452</v>
      </c>
      <c r="FK34" s="62">
        <f t="shared" si="48"/>
        <v>300.99118099739695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132.280299502248</v>
      </c>
      <c r="T35" s="62">
        <f t="shared" si="34"/>
        <v>337.98099449405339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60.218619471630539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0.92039319147867382</v>
      </c>
      <c r="AC35" s="24">
        <f t="shared" si="3"/>
        <v>61.139012663109213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8.6</v>
      </c>
      <c r="AI35" s="14">
        <f>IF('Données projet'!$A$62&gt;35,AI34+AH35-AQ34,IF(A35&lt;'Données projet'!$A$62,$AF$205^A35,IF(A35='Données projet'!$A$62,'Données projet'!$B$62,AI34+AH35-AQ34)))</f>
        <v>114.19999999999999</v>
      </c>
      <c r="AJ35" s="14">
        <f>AI35*VLOOKUP('Données projet'!$B$10,Paramètres!$A$1:$I$89,3,0)*VLOOKUP('Données projet'!$B$10,Paramètres!$A$1:$I$89,5,0)</f>
        <v>103.32815999999998</v>
      </c>
      <c r="AK35" s="14">
        <f t="shared" si="35"/>
        <v>27.753368651496011</v>
      </c>
      <c r="AL35" s="22">
        <f t="shared" si="4"/>
        <v>228.30032906802219</v>
      </c>
      <c r="AM35" s="62">
        <f t="shared" si="5"/>
        <v>521.63366240135554</v>
      </c>
      <c r="AN35" s="62">
        <f ca="1">AVERAGE(OFFSET($AM$3,0,0,'Données projet'!$E$10+1,1))-AVERAGE(OFFSET($H$3,0,0,'Données projet'!$E$10+1,1))</f>
        <v>430.40491895612814</v>
      </c>
      <c r="AO35" s="62">
        <f t="shared" si="36"/>
        <v>231.36959598460686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</v>
      </c>
      <c r="BD35" s="13">
        <f>IF('Données projet'!$A$88&gt;35,BD34+BC35-BL34,IF(A35&lt;'Données projet'!$A$88,$BA$205^A35,IF(A35='Données projet'!$A$88,'Données projet'!$B$88,BD34+BC35-BL34)))</f>
        <v>139</v>
      </c>
      <c r="BE35" s="14">
        <f>BD35*VLOOKUP('Données projet'!$B$11,Paramètres!$A$1:$I$89,3,0)*VLOOKUP('Données projet'!$B$11,Paramètres!$A$1:$I$89,5,0)</f>
        <v>83.122000000000014</v>
      </c>
      <c r="BF35" s="14">
        <f t="shared" si="37"/>
        <v>22.898820278178533</v>
      </c>
      <c r="BG35" s="22">
        <f t="shared" si="7"/>
        <v>184.65292865116098</v>
      </c>
      <c r="BH35" s="62">
        <f t="shared" si="8"/>
        <v>477.98626198449426</v>
      </c>
      <c r="BI35" s="62">
        <f ca="1">AVERAGE(OFFSET($BH$3,0,0,'Données projet'!$E$11+1,1))-AVERAGE(OFFSET($H$3,0,0,'Données projet'!$E$11+1,1))</f>
        <v>295.83974441964551</v>
      </c>
      <c r="BJ35" s="62">
        <f t="shared" si="38"/>
        <v>212.24900914818096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16.600000000000001</v>
      </c>
      <c r="BY35" s="13">
        <f>IF('Données projet'!$A$114&gt;35,BY34+BX35-CG34,IF(A35&lt;'Données projet'!$A$114,$BV$205^A35,IF(A35='Données projet'!$A$114,'Données projet'!$B$114,BY34+BX35-CG34)))</f>
        <v>179.20000000000002</v>
      </c>
      <c r="BZ35" s="14">
        <f>BY35*VLOOKUP('Données projet'!$B$12,Paramètres!$A$1:$I$89,3,0)*VLOOKUP('Données projet'!$B$12,Paramètres!$A$1:$I$89,5,0)</f>
        <v>102.50240000000002</v>
      </c>
      <c r="CA35" s="14">
        <f t="shared" si="39"/>
        <v>27.557299572196182</v>
      </c>
      <c r="CB35" s="22">
        <f t="shared" si="10"/>
        <v>226.52064342157504</v>
      </c>
      <c r="CC35" s="62">
        <f t="shared" si="11"/>
        <v>519.85397675490833</v>
      </c>
      <c r="CD35" s="62">
        <f ca="1">AVERAGE(OFFSET($CC$3,0,0,'Données projet'!$E$12+1,1))-AVERAGE(OFFSET($H$3,0,0,'Données projet'!$E$12+1,1))</f>
        <v>309.71642374647882</v>
      </c>
      <c r="CE35" s="62">
        <f t="shared" si="40"/>
        <v>266.63880397664315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2.3167204787052684</v>
      </c>
      <c r="CM35" s="23">
        <f>EXP(-LN(2)/2)*CM34+(1-EXP(-LN(2)/2))/(LN(2)/2)*CG35*CJ35*VLOOKUP('Données projet'!$B$12,Paramètres!$A$1:$I$89,3,0)*0.475*44/12</f>
        <v>3.978084967356657</v>
      </c>
      <c r="CN35" s="24">
        <f t="shared" si="12"/>
        <v>6.2948054460619254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10.6</v>
      </c>
      <c r="CT35" s="13">
        <f>IF('Données projet'!$A$140&gt;35,CT34+CS35-DB34,IF(A35&lt;'Données projet'!$A$140,$CQ$205^A35,IF(A35='Données projet'!$A$140,'Données projet'!$B$140,CT34+CS35-DB34)))</f>
        <v>140.19999999999993</v>
      </c>
      <c r="CU35" s="18">
        <f>CT35*VLOOKUP('Données projet'!$B$13,Paramètres!$A$1:$I$89,3,0)*VLOOKUP('Données projet'!$B$13,Paramètres!$A$1:$I$89,5,0)</f>
        <v>111.54311999999996</v>
      </c>
      <c r="CV35" s="14">
        <f t="shared" si="41"/>
        <v>29.6942603807586</v>
      </c>
      <c r="CW35" s="22">
        <f t="shared" si="13"/>
        <v>245.98843749648782</v>
      </c>
      <c r="CX35" s="62">
        <f t="shared" si="14"/>
        <v>539.32177082982116</v>
      </c>
      <c r="CY35" s="62">
        <f ca="1">AVERAGE(OFFSET($CX$3,0,0,'Données projet'!$E$13+1,1))-AVERAGE(OFFSET($H$3,0,0,'Données projet'!$E$13+1,1))</f>
        <v>312.53381881960331</v>
      </c>
      <c r="CZ35" s="62">
        <f t="shared" si="42"/>
        <v>342.06887933351783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8.6</v>
      </c>
      <c r="DO35" s="13">
        <f>IF('Données projet'!$A$166&gt;35,DO34+DN35-DW34,IF(A35&lt;'Données projet'!$A$166,$DL$205^A35,IF(A35='Données projet'!$A$166,'Données projet'!$B$166,DO34+DN35-DW34)))</f>
        <v>114.19999999999999</v>
      </c>
      <c r="DP35" s="18">
        <f>DO35*VLOOKUP('Données projet'!$B$14,Paramètres!$A$1:$I$89,3,0)*VLOOKUP('Données projet'!$B$14,Paramètres!$A$1:$I$89,5,0)</f>
        <v>122.92487999999999</v>
      </c>
      <c r="DQ35" s="14">
        <f t="shared" si="43"/>
        <v>32.356220469980919</v>
      </c>
      <c r="DR35" s="22">
        <f t="shared" si="16"/>
        <v>270.44791665188342</v>
      </c>
      <c r="DS35" s="62">
        <f t="shared" si="17"/>
        <v>563.78124998521673</v>
      </c>
      <c r="DT35" s="62">
        <f ca="1">AVERAGE(OFFSET($DS$3,0,0,'Données projet'!$E$14+1,1))-AVERAGE(OFFSET($H$3,0,0,'Données projet'!$E$14+1,1))</f>
        <v>503.92230226365683</v>
      </c>
      <c r="DU35" s="62">
        <f t="shared" si="44"/>
        <v>267.2998309535638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8.6</v>
      </c>
      <c r="EJ35" s="13">
        <f>IF('Données projet'!$A$192&gt;35,EJ34+EI35-ER34,IF(A35&lt;'Données projet'!$A$192,$EG$205^A35,IF(A35='Données projet'!$A$192,'Données projet'!$B$192,EJ34+EI35-ER34)))</f>
        <v>114.19999999999999</v>
      </c>
      <c r="EK35" s="18">
        <f>EJ35*VLOOKUP('Données projet'!$B$15,Paramètres!$A$1:$I$89,3,0)*VLOOKUP('Données projet'!$B$15,Paramètres!$A$1:$I$89,5,0)</f>
        <v>110.45423999999998</v>
      </c>
      <c r="EL35" s="14">
        <f t="shared" si="45"/>
        <v>29.437981377770335</v>
      </c>
      <c r="EM35" s="22">
        <f t="shared" si="19"/>
        <v>243.64561889961661</v>
      </c>
      <c r="EN35" s="62">
        <f t="shared" si="20"/>
        <v>536.97895223294995</v>
      </c>
      <c r="EO35" s="62">
        <f ca="1">AVERAGE(OFFSET($EN$3,0,0,'Données projet'!$E$15+1,1))-AVERAGE(OFFSET($H$3,0,0,'Données projet'!$E$15+1,1))</f>
        <v>457.16923206840744</v>
      </c>
      <c r="EP35" s="62">
        <f t="shared" si="46"/>
        <v>244.45149244446094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10.199999999999999</v>
      </c>
      <c r="FE35" s="13">
        <f>IF('Données projet'!$A$218&gt;35,FE34+FD35-FM34,IF(A35&lt;'Données projet'!$A$218,$FB$205^A35,IF(A35='Données projet'!$A$218,'Données projet'!$B$218,FE34+FD35-FM34)))</f>
        <v>158.4</v>
      </c>
      <c r="FF35" s="18">
        <f>FE35*VLOOKUP('Données projet'!$B$16,Paramètres!$A$1:$I$89,3,0)*VLOOKUP('Données projet'!$B$16,Paramètres!$A$1:$I$89,5,0)</f>
        <v>106.25471999999999</v>
      </c>
      <c r="FG35" s="14">
        <f t="shared" si="47"/>
        <v>28.446796237064529</v>
      </c>
      <c r="FH35" s="22">
        <f t="shared" si="22"/>
        <v>234.60514077955398</v>
      </c>
      <c r="FI35" s="62">
        <f t="shared" si="23"/>
        <v>527.93847411288732</v>
      </c>
      <c r="FJ35" s="62">
        <f ca="1">AVERAGE(OFFSET($FI$3,0,0,'Données projet'!$E$16+1,1))-AVERAGE(OFFSET($H$3,0,0,'Données projet'!$E$16+1,1))</f>
        <v>385.97853124853452</v>
      </c>
      <c r="FK35" s="62">
        <f t="shared" si="48"/>
        <v>300.99118099739695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132.280299502248</v>
      </c>
      <c r="T36" s="62">
        <f t="shared" si="34"/>
        <v>337.98099449405339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59.037769073522981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0.65081626705249884</v>
      </c>
      <c r="AC36" s="24">
        <f t="shared" si="3"/>
        <v>59.688585340575479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8.6</v>
      </c>
      <c r="AI36" s="14">
        <f>IF('Données projet'!$A$62&gt;35,AI35+AH36-AQ35,IF(A36&lt;'Données projet'!$A$62,$AF$205^A36,IF(A36='Données projet'!$A$62,'Données projet'!$B$62,AI35+AH36-AQ35)))</f>
        <v>122.79999999999998</v>
      </c>
      <c r="AJ36" s="14">
        <f>AI36*VLOOKUP('Données projet'!$B$10,Paramètres!$A$1:$I$89,3,0)*VLOOKUP('Données projet'!$B$10,Paramètres!$A$1:$I$89,5,0)</f>
        <v>111.10943999999999</v>
      </c>
      <c r="AK36" s="14">
        <f t="shared" si="35"/>
        <v>29.592224426586235</v>
      </c>
      <c r="AL36" s="22">
        <f t="shared" si="4"/>
        <v>245.05539887630434</v>
      </c>
      <c r="AM36" s="62">
        <f t="shared" si="5"/>
        <v>538.38873220963762</v>
      </c>
      <c r="AN36" s="62">
        <f ca="1">AVERAGE(OFFSET($AM$3,0,0,'Données projet'!$E$10+1,1))-AVERAGE(OFFSET($H$3,0,0,'Données projet'!$E$10+1,1))</f>
        <v>430.40491895612814</v>
      </c>
      <c r="AO36" s="62">
        <f t="shared" si="36"/>
        <v>231.36959598460686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</v>
      </c>
      <c r="BD36" s="13">
        <f>IF('Données projet'!$A$88&gt;35,BD35+BC36-BL35,IF(A36&lt;'Données projet'!$A$88,$BA$205^A36,IF(A36='Données projet'!$A$88,'Données projet'!$B$88,BD35+BC36-BL35)))</f>
        <v>149</v>
      </c>
      <c r="BE36" s="14">
        <f>BD36*VLOOKUP('Données projet'!$B$11,Paramètres!$A$1:$I$89,3,0)*VLOOKUP('Données projet'!$B$11,Paramètres!$A$1:$I$89,5,0)</f>
        <v>89.102000000000018</v>
      </c>
      <c r="BF36" s="14">
        <f t="shared" si="37"/>
        <v>24.348522781128082</v>
      </c>
      <c r="BG36" s="22">
        <f t="shared" si="7"/>
        <v>197.5929938437981</v>
      </c>
      <c r="BH36" s="62">
        <f t="shared" si="8"/>
        <v>490.92632717713138</v>
      </c>
      <c r="BI36" s="62">
        <f ca="1">AVERAGE(OFFSET($BH$3,0,0,'Données projet'!$E$11+1,1))-AVERAGE(OFFSET($H$3,0,0,'Données projet'!$E$11+1,1))</f>
        <v>295.83974441964551</v>
      </c>
      <c r="BJ36" s="62">
        <f t="shared" si="38"/>
        <v>212.24900914818096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16.600000000000001</v>
      </c>
      <c r="BY36" s="13">
        <f>IF('Données projet'!$A$114&gt;35,BY35+BX36-CG35,IF(A36&lt;'Données projet'!$A$114,$BV$205^A36,IF(A36='Données projet'!$A$114,'Données projet'!$B$114,BY35+BX36-CG35)))</f>
        <v>195.8</v>
      </c>
      <c r="BZ36" s="14">
        <f>BY36*VLOOKUP('Données projet'!$B$12,Paramètres!$A$1:$I$89,3,0)*VLOOKUP('Données projet'!$B$12,Paramètres!$A$1:$I$89,5,0)</f>
        <v>111.99760000000001</v>
      </c>
      <c r="CA36" s="14">
        <f t="shared" si="39"/>
        <v>29.801140607184838</v>
      </c>
      <c r="CB36" s="22">
        <f t="shared" si="10"/>
        <v>246.96613989084696</v>
      </c>
      <c r="CC36" s="62">
        <f t="shared" si="11"/>
        <v>540.29947322418025</v>
      </c>
      <c r="CD36" s="62">
        <f ca="1">AVERAGE(OFFSET($CC$3,0,0,'Données projet'!$E$12+1,1))-AVERAGE(OFFSET($H$3,0,0,'Données projet'!$E$12+1,1))</f>
        <v>309.71642374647882</v>
      </c>
      <c r="CE36" s="62">
        <f t="shared" si="40"/>
        <v>266.63880397664315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2.253369635384038</v>
      </c>
      <c r="CM36" s="23">
        <f>EXP(-LN(2)/2)*CM35+(1-EXP(-LN(2)/2))/(LN(2)/2)*CG36*CJ36*VLOOKUP('Données projet'!$B$12,Paramètres!$A$1:$I$89,3,0)*0.475*44/12</f>
        <v>2.812930856554158</v>
      </c>
      <c r="CN36" s="24">
        <f t="shared" si="12"/>
        <v>5.066300491938196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10.6</v>
      </c>
      <c r="CT36" s="13">
        <f>IF('Données projet'!$A$140&gt;35,CT35+CS36-DB35,IF(A36&lt;'Données projet'!$A$140,$CQ$205^A36,IF(A36='Données projet'!$A$140,'Données projet'!$B$140,CT35+CS36-DB35)))</f>
        <v>150.79999999999993</v>
      </c>
      <c r="CU36" s="18">
        <f>CT36*VLOOKUP('Données projet'!$B$13,Paramètres!$A$1:$I$89,3,0)*VLOOKUP('Données projet'!$B$13,Paramètres!$A$1:$I$89,5,0)</f>
        <v>119.97647999999994</v>
      </c>
      <c r="CV36" s="14">
        <f t="shared" si="41"/>
        <v>31.669513577784763</v>
      </c>
      <c r="CW36" s="22">
        <f t="shared" si="13"/>
        <v>264.11677214797504</v>
      </c>
      <c r="CX36" s="62">
        <f t="shared" si="14"/>
        <v>557.45010548130836</v>
      </c>
      <c r="CY36" s="62">
        <f ca="1">AVERAGE(OFFSET($CX$3,0,0,'Données projet'!$E$13+1,1))-AVERAGE(OFFSET($H$3,0,0,'Données projet'!$E$13+1,1))</f>
        <v>312.53381881960331</v>
      </c>
      <c r="CZ36" s="62">
        <f t="shared" si="42"/>
        <v>342.06887933351783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8.6</v>
      </c>
      <c r="DO36" s="13">
        <f>IF('Données projet'!$A$166&gt;35,DO35+DN36-DW35,IF(A36&lt;'Données projet'!$A$166,$DL$205^A36,IF(A36='Données projet'!$A$166,'Données projet'!$B$166,DO35+DN36-DW35)))</f>
        <v>122.79999999999998</v>
      </c>
      <c r="DP36" s="18">
        <f>DO36*VLOOKUP('Données projet'!$B$14,Paramètres!$A$1:$I$89,3,0)*VLOOKUP('Données projet'!$B$14,Paramètres!$A$1:$I$89,5,0)</f>
        <v>132.18191999999999</v>
      </c>
      <c r="DQ36" s="14">
        <f t="shared" si="43"/>
        <v>34.500047535388696</v>
      </c>
      <c r="DR36" s="22">
        <f t="shared" si="16"/>
        <v>290.30442679080193</v>
      </c>
      <c r="DS36" s="62">
        <f t="shared" si="17"/>
        <v>583.63776012413518</v>
      </c>
      <c r="DT36" s="62">
        <f ca="1">AVERAGE(OFFSET($DS$3,0,0,'Données projet'!$E$14+1,1))-AVERAGE(OFFSET($H$3,0,0,'Données projet'!$E$14+1,1))</f>
        <v>503.92230226365683</v>
      </c>
      <c r="DU36" s="62">
        <f t="shared" si="44"/>
        <v>267.2998309535638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8.6</v>
      </c>
      <c r="EJ36" s="13">
        <f>IF('Données projet'!$A$192&gt;35,EJ35+EI36-ER35,IF(A36&lt;'Données projet'!$A$192,$EG$205^A36,IF(A36='Données projet'!$A$192,'Données projet'!$B$192,EJ35+EI36-ER35)))</f>
        <v>122.79999999999998</v>
      </c>
      <c r="EK36" s="18">
        <f>EJ36*VLOOKUP('Données projet'!$B$15,Paramètres!$A$1:$I$89,3,0)*VLOOKUP('Données projet'!$B$15,Paramètres!$A$1:$I$89,5,0)</f>
        <v>118.77216</v>
      </c>
      <c r="EL36" s="14">
        <f t="shared" si="45"/>
        <v>31.388454588545514</v>
      </c>
      <c r="EM36" s="22">
        <f t="shared" si="19"/>
        <v>261.52973707505009</v>
      </c>
      <c r="EN36" s="62">
        <f t="shared" si="20"/>
        <v>554.86307040838346</v>
      </c>
      <c r="EO36" s="62">
        <f ca="1">AVERAGE(OFFSET($EN$3,0,0,'Données projet'!$E$15+1,1))-AVERAGE(OFFSET($H$3,0,0,'Données projet'!$E$15+1,1))</f>
        <v>457.16923206840744</v>
      </c>
      <c r="EP36" s="62">
        <f t="shared" si="46"/>
        <v>244.45149244446094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10.199999999999999</v>
      </c>
      <c r="FE36" s="13">
        <f>IF('Données projet'!$A$218&gt;35,FE35+FD36-FM35,IF(A36&lt;'Données projet'!$A$218,$FB$205^A36,IF(A36='Données projet'!$A$218,'Données projet'!$B$218,FE35+FD36-FM35)))</f>
        <v>168.6</v>
      </c>
      <c r="FF36" s="18">
        <f>FE36*VLOOKUP('Données projet'!$B$16,Paramètres!$A$1:$I$89,3,0)*VLOOKUP('Données projet'!$B$16,Paramètres!$A$1:$I$89,5,0)</f>
        <v>113.09687999999998</v>
      </c>
      <c r="FG36" s="14">
        <f t="shared" si="47"/>
        <v>30.059450444893351</v>
      </c>
      <c r="FH36" s="22">
        <f t="shared" si="22"/>
        <v>249.33060885818921</v>
      </c>
      <c r="FI36" s="62">
        <f t="shared" si="23"/>
        <v>542.66394219152255</v>
      </c>
      <c r="FJ36" s="62">
        <f ca="1">AVERAGE(OFFSET($FI$3,0,0,'Données projet'!$E$16+1,1))-AVERAGE(OFFSET($H$3,0,0,'Données projet'!$E$16+1,1))</f>
        <v>385.97853124853452</v>
      </c>
      <c r="FK36" s="62">
        <f t="shared" si="48"/>
        <v>300.99118099739695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132.280299502248</v>
      </c>
      <c r="T37" s="62">
        <f t="shared" si="34"/>
        <v>337.98099449405339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57.880074431474689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0.46019659573933702</v>
      </c>
      <c r="AC37" s="24">
        <f t="shared" si="3"/>
        <v>58.34027102721403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8.6</v>
      </c>
      <c r="AI37" s="14">
        <f>IF('Données projet'!$A$62&gt;35,AI36+AH37-AQ36,IF(A37&lt;'Données projet'!$A$62,$AF$205^A37,IF(A37='Données projet'!$A$62,'Données projet'!$B$62,AI36+AH37-AQ36)))</f>
        <v>131.39999999999998</v>
      </c>
      <c r="AJ37" s="14">
        <f>AI37*VLOOKUP('Données projet'!$B$10,Paramètres!$A$1:$I$89,3,0)*VLOOKUP('Données projet'!$B$10,Paramètres!$A$1:$I$89,5,0)</f>
        <v>118.89071999999996</v>
      </c>
      <c r="AK37" s="14">
        <f t="shared" si="35"/>
        <v>31.416138277101783</v>
      </c>
      <c r="AL37" s="22">
        <f t="shared" si="4"/>
        <v>261.78444483261882</v>
      </c>
      <c r="AM37" s="62">
        <f t="shared" si="5"/>
        <v>555.11777816595213</v>
      </c>
      <c r="AN37" s="62">
        <f ca="1">AVERAGE(OFFSET($AM$3,0,0,'Données projet'!$E$10+1,1))-AVERAGE(OFFSET($H$3,0,0,'Données projet'!$E$10+1,1))</f>
        <v>430.40491895612814</v>
      </c>
      <c r="AO37" s="62">
        <f t="shared" si="36"/>
        <v>231.36959598460686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</v>
      </c>
      <c r="BD37" s="13">
        <f>IF('Données projet'!$A$88&gt;35,BD36+BC37-BL36,IF(A37&lt;'Données projet'!$A$88,$BA$205^A37,IF(A37='Données projet'!$A$88,'Données projet'!$B$88,BD36+BC37-BL36)))</f>
        <v>159</v>
      </c>
      <c r="BE37" s="14">
        <f>BD37*VLOOKUP('Données projet'!$B$11,Paramètres!$A$1:$I$89,3,0)*VLOOKUP('Données projet'!$B$11,Paramètres!$A$1:$I$89,5,0)</f>
        <v>95.082000000000008</v>
      </c>
      <c r="BF37" s="14">
        <f t="shared" si="37"/>
        <v>25.786935269387122</v>
      </c>
      <c r="BG37" s="22">
        <f t="shared" si="7"/>
        <v>210.51339559418258</v>
      </c>
      <c r="BH37" s="62">
        <f t="shared" si="8"/>
        <v>503.84672892751587</v>
      </c>
      <c r="BI37" s="62">
        <f ca="1">AVERAGE(OFFSET($BH$3,0,0,'Données projet'!$E$11+1,1))-AVERAGE(OFFSET($H$3,0,0,'Données projet'!$E$11+1,1))</f>
        <v>295.83974441964551</v>
      </c>
      <c r="BJ37" s="62">
        <f t="shared" si="38"/>
        <v>212.24900914818096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16.600000000000001</v>
      </c>
      <c r="BY37" s="13">
        <f>IF('Données projet'!$A$114&gt;35,BY36+BX37-CG36,IF(A37&lt;'Données projet'!$A$114,$BV$205^A37,IF(A37='Données projet'!$A$114,'Données projet'!$B$114,BY36+BX37-CG36)))</f>
        <v>212.4</v>
      </c>
      <c r="BZ37" s="14">
        <f>BY37*VLOOKUP('Données projet'!$B$12,Paramètres!$A$1:$I$89,3,0)*VLOOKUP('Données projet'!$B$12,Paramètres!$A$1:$I$89,5,0)</f>
        <v>121.4928</v>
      </c>
      <c r="CA37" s="14">
        <f t="shared" si="39"/>
        <v>32.02291946024841</v>
      </c>
      <c r="CB37" s="22">
        <f t="shared" si="10"/>
        <v>267.37321139326599</v>
      </c>
      <c r="CC37" s="62">
        <f t="shared" si="11"/>
        <v>560.7065447265993</v>
      </c>
      <c r="CD37" s="62">
        <f ca="1">AVERAGE(OFFSET($CC$3,0,0,'Données projet'!$E$12+1,1))-AVERAGE(OFFSET($H$3,0,0,'Données projet'!$E$12+1,1))</f>
        <v>309.71642374647882</v>
      </c>
      <c r="CE37" s="62">
        <f t="shared" si="40"/>
        <v>266.63880397664315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2.1917511242049024</v>
      </c>
      <c r="CM37" s="23">
        <f>EXP(-LN(2)/2)*CM36+(1-EXP(-LN(2)/2))/(LN(2)/2)*CG37*CJ37*VLOOKUP('Données projet'!$B$12,Paramètres!$A$1:$I$89,3,0)*0.475*44/12</f>
        <v>1.9890424836783289</v>
      </c>
      <c r="CN37" s="24">
        <f t="shared" si="12"/>
        <v>4.1807936078832313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10.6</v>
      </c>
      <c r="CT37" s="13">
        <f>IF('Données projet'!$A$140&gt;35,CT36+CS37-DB36,IF(A37&lt;'Données projet'!$A$140,$CQ$205^A37,IF(A37='Données projet'!$A$140,'Données projet'!$B$140,CT36+CS37-DB36)))</f>
        <v>161.39999999999992</v>
      </c>
      <c r="CU37" s="18">
        <f>CT37*VLOOKUP('Données projet'!$B$13,Paramètres!$A$1:$I$89,3,0)*VLOOKUP('Données projet'!$B$13,Paramètres!$A$1:$I$89,5,0)</f>
        <v>128.40983999999995</v>
      </c>
      <c r="CV37" s="14">
        <f t="shared" si="41"/>
        <v>33.62865726522088</v>
      </c>
      <c r="CW37" s="22">
        <f t="shared" si="13"/>
        <v>282.21704940359291</v>
      </c>
      <c r="CX37" s="62">
        <f t="shared" si="14"/>
        <v>575.55038273692617</v>
      </c>
      <c r="CY37" s="62">
        <f ca="1">AVERAGE(OFFSET($CX$3,0,0,'Données projet'!$E$13+1,1))-AVERAGE(OFFSET($H$3,0,0,'Données projet'!$E$13+1,1))</f>
        <v>312.53381881960331</v>
      </c>
      <c r="CZ37" s="62">
        <f t="shared" si="42"/>
        <v>342.06887933351783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8.6</v>
      </c>
      <c r="DO37" s="13">
        <f>IF('Données projet'!$A$166&gt;35,DO36+DN37-DW36,IF(A37&lt;'Données projet'!$A$166,$DL$205^A37,IF(A37='Données projet'!$A$166,'Données projet'!$B$166,DO36+DN37-DW36)))</f>
        <v>131.39999999999998</v>
      </c>
      <c r="DP37" s="18">
        <f>DO37*VLOOKUP('Données projet'!$B$14,Paramètres!$A$1:$I$89,3,0)*VLOOKUP('Données projet'!$B$14,Paramètres!$A$1:$I$89,5,0)</f>
        <v>141.43895999999998</v>
      </c>
      <c r="DQ37" s="14">
        <f t="shared" si="43"/>
        <v>36.62645458192042</v>
      </c>
      <c r="DR37" s="22">
        <f t="shared" si="16"/>
        <v>310.1305970635114</v>
      </c>
      <c r="DS37" s="62">
        <f t="shared" si="17"/>
        <v>603.46393039684472</v>
      </c>
      <c r="DT37" s="62">
        <f ca="1">AVERAGE(OFFSET($DS$3,0,0,'Données projet'!$E$14+1,1))-AVERAGE(OFFSET($H$3,0,0,'Données projet'!$E$14+1,1))</f>
        <v>503.92230226365683</v>
      </c>
      <c r="DU37" s="62">
        <f t="shared" si="44"/>
        <v>267.2998309535638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8.6</v>
      </c>
      <c r="EJ37" s="13">
        <f>IF('Données projet'!$A$192&gt;35,EJ36+EI37-ER36,IF(A37&lt;'Données projet'!$A$192,$EG$205^A37,IF(A37='Données projet'!$A$192,'Données projet'!$B$192,EJ36+EI37-ER36)))</f>
        <v>131.39999999999998</v>
      </c>
      <c r="EK37" s="18">
        <f>EJ37*VLOOKUP('Données projet'!$B$15,Paramètres!$A$1:$I$89,3,0)*VLOOKUP('Données projet'!$B$15,Paramètres!$A$1:$I$89,5,0)</f>
        <v>127.09007999999999</v>
      </c>
      <c r="EL37" s="14">
        <f t="shared" si="45"/>
        <v>33.323078908942769</v>
      </c>
      <c r="EM37" s="22">
        <f t="shared" si="19"/>
        <v>279.38625176640863</v>
      </c>
      <c r="EN37" s="62">
        <f t="shared" si="20"/>
        <v>572.71958509974195</v>
      </c>
      <c r="EO37" s="62">
        <f ca="1">AVERAGE(OFFSET($EN$3,0,0,'Données projet'!$E$15+1,1))-AVERAGE(OFFSET($H$3,0,0,'Données projet'!$E$15+1,1))</f>
        <v>457.16923206840744</v>
      </c>
      <c r="EP37" s="62">
        <f t="shared" si="46"/>
        <v>244.45149244446094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10.199999999999999</v>
      </c>
      <c r="FE37" s="13">
        <f>IF('Données projet'!$A$218&gt;35,FE36+FD37-FM36,IF(A37&lt;'Données projet'!$A$218,$FB$205^A37,IF(A37='Données projet'!$A$218,'Données projet'!$B$218,FE36+FD37-FM36)))</f>
        <v>178.79999999999998</v>
      </c>
      <c r="FF37" s="18">
        <f>FE37*VLOOKUP('Données projet'!$B$16,Paramètres!$A$1:$I$89,3,0)*VLOOKUP('Données projet'!$B$16,Paramètres!$A$1:$I$89,5,0)</f>
        <v>119.93903999999998</v>
      </c>
      <c r="FG37" s="14">
        <f t="shared" si="47"/>
        <v>31.660780954759097</v>
      </c>
      <c r="FH37" s="22">
        <f t="shared" si="22"/>
        <v>264.03635482953871</v>
      </c>
      <c r="FI37" s="62">
        <f t="shared" si="23"/>
        <v>557.36968816287208</v>
      </c>
      <c r="FJ37" s="62">
        <f ca="1">AVERAGE(OFFSET($FI$3,0,0,'Données projet'!$E$16+1,1))-AVERAGE(OFFSET($H$3,0,0,'Données projet'!$E$16+1,1))</f>
        <v>385.97853124853452</v>
      </c>
      <c r="FK37" s="62">
        <f t="shared" si="48"/>
        <v>300.99118099739695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132.280299502248</v>
      </c>
      <c r="T38" s="62">
        <f t="shared" si="34"/>
        <v>337.98099449405339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56.745081475232958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0.32540813352624948</v>
      </c>
      <c r="AC38" s="24">
        <f t="shared" si="3"/>
        <v>57.07048960875921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140</v>
      </c>
      <c r="AG38" s="13">
        <f>VLOOKUP(A38,'Données projet'!$A$61:$I$81,9,0)</f>
        <v>8.6</v>
      </c>
      <c r="AH38" s="13">
        <f t="array" ref="AH38">INDEX(AG:AG,MIN(IF(ISNUMBER(AG38:AG234),ROW(AG38:AG234),"")))</f>
        <v>8.6</v>
      </c>
      <c r="AI38" s="14">
        <f>IF('Données projet'!$A$62&gt;35,AI37+AH38-AQ37,IF(A38&lt;'Données projet'!$A$62,$AF$205^A38,IF(A38='Données projet'!$A$62,'Données projet'!$B$62,AI37+AH38-AQ37)))</f>
        <v>139.99999999999997</v>
      </c>
      <c r="AJ38" s="14">
        <f>AI38*VLOOKUP('Données projet'!$B$10,Paramètres!$A$1:$I$89,3,0)*VLOOKUP('Données projet'!$B$10,Paramètres!$A$1:$I$89,5,0)</f>
        <v>126.67199999999997</v>
      </c>
      <c r="AK38" s="14">
        <f t="shared" si="35"/>
        <v>33.226199426361319</v>
      </c>
      <c r="AL38" s="22">
        <f t="shared" si="4"/>
        <v>278.48936400091259</v>
      </c>
      <c r="AM38" s="62">
        <f t="shared" si="5"/>
        <v>571.82269733424596</v>
      </c>
      <c r="AN38" s="62">
        <f ca="1">AVERAGE(OFFSET($AM$3,0,0,'Données projet'!$E$10+1,1))-AVERAGE(OFFSET($H$3,0,0,'Données projet'!$E$10+1,1))</f>
        <v>430.40491895612814</v>
      </c>
      <c r="AO38" s="62">
        <f t="shared" si="36"/>
        <v>231.36959598460686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42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169</v>
      </c>
      <c r="BB38" s="13">
        <f>VLOOKUP(A38,'Données projet'!$A$87:$I$107,9,0)</f>
        <v>10</v>
      </c>
      <c r="BC38" s="13">
        <f t="array" ref="BC38">INDEX(BB:BB,MIN(IF(ISNUMBER(BB38:BB234),ROW(BB38:BB234),"")))</f>
        <v>10</v>
      </c>
      <c r="BD38" s="13">
        <f>IF('Données projet'!$A$88&gt;35,BD37+BC38-BL37,IF(A38&lt;'Données projet'!$A$88,$BA$205^A38,IF(A38='Données projet'!$A$88,'Données projet'!$B$88,BD37+BC38-BL37)))</f>
        <v>169</v>
      </c>
      <c r="BE38" s="14">
        <f>BD38*VLOOKUP('Données projet'!$B$11,Paramètres!$A$1:$I$89,3,0)*VLOOKUP('Données projet'!$B$11,Paramètres!$A$1:$I$89,5,0)</f>
        <v>101.06200000000001</v>
      </c>
      <c r="BF38" s="14">
        <f t="shared" si="37"/>
        <v>27.214848638810562</v>
      </c>
      <c r="BG38" s="22">
        <f t="shared" si="7"/>
        <v>223.41551137926174</v>
      </c>
      <c r="BH38" s="62">
        <f t="shared" si="8"/>
        <v>516.74884471259509</v>
      </c>
      <c r="BI38" s="62">
        <f ca="1">AVERAGE(OFFSET($BH$3,0,0,'Données projet'!$E$11+1,1))-AVERAGE(OFFSET($H$3,0,0,'Données projet'!$E$11+1,1))</f>
        <v>295.83974441964551</v>
      </c>
      <c r="BJ38" s="62">
        <f t="shared" si="38"/>
        <v>212.24900914818096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23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229</v>
      </c>
      <c r="BW38" s="13">
        <f>VLOOKUP(A38,'Données projet'!$A$113:$I$133,9,0)</f>
        <v>16.600000000000001</v>
      </c>
      <c r="BX38" s="13">
        <f t="array" ref="BX38">INDEX(BW:BW,MIN(IF(ISNUMBER(BW38:BW234),ROW(BW38:BW234),"")))</f>
        <v>16.600000000000001</v>
      </c>
      <c r="BY38" s="13">
        <f>IF('Données projet'!$A$114&gt;35,BY37+BX38-CG37,IF(A38&lt;'Données projet'!$A$114,$BV$205^A38,IF(A38='Données projet'!$A$114,'Données projet'!$B$114,BY37+BX38-CG37)))</f>
        <v>229</v>
      </c>
      <c r="BZ38" s="14">
        <f>BY38*VLOOKUP('Données projet'!$B$12,Paramètres!$A$1:$I$89,3,0)*VLOOKUP('Données projet'!$B$12,Paramètres!$A$1:$I$89,5,0)</f>
        <v>130.988</v>
      </c>
      <c r="CA38" s="14">
        <f t="shared" si="39"/>
        <v>34.224556427728572</v>
      </c>
      <c r="CB38" s="22">
        <f t="shared" si="10"/>
        <v>287.74520244496057</v>
      </c>
      <c r="CC38" s="62">
        <f t="shared" si="11"/>
        <v>581.07853577829383</v>
      </c>
      <c r="CD38" s="62">
        <f ca="1">AVERAGE(OFFSET($CC$3,0,0,'Données projet'!$E$12+1,1))-AVERAGE(OFFSET($H$3,0,0,'Données projet'!$E$12+1,1))</f>
        <v>309.71642374647882</v>
      </c>
      <c r="CE38" s="62">
        <f t="shared" si="40"/>
        <v>266.63880397664315</v>
      </c>
      <c r="CF38" s="16">
        <f>IF(ISNA(VLOOKUP(A38,'Données projet'!$A$113:$I$133,3,0)),0,VLOOKUP(A38,'Données projet'!$A$113:$I$133,3,0))</f>
        <v>4</v>
      </c>
      <c r="CG38" s="16">
        <f>IF(ISNA(VLOOKUP(A38,'Données projet'!$A$113:$I$133,4,0)),0,VLOOKUP(A38,'Données projet'!$A$113:$I$133,4,0))</f>
        <v>49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2.1318175744543368</v>
      </c>
      <c r="CM38" s="23">
        <f>EXP(-LN(2)/2)*CM37+(1-EXP(-LN(2)/2))/(LN(2)/2)*CG38*CJ38*VLOOKUP('Données projet'!$B$12,Paramètres!$A$1:$I$89,3,0)*0.475*44/12</f>
        <v>1.4064654282770792</v>
      </c>
      <c r="CN38" s="24">
        <f t="shared" si="12"/>
        <v>3.5382830027314158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172</v>
      </c>
      <c r="CR38" s="13">
        <f>VLOOKUP(A38,'Données projet'!$A$139:$I$159,9,0)</f>
        <v>10.6</v>
      </c>
      <c r="CS38" s="13">
        <f t="array" ref="CS38">INDEX(CR:CR,MIN(IF(ISNUMBER(CR38:CR234),ROW(CR38:CR234),"")))</f>
        <v>10.6</v>
      </c>
      <c r="CT38" s="13">
        <f>IF('Données projet'!$A$140&gt;35,CT37+CS38-DB37,IF(A38&lt;'Données projet'!$A$140,$CQ$205^A38,IF(A38='Données projet'!$A$140,'Données projet'!$B$140,CT37+CS38-DB37)))</f>
        <v>171.99999999999991</v>
      </c>
      <c r="CU38" s="18">
        <f>CT38*VLOOKUP('Données projet'!$B$13,Paramètres!$A$1:$I$89,3,0)*VLOOKUP('Données projet'!$B$13,Paramètres!$A$1:$I$89,5,0)</f>
        <v>136.84319999999994</v>
      </c>
      <c r="CV38" s="14">
        <f t="shared" si="41"/>
        <v>35.572869837729613</v>
      </c>
      <c r="CW38" s="22">
        <f t="shared" si="13"/>
        <v>300.29132163404557</v>
      </c>
      <c r="CX38" s="62">
        <f t="shared" si="14"/>
        <v>593.62465496737889</v>
      </c>
      <c r="CY38" s="62">
        <f ca="1">AVERAGE(OFFSET($CX$3,0,0,'Données projet'!$E$13+1,1))-AVERAGE(OFFSET($H$3,0,0,'Données projet'!$E$13+1,1))</f>
        <v>312.53381881960331</v>
      </c>
      <c r="CZ38" s="62">
        <f t="shared" si="42"/>
        <v>342.06887933351783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140</v>
      </c>
      <c r="DM38" s="13">
        <f>VLOOKUP(A38,'Données projet'!$A$165:$I$185,9,0)</f>
        <v>8.6</v>
      </c>
      <c r="DN38" s="13">
        <f t="array" ref="DN38">INDEX(DM:DM,MIN(IF(ISNUMBER(DM38:DM234),ROW(DM38:DM234),"")))</f>
        <v>8.6</v>
      </c>
      <c r="DO38" s="13">
        <f>IF('Données projet'!$A$166&gt;35,DO37+DN38-DW37,IF(A38&lt;'Données projet'!$A$166,$DL$205^A38,IF(A38='Données projet'!$A$166,'Données projet'!$B$166,DO37+DN38-DW37)))</f>
        <v>139.99999999999997</v>
      </c>
      <c r="DP38" s="18">
        <f>DO38*VLOOKUP('Données projet'!$B$14,Paramètres!$A$1:$I$89,3,0)*VLOOKUP('Données projet'!$B$14,Paramètres!$A$1:$I$89,5,0)</f>
        <v>150.69599999999994</v>
      </c>
      <c r="DQ38" s="14">
        <f t="shared" si="43"/>
        <v>38.736711478840633</v>
      </c>
      <c r="DR38" s="22">
        <f t="shared" si="16"/>
        <v>329.92863915898073</v>
      </c>
      <c r="DS38" s="62">
        <f t="shared" si="17"/>
        <v>623.26197249231404</v>
      </c>
      <c r="DT38" s="62">
        <f ca="1">AVERAGE(OFFSET($DS$3,0,0,'Données projet'!$E$14+1,1))-AVERAGE(OFFSET($H$3,0,0,'Données projet'!$E$14+1,1))</f>
        <v>503.92230226365683</v>
      </c>
      <c r="DU38" s="62">
        <f t="shared" si="44"/>
        <v>267.2998309535638</v>
      </c>
      <c r="DV38" s="16">
        <f>IF(ISNA(VLOOKUP(A38,'Données projet'!$A$165:$I$185,3,0)),0,VLOOKUP(A38,'Données projet'!$A$165:$I$185,3,0))</f>
        <v>2</v>
      </c>
      <c r="DW38" s="16">
        <f>IF(ISNA(VLOOKUP(A38,'Données projet'!$A$165:$I$185,4,0)),0,VLOOKUP(A38,'Données projet'!$A$165:$I$185,4,0))</f>
        <v>42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140</v>
      </c>
      <c r="EH38" s="13">
        <f>VLOOKUP(A38,'Données projet'!$A$191:$I$211,9,0)</f>
        <v>8.6</v>
      </c>
      <c r="EI38" s="13">
        <f t="array" ref="EI38">INDEX(EH:EH,MIN(IF(ISNUMBER(EH38:EH234),ROW(EH38:EH234),"")))</f>
        <v>8.6</v>
      </c>
      <c r="EJ38" s="13">
        <f>IF('Données projet'!$A$192&gt;35,EJ37+EI38-ER37,IF(A38&lt;'Données projet'!$A$192,$EG$205^A38,IF(A38='Données projet'!$A$192,'Données projet'!$B$192,EJ37+EI38-ER37)))</f>
        <v>139.99999999999997</v>
      </c>
      <c r="EK38" s="18">
        <f>EJ38*VLOOKUP('Données projet'!$B$15,Paramètres!$A$1:$I$89,3,0)*VLOOKUP('Données projet'!$B$15,Paramètres!$A$1:$I$89,5,0)</f>
        <v>135.40799999999999</v>
      </c>
      <c r="EL38" s="14">
        <f t="shared" si="45"/>
        <v>35.243009677478732</v>
      </c>
      <c r="EM38" s="22">
        <f t="shared" si="19"/>
        <v>297.21717518827546</v>
      </c>
      <c r="EN38" s="62">
        <f t="shared" si="20"/>
        <v>590.55050852160878</v>
      </c>
      <c r="EO38" s="62">
        <f ca="1">AVERAGE(OFFSET($EN$3,0,0,'Données projet'!$E$15+1,1))-AVERAGE(OFFSET($H$3,0,0,'Données projet'!$E$15+1,1))</f>
        <v>457.16923206840744</v>
      </c>
      <c r="EP38" s="62">
        <f t="shared" si="46"/>
        <v>244.45149244446094</v>
      </c>
      <c r="EQ38" s="16">
        <f>IF(ISNA(VLOOKUP(A38,'Données projet'!$A$191:$I$211,3,0)),0,VLOOKUP(A38,'Données projet'!$A$191:$I$211,3,0))</f>
        <v>2</v>
      </c>
      <c r="ER38" s="16">
        <f>IF(ISNA(VLOOKUP(A38,'Données projet'!$A$191:$I$211,4,0)),0,VLOOKUP(A38,'Données projet'!$A$191:$I$211,4,0))</f>
        <v>42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189</v>
      </c>
      <c r="FC38" s="13">
        <f>VLOOKUP(A38,'Données projet'!$A$217:$I$237,9,0)</f>
        <v>10.199999999999999</v>
      </c>
      <c r="FD38" s="13">
        <f t="array" ref="FD38">INDEX(FC:FC,MIN(IF(ISNUMBER(FC38:FC234),ROW(FC38:FC234),"")))</f>
        <v>10.199999999999999</v>
      </c>
      <c r="FE38" s="13">
        <f>IF('Données projet'!$A$218&gt;35,FE37+FD38-FM37,IF(A38&lt;'Données projet'!$A$218,$FB$205^A38,IF(A38='Données projet'!$A$218,'Données projet'!$B$218,FE37+FD38-FM37)))</f>
        <v>188.99999999999997</v>
      </c>
      <c r="FF38" s="18">
        <f>FE38*VLOOKUP('Données projet'!$B$16,Paramètres!$A$1:$I$89,3,0)*VLOOKUP('Données projet'!$B$16,Paramètres!$A$1:$I$89,5,0)</f>
        <v>126.78119999999997</v>
      </c>
      <c r="FG38" s="14">
        <f t="shared" si="47"/>
        <v>33.251507355059708</v>
      </c>
      <c r="FH38" s="22">
        <f t="shared" si="22"/>
        <v>278.72363197672894</v>
      </c>
      <c r="FI38" s="62">
        <f t="shared" si="23"/>
        <v>572.0569653100622</v>
      </c>
      <c r="FJ38" s="62">
        <f ca="1">AVERAGE(OFFSET($FI$3,0,0,'Données projet'!$E$16+1,1))-AVERAGE(OFFSET($H$3,0,0,'Données projet'!$E$16+1,1))</f>
        <v>385.97853124853452</v>
      </c>
      <c r="FK38" s="62">
        <f t="shared" si="48"/>
        <v>300.99118099739695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132.280299502248</v>
      </c>
      <c r="T39" s="62">
        <f t="shared" si="34"/>
        <v>337.98099449405339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55.632345038585775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0.23009829786966854</v>
      </c>
      <c r="AC39" s="24">
        <f t="shared" si="3"/>
        <v>55.862443336455442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7.8</v>
      </c>
      <c r="AI39" s="14">
        <f>IF('Données projet'!$A$62&gt;35,AI38+AH39-AQ38,IF(A39&lt;'Données projet'!$A$62,$AF$205^A39,IF(A39='Données projet'!$A$62,'Données projet'!$B$62,AI38+AH39-AQ38)))</f>
        <v>105.79999999999998</v>
      </c>
      <c r="AJ39" s="14">
        <f>AI39*VLOOKUP('Données projet'!$B$10,Paramètres!$A$1:$I$89,3,0)*VLOOKUP('Données projet'!$B$10,Paramètres!$A$1:$I$89,5,0)</f>
        <v>95.727839999999972</v>
      </c>
      <c r="AK39" s="14">
        <f t="shared" si="35"/>
        <v>25.941642560384413</v>
      </c>
      <c r="AL39" s="22">
        <f t="shared" si="4"/>
        <v>211.90768212600278</v>
      </c>
      <c r="AM39" s="62">
        <f t="shared" si="5"/>
        <v>505.2410154593361</v>
      </c>
      <c r="AN39" s="62">
        <f ca="1">AVERAGE(OFFSET($AM$3,0,0,'Données projet'!$E$10+1,1))-AVERAGE(OFFSET($H$3,0,0,'Données projet'!$E$10+1,1))</f>
        <v>430.40491895612814</v>
      </c>
      <c r="AO39" s="62">
        <f t="shared" si="36"/>
        <v>231.36959598460686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12.4</v>
      </c>
      <c r="BD39" s="13">
        <f>IF('Données projet'!$A$88&gt;35,BD38+BC39-BL38,IF(A39&lt;'Données projet'!$A$88,$BA$205^A39,IF(A39='Données projet'!$A$88,'Données projet'!$B$88,BD38+BC39-BL38)))</f>
        <v>158.4</v>
      </c>
      <c r="BE39" s="14">
        <f>BD39*VLOOKUP('Données projet'!$B$11,Paramètres!$A$1:$I$89,3,0)*VLOOKUP('Données projet'!$B$11,Paramètres!$A$1:$I$89,5,0)</f>
        <v>94.723200000000006</v>
      </c>
      <c r="BF39" s="14">
        <f t="shared" si="37"/>
        <v>25.700933959119112</v>
      </c>
      <c r="BG39" s="22">
        <f t="shared" si="7"/>
        <v>209.7386999787991</v>
      </c>
      <c r="BH39" s="62">
        <f t="shared" si="8"/>
        <v>503.07203331213242</v>
      </c>
      <c r="BI39" s="62">
        <f ca="1">AVERAGE(OFFSET($BH$3,0,0,'Données projet'!$E$11+1,1))-AVERAGE(OFFSET($H$3,0,0,'Données projet'!$E$11+1,1))</f>
        <v>295.83974441964551</v>
      </c>
      <c r="BJ39" s="62">
        <f t="shared" si="38"/>
        <v>212.24900914818096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15.2</v>
      </c>
      <c r="BY39" s="13">
        <f>IF('Données projet'!$A$114&gt;35,BY38+BX39-CG38,IF(A39&lt;'Données projet'!$A$114,$BV$205^A39,IF(A39='Données projet'!$A$114,'Données projet'!$B$114,BY38+BX39-CG38)))</f>
        <v>195.2</v>
      </c>
      <c r="BZ39" s="14">
        <f>BY39*VLOOKUP('Données projet'!$B$12,Paramètres!$A$1:$I$89,3,0)*VLOOKUP('Données projet'!$B$12,Paramètres!$A$1:$I$89,5,0)</f>
        <v>111.6544</v>
      </c>
      <c r="CA39" s="14">
        <f t="shared" si="39"/>
        <v>29.720434817267506</v>
      </c>
      <c r="CB39" s="22">
        <f t="shared" si="10"/>
        <v>246.22783730674089</v>
      </c>
      <c r="CC39" s="62">
        <f t="shared" si="11"/>
        <v>539.56117064007424</v>
      </c>
      <c r="CD39" s="62">
        <f ca="1">AVERAGE(OFFSET($CC$3,0,0,'Données projet'!$E$12+1,1))-AVERAGE(OFFSET($H$3,0,0,'Données projet'!$E$12+1,1))</f>
        <v>309.71642374647882</v>
      </c>
      <c r="CE39" s="62">
        <f t="shared" si="40"/>
        <v>266.63880397664315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2.0735229107734692</v>
      </c>
      <c r="CM39" s="23">
        <f>EXP(-LN(2)/2)*CM38+(1-EXP(-LN(2)/2))/(LN(2)/2)*CG39*CJ39*VLOOKUP('Données projet'!$B$12,Paramètres!$A$1:$I$89,3,0)*0.475*44/12</f>
        <v>0.99452124183916457</v>
      </c>
      <c r="CN39" s="24">
        <f t="shared" si="12"/>
        <v>3.0680441526126336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9.6</v>
      </c>
      <c r="CT39" s="13">
        <f>IF('Données projet'!$A$140&gt;35,CT38+CS39-DB38,IF(A39&lt;'Données projet'!$A$140,$CQ$205^A39,IF(A39='Données projet'!$A$140,'Données projet'!$B$140,CT38+CS39-DB38)))</f>
        <v>181.59999999999991</v>
      </c>
      <c r="CU39" s="18">
        <f>CT39*VLOOKUP('Données projet'!$B$13,Paramètres!$A$1:$I$89,3,0)*VLOOKUP('Données projet'!$B$13,Paramètres!$A$1:$I$89,5,0)</f>
        <v>144.48095999999993</v>
      </c>
      <c r="CV39" s="14">
        <f t="shared" si="41"/>
        <v>37.321640695251794</v>
      </c>
      <c r="CW39" s="22">
        <f t="shared" si="13"/>
        <v>316.63952954423013</v>
      </c>
      <c r="CX39" s="62">
        <f t="shared" si="14"/>
        <v>609.97286287756344</v>
      </c>
      <c r="CY39" s="62">
        <f ca="1">AVERAGE(OFFSET($CX$3,0,0,'Données projet'!$E$13+1,1))-AVERAGE(OFFSET($H$3,0,0,'Données projet'!$E$13+1,1))</f>
        <v>312.53381881960331</v>
      </c>
      <c r="CZ39" s="62">
        <f t="shared" si="42"/>
        <v>342.06887933351783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7.8</v>
      </c>
      <c r="DO39" s="13">
        <f>IF('Données projet'!$A$166&gt;35,DO38+DN39-DW38,IF(A39&lt;'Données projet'!$A$166,$DL$205^A39,IF(A39='Données projet'!$A$166,'Données projet'!$B$166,DO38+DN39-DW38)))</f>
        <v>105.79999999999998</v>
      </c>
      <c r="DP39" s="18">
        <f>DO39*VLOOKUP('Données projet'!$B$14,Paramètres!$A$1:$I$89,3,0)*VLOOKUP('Données projet'!$B$14,Paramètres!$A$1:$I$89,5,0)</f>
        <v>113.88311999999998</v>
      </c>
      <c r="DQ39" s="14">
        <f t="shared" si="43"/>
        <v>30.244022503264436</v>
      </c>
      <c r="DR39" s="22">
        <f t="shared" si="16"/>
        <v>251.02143985985217</v>
      </c>
      <c r="DS39" s="62">
        <f t="shared" si="17"/>
        <v>544.35477319318545</v>
      </c>
      <c r="DT39" s="62">
        <f ca="1">AVERAGE(OFFSET($DS$3,0,0,'Données projet'!$E$14+1,1))-AVERAGE(OFFSET($H$3,0,0,'Données projet'!$E$14+1,1))</f>
        <v>503.92230226365683</v>
      </c>
      <c r="DU39" s="62">
        <f t="shared" si="44"/>
        <v>267.2998309535638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7.8</v>
      </c>
      <c r="EJ39" s="13">
        <f>IF('Données projet'!$A$192&gt;35,EJ38+EI39-ER38,IF(A39&lt;'Données projet'!$A$192,$EG$205^A39,IF(A39='Données projet'!$A$192,'Données projet'!$B$192,EJ38+EI39-ER38)))</f>
        <v>105.79999999999998</v>
      </c>
      <c r="EK39" s="18">
        <f>EJ39*VLOOKUP('Données projet'!$B$15,Paramètres!$A$1:$I$89,3,0)*VLOOKUP('Données projet'!$B$15,Paramètres!$A$1:$I$89,5,0)</f>
        <v>102.32975999999999</v>
      </c>
      <c r="EL39" s="14">
        <f t="shared" si="45"/>
        <v>27.516284606416839</v>
      </c>
      <c r="EM39" s="22">
        <f t="shared" si="19"/>
        <v>226.14852768950928</v>
      </c>
      <c r="EN39" s="62">
        <f t="shared" si="20"/>
        <v>519.48186102284262</v>
      </c>
      <c r="EO39" s="62">
        <f ca="1">AVERAGE(OFFSET($EN$3,0,0,'Données projet'!$E$15+1,1))-AVERAGE(OFFSET($H$3,0,0,'Données projet'!$E$15+1,1))</f>
        <v>457.16923206840744</v>
      </c>
      <c r="EP39" s="62">
        <f t="shared" si="46"/>
        <v>244.45149244446094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9.8000000000000007</v>
      </c>
      <c r="FE39" s="13">
        <f>IF('Données projet'!$A$218&gt;35,FE38+FD39-FM38,IF(A39&lt;'Données projet'!$A$218,$FB$205^A39,IF(A39='Données projet'!$A$218,'Données projet'!$B$218,FE38+FD39-FM38)))</f>
        <v>198.79999999999998</v>
      </c>
      <c r="FF39" s="18">
        <f>FE39*VLOOKUP('Données projet'!$B$16,Paramètres!$A$1:$I$89,3,0)*VLOOKUP('Données projet'!$B$16,Paramètres!$A$1:$I$89,5,0)</f>
        <v>133.35504</v>
      </c>
      <c r="FG39" s="14">
        <f t="shared" si="47"/>
        <v>34.770457155821241</v>
      </c>
      <c r="FH39" s="22">
        <f t="shared" si="22"/>
        <v>292.81857421305534</v>
      </c>
      <c r="FI39" s="62">
        <f t="shared" si="23"/>
        <v>586.15190754638866</v>
      </c>
      <c r="FJ39" s="62">
        <f ca="1">AVERAGE(OFFSET($FI$3,0,0,'Données projet'!$E$16+1,1))-AVERAGE(OFFSET($H$3,0,0,'Données projet'!$E$16+1,1))</f>
        <v>385.97853124853452</v>
      </c>
      <c r="FK39" s="62">
        <f t="shared" si="48"/>
        <v>300.99118099739695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132.280299502248</v>
      </c>
      <c r="T40" s="62">
        <f t="shared" si="34"/>
        <v>337.98099449405339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54.54142868475904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0.16270406676312477</v>
      </c>
      <c r="AC40" s="24">
        <f t="shared" si="3"/>
        <v>54.704132751522167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7.8</v>
      </c>
      <c r="AI40" s="14">
        <f>IF('Données projet'!$A$62&gt;35,AI39+AH40-AQ39,IF(A40&lt;'Données projet'!$A$62,$AF$205^A40,IF(A40='Données projet'!$A$62,'Données projet'!$B$62,AI39+AH40-AQ39)))</f>
        <v>113.59999999999998</v>
      </c>
      <c r="AJ40" s="14">
        <f>AI40*VLOOKUP('Données projet'!$B$10,Paramètres!$A$1:$I$89,3,0)*VLOOKUP('Données projet'!$B$10,Paramètres!$A$1:$I$89,5,0)</f>
        <v>102.78527999999999</v>
      </c>
      <c r="AK40" s="14">
        <f t="shared" si="35"/>
        <v>27.624487443976534</v>
      </c>
      <c r="AL40" s="22">
        <f t="shared" si="4"/>
        <v>227.1303449649258</v>
      </c>
      <c r="AM40" s="62">
        <f t="shared" si="5"/>
        <v>520.46367829825908</v>
      </c>
      <c r="AN40" s="62">
        <f ca="1">AVERAGE(OFFSET($AM$3,0,0,'Données projet'!$E$10+1,1))-AVERAGE(OFFSET($H$3,0,0,'Données projet'!$E$10+1,1))</f>
        <v>430.40491895612814</v>
      </c>
      <c r="AO40" s="62">
        <f t="shared" si="36"/>
        <v>231.36959598460686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12.4</v>
      </c>
      <c r="BD40" s="13">
        <f>IF('Données projet'!$A$88&gt;35,BD39+BC40-BL39,IF(A40&lt;'Données projet'!$A$88,$BA$205^A40,IF(A40='Données projet'!$A$88,'Données projet'!$B$88,BD39+BC40-BL39)))</f>
        <v>170.8</v>
      </c>
      <c r="BE40" s="14">
        <f>BD40*VLOOKUP('Données projet'!$B$11,Paramètres!$A$1:$I$89,3,0)*VLOOKUP('Données projet'!$B$11,Paramètres!$A$1:$I$89,5,0)</f>
        <v>102.13840000000002</v>
      </c>
      <c r="BF40" s="14">
        <f t="shared" si="37"/>
        <v>27.470812821300004</v>
      </c>
      <c r="BG40" s="22">
        <f t="shared" si="7"/>
        <v>225.7360456637642</v>
      </c>
      <c r="BH40" s="62">
        <f t="shared" si="8"/>
        <v>519.06937899709749</v>
      </c>
      <c r="BI40" s="62">
        <f ca="1">AVERAGE(OFFSET($BH$3,0,0,'Données projet'!$E$11+1,1))-AVERAGE(OFFSET($H$3,0,0,'Données projet'!$E$11+1,1))</f>
        <v>295.83974441964551</v>
      </c>
      <c r="BJ40" s="62">
        <f t="shared" si="38"/>
        <v>212.24900914818096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15.2</v>
      </c>
      <c r="BY40" s="13">
        <f>IF('Données projet'!$A$114&gt;35,BY39+BX40-CG39,IF(A40&lt;'Données projet'!$A$114,$BV$205^A40,IF(A40='Données projet'!$A$114,'Données projet'!$B$114,BY39+BX40-CG39)))</f>
        <v>210.39999999999998</v>
      </c>
      <c r="BZ40" s="14">
        <f>BY40*VLOOKUP('Données projet'!$B$12,Paramètres!$A$1:$I$89,3,0)*VLOOKUP('Données projet'!$B$12,Paramètres!$A$1:$I$89,5,0)</f>
        <v>120.3488</v>
      </c>
      <c r="CA40" s="14">
        <f t="shared" si="39"/>
        <v>31.756337418906501</v>
      </c>
      <c r="CB40" s="22">
        <f t="shared" si="10"/>
        <v>264.91644767126212</v>
      </c>
      <c r="CC40" s="62">
        <f t="shared" si="11"/>
        <v>558.24978100459543</v>
      </c>
      <c r="CD40" s="62">
        <f ca="1">AVERAGE(OFFSET($CC$3,0,0,'Données projet'!$E$12+1,1))-AVERAGE(OFFSET($H$3,0,0,'Données projet'!$E$12+1,1))</f>
        <v>309.71642374647882</v>
      </c>
      <c r="CE40" s="62">
        <f t="shared" si="40"/>
        <v>266.63880397664315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2.0168223177365379</v>
      </c>
      <c r="CM40" s="23">
        <f>EXP(-LN(2)/2)*CM39+(1-EXP(-LN(2)/2))/(LN(2)/2)*CG40*CJ40*VLOOKUP('Données projet'!$B$12,Paramètres!$A$1:$I$89,3,0)*0.475*44/12</f>
        <v>0.70323271413853972</v>
      </c>
      <c r="CN40" s="24">
        <f t="shared" si="12"/>
        <v>2.7200550318750776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9.6</v>
      </c>
      <c r="CT40" s="13">
        <f>IF('Données projet'!$A$140&gt;35,CT39+CS40-DB39,IF(A40&lt;'Données projet'!$A$140,$CQ$205^A40,IF(A40='Données projet'!$A$140,'Données projet'!$B$140,CT39+CS40-DB39)))</f>
        <v>191.1999999999999</v>
      </c>
      <c r="CU40" s="18">
        <f>CT40*VLOOKUP('Données projet'!$B$13,Paramètres!$A$1:$I$89,3,0)*VLOOKUP('Données projet'!$B$13,Paramètres!$A$1:$I$89,5,0)</f>
        <v>152.11871999999994</v>
      </c>
      <c r="CV40" s="14">
        <f t="shared" si="41"/>
        <v>39.059678596099225</v>
      </c>
      <c r="CW40" s="22">
        <f t="shared" si="13"/>
        <v>332.96904422153938</v>
      </c>
      <c r="CX40" s="62">
        <f t="shared" si="14"/>
        <v>626.30237755487269</v>
      </c>
      <c r="CY40" s="62">
        <f ca="1">AVERAGE(OFFSET($CX$3,0,0,'Données projet'!$E$13+1,1))-AVERAGE(OFFSET($H$3,0,0,'Données projet'!$E$13+1,1))</f>
        <v>312.53381881960331</v>
      </c>
      <c r="CZ40" s="62">
        <f t="shared" si="42"/>
        <v>342.06887933351783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7.8</v>
      </c>
      <c r="DO40" s="13">
        <f>IF('Données projet'!$A$166&gt;35,DO39+DN40-DW39,IF(A40&lt;'Données projet'!$A$166,$DL$205^A40,IF(A40='Données projet'!$A$166,'Données projet'!$B$166,DO39+DN40-DW39)))</f>
        <v>113.59999999999998</v>
      </c>
      <c r="DP40" s="18">
        <f>DO40*VLOOKUP('Données projet'!$B$14,Paramètres!$A$1:$I$89,3,0)*VLOOKUP('Données projet'!$B$14,Paramètres!$A$1:$I$89,5,0)</f>
        <v>122.27903999999998</v>
      </c>
      <c r="DQ40" s="14">
        <f t="shared" si="43"/>
        <v>32.205964520250909</v>
      </c>
      <c r="DR40" s="22">
        <f t="shared" si="16"/>
        <v>269.06138287277031</v>
      </c>
      <c r="DS40" s="62">
        <f t="shared" si="17"/>
        <v>562.39471620610357</v>
      </c>
      <c r="DT40" s="62">
        <f ca="1">AVERAGE(OFFSET($DS$3,0,0,'Données projet'!$E$14+1,1))-AVERAGE(OFFSET($H$3,0,0,'Données projet'!$E$14+1,1))</f>
        <v>503.92230226365683</v>
      </c>
      <c r="DU40" s="62">
        <f t="shared" si="44"/>
        <v>267.2998309535638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7.8</v>
      </c>
      <c r="EJ40" s="13">
        <f>IF('Données projet'!$A$192&gt;35,EJ39+EI40-ER39,IF(A40&lt;'Données projet'!$A$192,$EG$205^A40,IF(A40='Données projet'!$A$192,'Données projet'!$B$192,EJ39+EI40-ER39)))</f>
        <v>113.59999999999998</v>
      </c>
      <c r="EK40" s="18">
        <f>EJ40*VLOOKUP('Données projet'!$B$15,Paramètres!$A$1:$I$89,3,0)*VLOOKUP('Données projet'!$B$15,Paramètres!$A$1:$I$89,5,0)</f>
        <v>109.87391999999998</v>
      </c>
      <c r="EL40" s="14">
        <f t="shared" si="45"/>
        <v>29.301277158742192</v>
      </c>
      <c r="EM40" s="22">
        <f t="shared" si="19"/>
        <v>242.39680171814265</v>
      </c>
      <c r="EN40" s="62">
        <f t="shared" si="20"/>
        <v>535.73013505147594</v>
      </c>
      <c r="EO40" s="62">
        <f ca="1">AVERAGE(OFFSET($EN$3,0,0,'Données projet'!$E$15+1,1))-AVERAGE(OFFSET($H$3,0,0,'Données projet'!$E$15+1,1))</f>
        <v>457.16923206840744</v>
      </c>
      <c r="EP40" s="62">
        <f t="shared" si="46"/>
        <v>244.45149244446094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9.8000000000000007</v>
      </c>
      <c r="FE40" s="13">
        <f>IF('Données projet'!$A$218&gt;35,FE39+FD40-FM39,IF(A40&lt;'Données projet'!$A$218,$FB$205^A40,IF(A40='Données projet'!$A$218,'Données projet'!$B$218,FE39+FD40-FM39)))</f>
        <v>208.6</v>
      </c>
      <c r="FF40" s="18">
        <f>FE40*VLOOKUP('Données projet'!$B$16,Paramètres!$A$1:$I$89,3,0)*VLOOKUP('Données projet'!$B$16,Paramètres!$A$1:$I$89,5,0)</f>
        <v>139.92887999999999</v>
      </c>
      <c r="FG40" s="14">
        <f t="shared" si="47"/>
        <v>36.280712419916476</v>
      </c>
      <c r="FH40" s="22">
        <f t="shared" si="22"/>
        <v>306.89837346468784</v>
      </c>
      <c r="FI40" s="62">
        <f t="shared" si="23"/>
        <v>600.23170679802115</v>
      </c>
      <c r="FJ40" s="62">
        <f ca="1">AVERAGE(OFFSET($FI$3,0,0,'Données projet'!$E$16+1,1))-AVERAGE(OFFSET($H$3,0,0,'Données projet'!$E$16+1,1))</f>
        <v>385.97853124853452</v>
      </c>
      <c r="FK40" s="62">
        <f t="shared" si="48"/>
        <v>300.99118099739695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132.280299502248</v>
      </c>
      <c r="T41" s="62">
        <f t="shared" si="34"/>
        <v>337.98099449405339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53.47190453523757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0.1150491489348343</v>
      </c>
      <c r="AC41" s="24">
        <f t="shared" si="3"/>
        <v>53.586953684172407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7.8</v>
      </c>
      <c r="AI41" s="14">
        <f>IF('Données projet'!$A$62&gt;35,AI40+AH41-AQ40,IF(A41&lt;'Données projet'!$A$62,$AF$205^A41,IF(A41='Données projet'!$A$62,'Données projet'!$B$62,AI40+AH41-AQ40)))</f>
        <v>121.39999999999998</v>
      </c>
      <c r="AJ41" s="14">
        <f>AI41*VLOOKUP('Données projet'!$B$10,Paramètres!$A$1:$I$89,3,0)*VLOOKUP('Données projet'!$B$10,Paramètres!$A$1:$I$89,5,0)</f>
        <v>109.84271999999997</v>
      </c>
      <c r="AK41" s="14">
        <f t="shared" si="35"/>
        <v>29.293925092514947</v>
      </c>
      <c r="AL41" s="22">
        <f t="shared" si="4"/>
        <v>242.32965686946343</v>
      </c>
      <c r="AM41" s="62">
        <f t="shared" si="5"/>
        <v>535.66299020279678</v>
      </c>
      <c r="AN41" s="62">
        <f ca="1">AVERAGE(OFFSET($AM$3,0,0,'Données projet'!$E$10+1,1))-AVERAGE(OFFSET($H$3,0,0,'Données projet'!$E$10+1,1))</f>
        <v>430.40491895612814</v>
      </c>
      <c r="AO41" s="62">
        <f t="shared" si="36"/>
        <v>231.36959598460686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12.4</v>
      </c>
      <c r="BD41" s="13">
        <f>IF('Données projet'!$A$88&gt;35,BD40+BC41-BL40,IF(A41&lt;'Données projet'!$A$88,$BA$205^A41,IF(A41='Données projet'!$A$88,'Données projet'!$B$88,BD40+BC41-BL40)))</f>
        <v>183.20000000000002</v>
      </c>
      <c r="BE41" s="14">
        <f>BD41*VLOOKUP('Données projet'!$B$11,Paramètres!$A$1:$I$89,3,0)*VLOOKUP('Données projet'!$B$11,Paramètres!$A$1:$I$89,5,0)</f>
        <v>109.55360000000002</v>
      </c>
      <c r="BF41" s="14">
        <f t="shared" si="37"/>
        <v>29.225784372214765</v>
      </c>
      <c r="BG41" s="22">
        <f t="shared" si="7"/>
        <v>241.70742778160744</v>
      </c>
      <c r="BH41" s="62">
        <f t="shared" si="8"/>
        <v>535.04076111494078</v>
      </c>
      <c r="BI41" s="62">
        <f ca="1">AVERAGE(OFFSET($BH$3,0,0,'Données projet'!$E$11+1,1))-AVERAGE(OFFSET($H$3,0,0,'Données projet'!$E$11+1,1))</f>
        <v>295.83974441964551</v>
      </c>
      <c r="BJ41" s="62">
        <f t="shared" si="38"/>
        <v>212.24900914818096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15.2</v>
      </c>
      <c r="BY41" s="13">
        <f>IF('Données projet'!$A$114&gt;35,BY40+BX41-CG40,IF(A41&lt;'Données projet'!$A$114,$BV$205^A41,IF(A41='Données projet'!$A$114,'Données projet'!$B$114,BY40+BX41-CG40)))</f>
        <v>225.59999999999997</v>
      </c>
      <c r="BZ41" s="14">
        <f>BY41*VLOOKUP('Données projet'!$B$12,Paramètres!$A$1:$I$89,3,0)*VLOOKUP('Données projet'!$B$12,Paramètres!$A$1:$I$89,5,0)</f>
        <v>129.04319999999998</v>
      </c>
      <c r="CA41" s="14">
        <f t="shared" si="39"/>
        <v>33.775175980637393</v>
      </c>
      <c r="CB41" s="22">
        <f t="shared" si="10"/>
        <v>283.57533816627671</v>
      </c>
      <c r="CC41" s="62">
        <f t="shared" si="11"/>
        <v>576.90867149961002</v>
      </c>
      <c r="CD41" s="62">
        <f ca="1">AVERAGE(OFFSET($CC$3,0,0,'Données projet'!$E$12+1,1))-AVERAGE(OFFSET($H$3,0,0,'Données projet'!$E$12+1,1))</f>
        <v>309.71642374647882</v>
      </c>
      <c r="CE41" s="62">
        <f t="shared" si="40"/>
        <v>266.63880397664315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1.9616722053979561</v>
      </c>
      <c r="CM41" s="23">
        <f>EXP(-LN(2)/2)*CM40+(1-EXP(-LN(2)/2))/(LN(2)/2)*CG41*CJ41*VLOOKUP('Données projet'!$B$12,Paramètres!$A$1:$I$89,3,0)*0.475*44/12</f>
        <v>0.49726062091958234</v>
      </c>
      <c r="CN41" s="24">
        <f t="shared" si="12"/>
        <v>2.4589328263175383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9.6</v>
      </c>
      <c r="CT41" s="13">
        <f>IF('Données projet'!$A$140&gt;35,CT40+CS41-DB40,IF(A41&lt;'Données projet'!$A$140,$CQ$205^A41,IF(A41='Données projet'!$A$140,'Données projet'!$B$140,CT40+CS41-DB40)))</f>
        <v>200.7999999999999</v>
      </c>
      <c r="CU41" s="18">
        <f>CT41*VLOOKUP('Données projet'!$B$13,Paramètres!$A$1:$I$89,3,0)*VLOOKUP('Données projet'!$B$13,Paramètres!$A$1:$I$89,5,0)</f>
        <v>159.75647999999993</v>
      </c>
      <c r="CV41" s="14">
        <f t="shared" si="41"/>
        <v>40.787583922770757</v>
      </c>
      <c r="CW41" s="22">
        <f t="shared" si="13"/>
        <v>349.28091133215889</v>
      </c>
      <c r="CX41" s="62">
        <f t="shared" si="14"/>
        <v>642.61424466549215</v>
      </c>
      <c r="CY41" s="62">
        <f ca="1">AVERAGE(OFFSET($CX$3,0,0,'Données projet'!$E$13+1,1))-AVERAGE(OFFSET($H$3,0,0,'Données projet'!$E$13+1,1))</f>
        <v>312.53381881960331</v>
      </c>
      <c r="CZ41" s="62">
        <f t="shared" si="42"/>
        <v>342.06887933351783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7.8</v>
      </c>
      <c r="DO41" s="13">
        <f>IF('Données projet'!$A$166&gt;35,DO40+DN41-DW40,IF(A41&lt;'Données projet'!$A$166,$DL$205^A41,IF(A41='Données projet'!$A$166,'Données projet'!$B$166,DO40+DN41-DW40)))</f>
        <v>121.39999999999998</v>
      </c>
      <c r="DP41" s="18">
        <f>DO41*VLOOKUP('Données projet'!$B$14,Paramètres!$A$1:$I$89,3,0)*VLOOKUP('Données projet'!$B$14,Paramètres!$A$1:$I$89,5,0)</f>
        <v>130.67495999999997</v>
      </c>
      <c r="DQ41" s="14">
        <f t="shared" si="43"/>
        <v>34.15227573368567</v>
      </c>
      <c r="DR41" s="22">
        <f t="shared" si="16"/>
        <v>287.07410223616915</v>
      </c>
      <c r="DS41" s="62">
        <f t="shared" si="17"/>
        <v>580.40743556950247</v>
      </c>
      <c r="DT41" s="62">
        <f ca="1">AVERAGE(OFFSET($DS$3,0,0,'Données projet'!$E$14+1,1))-AVERAGE(OFFSET($H$3,0,0,'Données projet'!$E$14+1,1))</f>
        <v>503.92230226365683</v>
      </c>
      <c r="DU41" s="62">
        <f t="shared" si="44"/>
        <v>267.2998309535638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7.8</v>
      </c>
      <c r="EJ41" s="13">
        <f>IF('Données projet'!$A$192&gt;35,EJ40+EI41-ER40,IF(A41&lt;'Données projet'!$A$192,$EG$205^A41,IF(A41='Données projet'!$A$192,'Données projet'!$B$192,EJ40+EI41-ER40)))</f>
        <v>121.39999999999998</v>
      </c>
      <c r="EK41" s="18">
        <f>EJ41*VLOOKUP('Données projet'!$B$15,Paramètres!$A$1:$I$89,3,0)*VLOOKUP('Données projet'!$B$15,Paramètres!$A$1:$I$89,5,0)</f>
        <v>117.41807999999999</v>
      </c>
      <c r="EL41" s="14">
        <f t="shared" si="45"/>
        <v>31.072048664938194</v>
      </c>
      <c r="EM41" s="22">
        <f t="shared" si="19"/>
        <v>258.62030742476736</v>
      </c>
      <c r="EN41" s="62">
        <f t="shared" si="20"/>
        <v>551.95364075810062</v>
      </c>
      <c r="EO41" s="62">
        <f ca="1">AVERAGE(OFFSET($EN$3,0,0,'Données projet'!$E$15+1,1))-AVERAGE(OFFSET($H$3,0,0,'Données projet'!$E$15+1,1))</f>
        <v>457.16923206840744</v>
      </c>
      <c r="EP41" s="62">
        <f t="shared" si="46"/>
        <v>244.45149244446094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9.8000000000000007</v>
      </c>
      <c r="FE41" s="13">
        <f>IF('Données projet'!$A$218&gt;35,FE40+FD41-FM40,IF(A41&lt;'Données projet'!$A$218,$FB$205^A41,IF(A41='Données projet'!$A$218,'Données projet'!$B$218,FE40+FD41-FM40)))</f>
        <v>218.4</v>
      </c>
      <c r="FF41" s="18">
        <f>FE41*VLOOKUP('Données projet'!$B$16,Paramètres!$A$1:$I$89,3,0)*VLOOKUP('Données projet'!$B$16,Paramètres!$A$1:$I$89,5,0)</f>
        <v>146.50272000000001</v>
      </c>
      <c r="FG41" s="14">
        <f t="shared" si="47"/>
        <v>37.782728258994219</v>
      </c>
      <c r="FH41" s="22">
        <f t="shared" si="22"/>
        <v>320.96382238441493</v>
      </c>
      <c r="FI41" s="62">
        <f t="shared" si="23"/>
        <v>614.29715571774818</v>
      </c>
      <c r="FJ41" s="62">
        <f ca="1">AVERAGE(OFFSET($FI$3,0,0,'Données projet'!$E$16+1,1))-AVERAGE(OFFSET($H$3,0,0,'Données projet'!$E$16+1,1))</f>
        <v>385.97853124853452</v>
      </c>
      <c r="FK41" s="62">
        <f t="shared" si="48"/>
        <v>300.99118099739695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132.280299502248</v>
      </c>
      <c r="T42" s="62">
        <f t="shared" si="34"/>
        <v>337.98099449405339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52.423353101942901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8.1352033381562397E-2</v>
      </c>
      <c r="AC42" s="24">
        <f t="shared" si="3"/>
        <v>52.504705135324464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7.8</v>
      </c>
      <c r="AI42" s="14">
        <f>IF('Données projet'!$A$62&gt;35,AI41+AH42-AQ41,IF(A42&lt;'Données projet'!$A$62,$AF$205^A42,IF(A42='Données projet'!$A$62,'Données projet'!$B$62,AI41+AH42-AQ41)))</f>
        <v>129.19999999999999</v>
      </c>
      <c r="AJ42" s="14">
        <f>AI42*VLOOKUP('Données projet'!$B$10,Paramètres!$A$1:$I$89,3,0)*VLOOKUP('Données projet'!$B$10,Paramètres!$A$1:$I$89,5,0)</f>
        <v>116.90016</v>
      </c>
      <c r="AK42" s="14">
        <f t="shared" si="35"/>
        <v>30.950914970772502</v>
      </c>
      <c r="AL42" s="22">
        <f t="shared" si="4"/>
        <v>257.5072889074288</v>
      </c>
      <c r="AM42" s="62">
        <f t="shared" si="5"/>
        <v>550.84062224076206</v>
      </c>
      <c r="AN42" s="62">
        <f ca="1">AVERAGE(OFFSET($AM$3,0,0,'Données projet'!$E$10+1,1))-AVERAGE(OFFSET($H$3,0,0,'Données projet'!$E$10+1,1))</f>
        <v>430.40491895612814</v>
      </c>
      <c r="AO42" s="62">
        <f t="shared" si="36"/>
        <v>231.36959598460686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12.4</v>
      </c>
      <c r="BD42" s="13">
        <f>IF('Données projet'!$A$88&gt;35,BD41+BC42-BL41,IF(A42&lt;'Données projet'!$A$88,$BA$205^A42,IF(A42='Données projet'!$A$88,'Données projet'!$B$88,BD41+BC42-BL41)))</f>
        <v>195.60000000000002</v>
      </c>
      <c r="BE42" s="14">
        <f>BD42*VLOOKUP('Données projet'!$B$11,Paramètres!$A$1:$I$89,3,0)*VLOOKUP('Données projet'!$B$11,Paramètres!$A$1:$I$89,5,0)</f>
        <v>116.96880000000002</v>
      </c>
      <c r="BF42" s="14">
        <f t="shared" si="37"/>
        <v>30.966972418998537</v>
      </c>
      <c r="BG42" s="22">
        <f t="shared" si="7"/>
        <v>257.6548036297558</v>
      </c>
      <c r="BH42" s="62">
        <f t="shared" si="8"/>
        <v>550.98813696308912</v>
      </c>
      <c r="BI42" s="62">
        <f ca="1">AVERAGE(OFFSET($BH$3,0,0,'Données projet'!$E$11+1,1))-AVERAGE(OFFSET($H$3,0,0,'Données projet'!$E$11+1,1))</f>
        <v>295.83974441964551</v>
      </c>
      <c r="BJ42" s="62">
        <f t="shared" si="38"/>
        <v>212.24900914818096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15.2</v>
      </c>
      <c r="BY42" s="13">
        <f>IF('Données projet'!$A$114&gt;35,BY41+BX42-CG41,IF(A42&lt;'Données projet'!$A$114,$BV$205^A42,IF(A42='Données projet'!$A$114,'Données projet'!$B$114,BY41+BX42-CG41)))</f>
        <v>240.79999999999995</v>
      </c>
      <c r="BZ42" s="14">
        <f>BY42*VLOOKUP('Données projet'!$B$12,Paramètres!$A$1:$I$89,3,0)*VLOOKUP('Données projet'!$B$12,Paramètres!$A$1:$I$89,5,0)</f>
        <v>137.73759999999999</v>
      </c>
      <c r="CA42" s="14">
        <f t="shared" si="39"/>
        <v>35.778231015585945</v>
      </c>
      <c r="CB42" s="22">
        <f t="shared" si="10"/>
        <v>302.20673901881219</v>
      </c>
      <c r="CC42" s="62">
        <f t="shared" si="11"/>
        <v>595.54007235214544</v>
      </c>
      <c r="CD42" s="62">
        <f ca="1">AVERAGE(OFFSET($CC$3,0,0,'Données projet'!$E$12+1,1))-AVERAGE(OFFSET($H$3,0,0,'Données projet'!$E$12+1,1))</f>
        <v>309.71642374647882</v>
      </c>
      <c r="CE42" s="62">
        <f t="shared" si="40"/>
        <v>266.63880397664315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1.908030175781491</v>
      </c>
      <c r="CM42" s="23">
        <f>EXP(-LN(2)/2)*CM41+(1-EXP(-LN(2)/2))/(LN(2)/2)*CG42*CJ42*VLOOKUP('Données projet'!$B$12,Paramètres!$A$1:$I$89,3,0)*0.475*44/12</f>
        <v>0.35161635706926991</v>
      </c>
      <c r="CN42" s="24">
        <f t="shared" si="12"/>
        <v>2.2596465328507609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9.6</v>
      </c>
      <c r="CT42" s="13">
        <f>IF('Données projet'!$A$140&gt;35,CT41+CS42-DB41,IF(A42&lt;'Données projet'!$A$140,$CQ$205^A42,IF(A42='Données projet'!$A$140,'Données projet'!$B$140,CT41+CS42-DB41)))</f>
        <v>210.39999999999989</v>
      </c>
      <c r="CU42" s="18">
        <f>CT42*VLOOKUP('Données projet'!$B$13,Paramètres!$A$1:$I$89,3,0)*VLOOKUP('Données projet'!$B$13,Paramètres!$A$1:$I$89,5,0)</f>
        <v>167.39423999999991</v>
      </c>
      <c r="CV42" s="14">
        <f t="shared" si="41"/>
        <v>42.505896406938106</v>
      </c>
      <c r="CW42" s="22">
        <f t="shared" si="13"/>
        <v>365.57607090875041</v>
      </c>
      <c r="CX42" s="62">
        <f t="shared" si="14"/>
        <v>658.90940424208372</v>
      </c>
      <c r="CY42" s="62">
        <f ca="1">AVERAGE(OFFSET($CX$3,0,0,'Données projet'!$E$13+1,1))-AVERAGE(OFFSET($H$3,0,0,'Données projet'!$E$13+1,1))</f>
        <v>312.53381881960331</v>
      </c>
      <c r="CZ42" s="62">
        <f t="shared" si="42"/>
        <v>342.06887933351783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7.8</v>
      </c>
      <c r="DO42" s="13">
        <f>IF('Données projet'!$A$166&gt;35,DO41+DN42-DW41,IF(A42&lt;'Données projet'!$A$166,$DL$205^A42,IF(A42='Données projet'!$A$166,'Données projet'!$B$166,DO41+DN42-DW41)))</f>
        <v>129.19999999999999</v>
      </c>
      <c r="DP42" s="18">
        <f>DO42*VLOOKUP('Données projet'!$B$14,Paramètres!$A$1:$I$89,3,0)*VLOOKUP('Données projet'!$B$14,Paramètres!$A$1:$I$89,5,0)</f>
        <v>139.07087999999999</v>
      </c>
      <c r="DQ42" s="14">
        <f t="shared" si="43"/>
        <v>36.084074734040144</v>
      </c>
      <c r="DR42" s="22">
        <f t="shared" si="16"/>
        <v>305.06154616178657</v>
      </c>
      <c r="DS42" s="62">
        <f t="shared" si="17"/>
        <v>598.39487949511988</v>
      </c>
      <c r="DT42" s="62">
        <f ca="1">AVERAGE(OFFSET($DS$3,0,0,'Données projet'!$E$14+1,1))-AVERAGE(OFFSET($H$3,0,0,'Données projet'!$E$14+1,1))</f>
        <v>503.92230226365683</v>
      </c>
      <c r="DU42" s="62">
        <f t="shared" si="44"/>
        <v>267.2998309535638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7.8</v>
      </c>
      <c r="EJ42" s="13">
        <f>IF('Données projet'!$A$192&gt;35,EJ41+EI42-ER41,IF(A42&lt;'Données projet'!$A$192,$EG$205^A42,IF(A42='Données projet'!$A$192,'Données projet'!$B$192,EJ41+EI42-ER41)))</f>
        <v>129.19999999999999</v>
      </c>
      <c r="EK42" s="18">
        <f>EJ42*VLOOKUP('Données projet'!$B$15,Paramètres!$A$1:$I$89,3,0)*VLOOKUP('Données projet'!$B$15,Paramètres!$A$1:$I$89,5,0)</f>
        <v>124.96224000000001</v>
      </c>
      <c r="EL42" s="14">
        <f t="shared" si="45"/>
        <v>32.829616828710314</v>
      </c>
      <c r="EM42" s="22">
        <f t="shared" si="19"/>
        <v>274.82081731000375</v>
      </c>
      <c r="EN42" s="62">
        <f t="shared" si="20"/>
        <v>568.15415064333706</v>
      </c>
      <c r="EO42" s="62">
        <f ca="1">AVERAGE(OFFSET($EN$3,0,0,'Données projet'!$E$15+1,1))-AVERAGE(OFFSET($H$3,0,0,'Données projet'!$E$15+1,1))</f>
        <v>457.16923206840744</v>
      </c>
      <c r="EP42" s="62">
        <f t="shared" si="46"/>
        <v>244.45149244446094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9.8000000000000007</v>
      </c>
      <c r="FE42" s="13">
        <f>IF('Données projet'!$A$218&gt;35,FE41+FD42-FM41,IF(A42&lt;'Données projet'!$A$218,$FB$205^A42,IF(A42='Données projet'!$A$218,'Données projet'!$B$218,FE41+FD42-FM41)))</f>
        <v>228.20000000000002</v>
      </c>
      <c r="FF42" s="18">
        <f>FE42*VLOOKUP('Données projet'!$B$16,Paramètres!$A$1:$I$89,3,0)*VLOOKUP('Données projet'!$B$16,Paramètres!$A$1:$I$89,5,0)</f>
        <v>153.07656</v>
      </c>
      <c r="FG42" s="14">
        <f t="shared" si="47"/>
        <v>39.276916632361349</v>
      </c>
      <c r="FH42" s="22">
        <f t="shared" si="22"/>
        <v>335.01563846802929</v>
      </c>
      <c r="FI42" s="62">
        <f t="shared" si="23"/>
        <v>628.34897180136261</v>
      </c>
      <c r="FJ42" s="62">
        <f ca="1">AVERAGE(OFFSET($FI$3,0,0,'Données projet'!$E$16+1,1))-AVERAGE(OFFSET($H$3,0,0,'Données projet'!$E$16+1,1))</f>
        <v>385.97853124853452</v>
      </c>
      <c r="FK42" s="62">
        <f t="shared" si="48"/>
        <v>300.99118099739695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132.280299502248</v>
      </c>
      <c r="T43" s="62">
        <f t="shared" si="34"/>
        <v>337.98099449405339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51.395363122701916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5.7524574467417156E-2</v>
      </c>
      <c r="AC43" s="24">
        <f t="shared" si="3"/>
        <v>51.452887697169331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7.8</v>
      </c>
      <c r="AH43" s="13">
        <f t="array" ref="AH43">INDEX(AG:AG,MIN(IF(ISNUMBER(AG43:AG239),ROW(AG43:AG239),"")))</f>
        <v>7.8</v>
      </c>
      <c r="AI43" s="14">
        <f>IF('Données projet'!$A$62&gt;35,AI42+AH43-AQ42,IF(A43&lt;'Données projet'!$A$62,$AF$205^A43,IF(A43='Données projet'!$A$62,'Données projet'!$B$62,AI42+AH43-AQ42)))</f>
        <v>137</v>
      </c>
      <c r="AJ43" s="14">
        <f>AI43*VLOOKUP('Données projet'!$B$10,Paramètres!$A$1:$I$89,3,0)*VLOOKUP('Données projet'!$B$10,Paramètres!$A$1:$I$89,5,0)</f>
        <v>123.9576</v>
      </c>
      <c r="AK43" s="14">
        <f t="shared" si="35"/>
        <v>32.59629414926458</v>
      </c>
      <c r="AL43" s="22">
        <f t="shared" si="4"/>
        <v>272.6646989766358</v>
      </c>
      <c r="AM43" s="62">
        <f t="shared" si="5"/>
        <v>565.99803230996918</v>
      </c>
      <c r="AN43" s="62">
        <f ca="1">AVERAGE(OFFSET($AM$3,0,0,'Données projet'!$E$10+1,1))-AVERAGE(OFFSET($H$3,0,0,'Données projet'!$E$10+1,1))</f>
        <v>430.40491895612814</v>
      </c>
      <c r="AO43" s="62">
        <f t="shared" si="36"/>
        <v>231.36959598460686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208</v>
      </c>
      <c r="BB43" s="13">
        <f>VLOOKUP(A43,'Données projet'!$A$87:$I$107,9,0)</f>
        <v>12.4</v>
      </c>
      <c r="BC43" s="13">
        <f t="array" ref="BC43">INDEX(BB:BB,MIN(IF(ISNUMBER(BB43:BB239),ROW(BB43:BB239),"")))</f>
        <v>12.4</v>
      </c>
      <c r="BD43" s="13">
        <f>IF('Données projet'!$A$88&gt;35,BD42+BC43-BL42,IF(A43&lt;'Données projet'!$A$88,$BA$205^A43,IF(A43='Données projet'!$A$88,'Données projet'!$B$88,BD42+BC43-BL42)))</f>
        <v>208.00000000000003</v>
      </c>
      <c r="BE43" s="14">
        <f>BD43*VLOOKUP('Données projet'!$B$11,Paramètres!$A$1:$I$89,3,0)*VLOOKUP('Données projet'!$B$11,Paramètres!$A$1:$I$89,5,0)</f>
        <v>124.38400000000003</v>
      </c>
      <c r="BF43" s="14">
        <f t="shared" si="37"/>
        <v>32.695350227217695</v>
      </c>
      <c r="BG43" s="22">
        <f t="shared" si="7"/>
        <v>273.57986831240419</v>
      </c>
      <c r="BH43" s="62">
        <f t="shared" si="8"/>
        <v>566.91320164573744</v>
      </c>
      <c r="BI43" s="62">
        <f ca="1">AVERAGE(OFFSET($BH$3,0,0,'Données projet'!$E$11+1,1))-AVERAGE(OFFSET($H$3,0,0,'Données projet'!$E$11+1,1))</f>
        <v>295.83974441964551</v>
      </c>
      <c r="BJ43" s="62">
        <f t="shared" si="38"/>
        <v>212.24900914818096</v>
      </c>
      <c r="BK43" s="16">
        <f>IF(ISNA(VLOOKUP(A43,'Données projet'!$A$87:$I$107,3,0)),0,VLOOKUP(A43,'Données projet'!$A$87:$I$107,3,0))</f>
        <v>4</v>
      </c>
      <c r="BL43" s="16">
        <f>IF(ISNA(VLOOKUP(A43,'Données projet'!$A$87:$I$107,4,0)),0,VLOOKUP(A43,'Données projet'!$A$87:$I$107,4,0))</f>
        <v>34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256</v>
      </c>
      <c r="BW43" s="13">
        <f>VLOOKUP(A43,'Données projet'!$A$113:$I$133,9,0)</f>
        <v>15.2</v>
      </c>
      <c r="BX43" s="13">
        <f t="array" ref="BX43">INDEX(BW:BW,MIN(IF(ISNUMBER(BW43:BW239),ROW(BW43:BW239),"")))</f>
        <v>15.2</v>
      </c>
      <c r="BY43" s="13">
        <f>IF('Données projet'!$A$114&gt;35,BY42+BX43-CG42,IF(A43&lt;'Données projet'!$A$114,$BV$205^A43,IF(A43='Données projet'!$A$114,'Données projet'!$B$114,BY42+BX43-CG42)))</f>
        <v>255.99999999999994</v>
      </c>
      <c r="BZ43" s="14">
        <f>BY43*VLOOKUP('Données projet'!$B$12,Paramètres!$A$1:$I$89,3,0)*VLOOKUP('Données projet'!$B$12,Paramètres!$A$1:$I$89,5,0)</f>
        <v>146.43199999999996</v>
      </c>
      <c r="CA43" s="14">
        <f t="shared" si="39"/>
        <v>37.766612239306838</v>
      </c>
      <c r="CB43" s="22">
        <f t="shared" si="10"/>
        <v>320.81258298345932</v>
      </c>
      <c r="CC43" s="62">
        <f t="shared" si="11"/>
        <v>614.14591631679264</v>
      </c>
      <c r="CD43" s="62">
        <f ca="1">AVERAGE(OFFSET($CC$3,0,0,'Données projet'!$E$12+1,1))-AVERAGE(OFFSET($H$3,0,0,'Données projet'!$E$12+1,1))</f>
        <v>309.71642374647882</v>
      </c>
      <c r="CE43" s="62">
        <f t="shared" si="40"/>
        <v>266.63880397664315</v>
      </c>
      <c r="CF43" s="16">
        <f>IF(ISNA(VLOOKUP(A43,'Données projet'!$A$113:$I$133,3,0)),0,VLOOKUP(A43,'Données projet'!$A$113:$I$133,3,0))</f>
        <v>5</v>
      </c>
      <c r="CG43" s="16">
        <f>IF(ISNA(VLOOKUP(A43,'Données projet'!$A$113:$I$133,4,0)),0,VLOOKUP(A43,'Données projet'!$A$113:$I$133,4,0))</f>
        <v>42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1.8558549902858001</v>
      </c>
      <c r="CM43" s="23">
        <f>EXP(-LN(2)/2)*CM42+(1-EXP(-LN(2)/2))/(LN(2)/2)*CG43*CJ43*VLOOKUP('Données projet'!$B$12,Paramètres!$A$1:$I$89,3,0)*0.475*44/12</f>
        <v>0.24863031045979123</v>
      </c>
      <c r="CN43" s="24">
        <f t="shared" si="12"/>
        <v>2.1044853007455915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220</v>
      </c>
      <c r="CR43" s="13">
        <f>VLOOKUP(A43,'Données projet'!$A$139:$I$159,9,0)</f>
        <v>9.6</v>
      </c>
      <c r="CS43" s="13">
        <f t="array" ref="CS43">INDEX(CR:CR,MIN(IF(ISNUMBER(CR43:CR239),ROW(CR43:CR239),"")))</f>
        <v>9.6</v>
      </c>
      <c r="CT43" s="13">
        <f>IF('Données projet'!$A$140&gt;35,CT42+CS43-DB42,IF(A43&lt;'Données projet'!$A$140,$CQ$205^A43,IF(A43='Données projet'!$A$140,'Données projet'!$B$140,CT42+CS43-DB42)))</f>
        <v>219.99999999999989</v>
      </c>
      <c r="CU43" s="18">
        <f>CT43*VLOOKUP('Données projet'!$B$13,Paramètres!$A$1:$I$89,3,0)*VLOOKUP('Données projet'!$B$13,Paramètres!$A$1:$I$89,5,0)</f>
        <v>175.03199999999993</v>
      </c>
      <c r="CV43" s="14">
        <f t="shared" si="41"/>
        <v>44.215103743191008</v>
      </c>
      <c r="CW43" s="22">
        <f t="shared" si="13"/>
        <v>381.85537235272426</v>
      </c>
      <c r="CX43" s="62">
        <f t="shared" si="14"/>
        <v>675.18870568605757</v>
      </c>
      <c r="CY43" s="62">
        <f ca="1">AVERAGE(OFFSET($CX$3,0,0,'Données projet'!$E$13+1,1))-AVERAGE(OFFSET($H$3,0,0,'Données projet'!$E$13+1,1))</f>
        <v>312.53381881960331</v>
      </c>
      <c r="CZ43" s="62">
        <f t="shared" si="42"/>
        <v>342.06887933351783</v>
      </c>
      <c r="DA43" s="16">
        <f>IF(ISNA(VLOOKUP(A43,'Données projet'!$A$139:$I$159,3,0)),0,VLOOKUP(A43,'Données projet'!$A$139:$I$159,3,0))</f>
        <v>3</v>
      </c>
      <c r="DB43" s="16">
        <f>IF(ISNA(VLOOKUP(A43,'Données projet'!$A$139:$I$159,4,0)),0,VLOOKUP(A43,'Données projet'!$A$139:$I$159,4,0))</f>
        <v>56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137</v>
      </c>
      <c r="DM43" s="13">
        <f>VLOOKUP(A43,'Données projet'!$A$165:$I$185,9,0)</f>
        <v>7.8</v>
      </c>
      <c r="DN43" s="13">
        <f t="array" ref="DN43">INDEX(DM:DM,MIN(IF(ISNUMBER(DM43:DM239),ROW(DM43:DM239),"")))</f>
        <v>7.8</v>
      </c>
      <c r="DO43" s="13">
        <f>IF('Données projet'!$A$166&gt;35,DO42+DN43-DW42,IF(A43&lt;'Données projet'!$A$166,$DL$205^A43,IF(A43='Données projet'!$A$166,'Données projet'!$B$166,DO42+DN43-DW42)))</f>
        <v>137</v>
      </c>
      <c r="DP43" s="18">
        <f>DO43*VLOOKUP('Données projet'!$B$14,Paramètres!$A$1:$I$89,3,0)*VLOOKUP('Données projet'!$B$14,Paramètres!$A$1:$I$89,5,0)</f>
        <v>147.46679999999998</v>
      </c>
      <c r="DQ43" s="14">
        <f t="shared" si="43"/>
        <v>38.002337418636273</v>
      </c>
      <c r="DR43" s="22">
        <f t="shared" si="16"/>
        <v>323.02541433745813</v>
      </c>
      <c r="DS43" s="62">
        <f t="shared" si="17"/>
        <v>616.35874767079144</v>
      </c>
      <c r="DT43" s="62">
        <f ca="1">AVERAGE(OFFSET($DS$3,0,0,'Données projet'!$E$14+1,1))-AVERAGE(OFFSET($H$3,0,0,'Données projet'!$E$14+1,1))</f>
        <v>503.92230226365683</v>
      </c>
      <c r="DU43" s="62">
        <f t="shared" si="44"/>
        <v>267.2998309535638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137</v>
      </c>
      <c r="EH43" s="13">
        <f>VLOOKUP(A43,'Données projet'!$A$191:$I$211,9,0)</f>
        <v>7.8</v>
      </c>
      <c r="EI43" s="13">
        <f t="array" ref="EI43">INDEX(EH:EH,MIN(IF(ISNUMBER(EH43:EH239),ROW(EH43:EH239),"")))</f>
        <v>7.8</v>
      </c>
      <c r="EJ43" s="13">
        <f>IF('Données projet'!$A$192&gt;35,EJ42+EI43-ER42,IF(A43&lt;'Données projet'!$A$192,$EG$205^A43,IF(A43='Données projet'!$A$192,'Données projet'!$B$192,EJ42+EI43-ER42)))</f>
        <v>137</v>
      </c>
      <c r="EK43" s="18">
        <f>EJ43*VLOOKUP('Données projet'!$B$15,Paramètres!$A$1:$I$89,3,0)*VLOOKUP('Données projet'!$B$15,Paramètres!$A$1:$I$89,5,0)</f>
        <v>132.50640000000001</v>
      </c>
      <c r="EL43" s="14">
        <f t="shared" si="45"/>
        <v>34.574869530248939</v>
      </c>
      <c r="EM43" s="22">
        <f t="shared" si="19"/>
        <v>290.99987776518356</v>
      </c>
      <c r="EN43" s="62">
        <f t="shared" si="20"/>
        <v>584.33321109851681</v>
      </c>
      <c r="EO43" s="62">
        <f ca="1">AVERAGE(OFFSET($EN$3,0,0,'Données projet'!$E$15+1,1))-AVERAGE(OFFSET($H$3,0,0,'Données projet'!$E$15+1,1))</f>
        <v>457.16923206840744</v>
      </c>
      <c r="EP43" s="62">
        <f t="shared" si="46"/>
        <v>244.45149244446094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238</v>
      </c>
      <c r="FC43" s="13">
        <f>VLOOKUP(A43,'Données projet'!$A$217:$I$237,9,0)</f>
        <v>9.8000000000000007</v>
      </c>
      <c r="FD43" s="13">
        <f t="array" ref="FD43">INDEX(FC:FC,MIN(IF(ISNUMBER(FC43:FC239),ROW(FC43:FC239),"")))</f>
        <v>9.8000000000000007</v>
      </c>
      <c r="FE43" s="13">
        <f>IF('Données projet'!$A$218&gt;35,FE42+FD43-FM42,IF(A43&lt;'Données projet'!$A$218,$FB$205^A43,IF(A43='Données projet'!$A$218,'Données projet'!$B$218,FE42+FD43-FM42)))</f>
        <v>238.00000000000003</v>
      </c>
      <c r="FF43" s="18">
        <f>FE43*VLOOKUP('Données projet'!$B$16,Paramètres!$A$1:$I$89,3,0)*VLOOKUP('Données projet'!$B$16,Paramètres!$A$1:$I$89,5,0)</f>
        <v>159.65040000000002</v>
      </c>
      <c r="FG43" s="14">
        <f t="shared" si="47"/>
        <v>40.763652115150705</v>
      </c>
      <c r="FH43" s="22">
        <f t="shared" si="22"/>
        <v>349.05447410055416</v>
      </c>
      <c r="FI43" s="62">
        <f t="shared" si="23"/>
        <v>642.38780743388747</v>
      </c>
      <c r="FJ43" s="62">
        <f ca="1">AVERAGE(OFFSET($FI$3,0,0,'Données projet'!$E$16+1,1))-AVERAGE(OFFSET($H$3,0,0,'Données projet'!$E$16+1,1))</f>
        <v>385.97853124853452</v>
      </c>
      <c r="FK43" s="62">
        <f t="shared" si="48"/>
        <v>300.99118099739695</v>
      </c>
      <c r="FL43" s="16">
        <f>IF(ISNA(VLOOKUP(A43,'Données projet'!$A$217:$I$237,3,0)),0,VLOOKUP(A43,'Données projet'!$A$217:$I$237,3,0))</f>
        <v>3</v>
      </c>
      <c r="FM43" s="16">
        <f>IF(ISNA(VLOOKUP(A43,'Données projet'!$A$217:$I$237,4,0)),0,VLOOKUP(A43,'Données projet'!$A$217:$I$237,4,0))</f>
        <v>44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132.280299502248</v>
      </c>
      <c r="T44" s="62">
        <f t="shared" si="34"/>
        <v>337.98099449405339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50.387531399941871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4.0676016690781205E-2</v>
      </c>
      <c r="AC44" s="24">
        <f t="shared" si="3"/>
        <v>50.428207416632652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145.4</v>
      </c>
      <c r="AJ44" s="14">
        <f>AI44*VLOOKUP('Données projet'!$B$10,Paramètres!$A$1:$I$89,3,0)*VLOOKUP('Données projet'!$B$10,Paramètres!$A$1:$I$89,5,0)</f>
        <v>131.55792</v>
      </c>
      <c r="AK44" s="14">
        <f t="shared" si="35"/>
        <v>34.3560989338864</v>
      </c>
      <c r="AL44" s="22">
        <f t="shared" si="4"/>
        <v>288.96691630985214</v>
      </c>
      <c r="AM44" s="62">
        <f t="shared" si="5"/>
        <v>582.30024964318545</v>
      </c>
      <c r="AN44" s="62">
        <f ca="1">AVERAGE(OFFSET($AM$3,0,0,'Données projet'!$E$10+1,1))-AVERAGE(OFFSET($H$3,0,0,'Données projet'!$E$10+1,1))</f>
        <v>430.40491895612814</v>
      </c>
      <c r="AO44" s="62">
        <f t="shared" si="36"/>
        <v>231.36959598460686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14.1</v>
      </c>
      <c r="BD44" s="13">
        <f>IF('Données projet'!$A$88&gt;35,BD43+BC44-BL43,IF(A44&lt;'Données projet'!$A$88,$BA$205^A44,IF(A44='Données projet'!$A$88,'Données projet'!$B$88,BD43+BC44-BL43)))</f>
        <v>188.10000000000002</v>
      </c>
      <c r="BE44" s="14">
        <f>BD44*VLOOKUP('Données projet'!$B$11,Paramètres!$A$1:$I$89,3,0)*VLOOKUP('Données projet'!$B$11,Paramètres!$A$1:$I$89,5,0)</f>
        <v>112.48380000000002</v>
      </c>
      <c r="BF44" s="14">
        <f t="shared" si="37"/>
        <v>29.915424563902814</v>
      </c>
      <c r="BG44" s="22">
        <f t="shared" si="7"/>
        <v>248.01198278213079</v>
      </c>
      <c r="BH44" s="62">
        <f t="shared" si="8"/>
        <v>541.34531611546413</v>
      </c>
      <c r="BI44" s="62">
        <f ca="1">AVERAGE(OFFSET($BH$3,0,0,'Données projet'!$E$11+1,1))-AVERAGE(OFFSET($H$3,0,0,'Données projet'!$E$11+1,1))</f>
        <v>295.83974441964551</v>
      </c>
      <c r="BJ44" s="62">
        <f t="shared" si="38"/>
        <v>212.24900914818096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13.8</v>
      </c>
      <c r="BY44" s="13">
        <f>IF('Données projet'!$A$114&gt;35,BY43+BX44-CG43,IF(A44&lt;'Données projet'!$A$114,$BV$205^A44,IF(A44='Données projet'!$A$114,'Données projet'!$B$114,BY43+BX44-CG43)))</f>
        <v>227.79999999999995</v>
      </c>
      <c r="BZ44" s="14">
        <f>BY44*VLOOKUP('Données projet'!$B$12,Paramètres!$A$1:$I$89,3,0)*VLOOKUP('Données projet'!$B$12,Paramètres!$A$1:$I$89,5,0)</f>
        <v>130.30159999999998</v>
      </c>
      <c r="CA44" s="14">
        <f t="shared" si="39"/>
        <v>34.066040835325218</v>
      </c>
      <c r="CB44" s="22">
        <f t="shared" si="10"/>
        <v>286.27364112152469</v>
      </c>
      <c r="CC44" s="62">
        <f t="shared" si="11"/>
        <v>579.606974454858</v>
      </c>
      <c r="CD44" s="62">
        <f ca="1">AVERAGE(OFFSET($CC$3,0,0,'Données projet'!$E$12+1,1))-AVERAGE(OFFSET($H$3,0,0,'Données projet'!$E$12+1,1))</f>
        <v>309.71642374647882</v>
      </c>
      <c r="CE44" s="62">
        <f t="shared" si="40"/>
        <v>266.63880397664315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1.8051065379812625</v>
      </c>
      <c r="CM44" s="23">
        <f>EXP(-LN(2)/2)*CM43+(1-EXP(-LN(2)/2))/(LN(2)/2)*CG44*CJ44*VLOOKUP('Données projet'!$B$12,Paramètres!$A$1:$I$89,3,0)*0.475*44/12</f>
        <v>0.17580817853463498</v>
      </c>
      <c r="CN44" s="24">
        <f t="shared" si="12"/>
        <v>1.9809147165158976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8.1999999999999993</v>
      </c>
      <c r="CT44" s="13">
        <f>IF('Données projet'!$A$140&gt;35,CT43+CS44-DB43,IF(A44&lt;'Données projet'!$A$140,$CQ$205^A44,IF(A44='Données projet'!$A$140,'Données projet'!$B$140,CT43+CS44-DB43)))</f>
        <v>172.19999999999987</v>
      </c>
      <c r="CU44" s="18">
        <f>CT44*VLOOKUP('Données projet'!$B$13,Paramètres!$A$1:$I$89,3,0)*VLOOKUP('Données projet'!$B$13,Paramètres!$A$1:$I$89,5,0)</f>
        <v>137.00231999999991</v>
      </c>
      <c r="CV44" s="14">
        <f t="shared" si="41"/>
        <v>35.609416420931318</v>
      </c>
      <c r="CW44" s="22">
        <f t="shared" si="13"/>
        <v>300.63210759978858</v>
      </c>
      <c r="CX44" s="62">
        <f t="shared" si="14"/>
        <v>593.96544093312195</v>
      </c>
      <c r="CY44" s="62">
        <f ca="1">AVERAGE(OFFSET($CX$3,0,0,'Données projet'!$E$13+1,1))-AVERAGE(OFFSET($H$3,0,0,'Données projet'!$E$13+1,1))</f>
        <v>312.53381881960331</v>
      </c>
      <c r="CZ44" s="62">
        <f t="shared" si="42"/>
        <v>342.06887933351783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8.4</v>
      </c>
      <c r="DO44" s="13">
        <f>IF('Données projet'!$A$166&gt;35,DO43+DN44-DW43,IF(A44&lt;'Données projet'!$A$166,$DL$205^A44,IF(A44='Données projet'!$A$166,'Données projet'!$B$166,DO43+DN44-DW43)))</f>
        <v>145.4</v>
      </c>
      <c r="DP44" s="18">
        <f>DO44*VLOOKUP('Données projet'!$B$14,Paramètres!$A$1:$I$89,3,0)*VLOOKUP('Données projet'!$B$14,Paramètres!$A$1:$I$89,5,0)</f>
        <v>156.50855999999999</v>
      </c>
      <c r="DQ44" s="14">
        <f t="shared" si="43"/>
        <v>40.054003013194027</v>
      </c>
      <c r="DR44" s="22">
        <f t="shared" si="16"/>
        <v>342.34646391464622</v>
      </c>
      <c r="DS44" s="62">
        <f t="shared" si="17"/>
        <v>635.67979724797954</v>
      </c>
      <c r="DT44" s="62">
        <f ca="1">AVERAGE(OFFSET($DS$3,0,0,'Données projet'!$E$14+1,1))-AVERAGE(OFFSET($H$3,0,0,'Données projet'!$E$14+1,1))</f>
        <v>503.92230226365683</v>
      </c>
      <c r="DU44" s="62">
        <f t="shared" si="44"/>
        <v>267.2998309535638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8.4</v>
      </c>
      <c r="EJ44" s="13">
        <f>IF('Données projet'!$A$192&gt;35,EJ43+EI44-ER43,IF(A44&lt;'Données projet'!$A$192,$EG$205^A44,IF(A44='Données projet'!$A$192,'Données projet'!$B$192,EJ43+EI44-ER43)))</f>
        <v>145.4</v>
      </c>
      <c r="EK44" s="18">
        <f>EJ44*VLOOKUP('Données projet'!$B$15,Paramètres!$A$1:$I$89,3,0)*VLOOKUP('Données projet'!$B$15,Paramètres!$A$1:$I$89,5,0)</f>
        <v>140.63087999999999</v>
      </c>
      <c r="EL44" s="14">
        <f t="shared" si="45"/>
        <v>36.441493403146445</v>
      </c>
      <c r="EM44" s="22">
        <f t="shared" si="19"/>
        <v>308.40105034381338</v>
      </c>
      <c r="EN44" s="62">
        <f t="shared" si="20"/>
        <v>601.73438367714675</v>
      </c>
      <c r="EO44" s="62">
        <f ca="1">AVERAGE(OFFSET($EN$3,0,0,'Données projet'!$E$15+1,1))-AVERAGE(OFFSET($H$3,0,0,'Données projet'!$E$15+1,1))</f>
        <v>457.16923206840744</v>
      </c>
      <c r="EP44" s="62">
        <f t="shared" si="46"/>
        <v>244.45149244446094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9</v>
      </c>
      <c r="FE44" s="13">
        <f>IF('Données projet'!$A$218&gt;35,FE43+FD44-FM43,IF(A44&lt;'Données projet'!$A$218,$FB$205^A44,IF(A44='Données projet'!$A$218,'Données projet'!$B$218,FE43+FD44-FM43)))</f>
        <v>203.00000000000003</v>
      </c>
      <c r="FF44" s="18">
        <f>FE44*VLOOKUP('Données projet'!$B$16,Paramètres!$A$1:$I$89,3,0)*VLOOKUP('Données projet'!$B$16,Paramètres!$A$1:$I$89,5,0)</f>
        <v>136.17240000000001</v>
      </c>
      <c r="FG44" s="14">
        <f t="shared" si="47"/>
        <v>35.418746447495963</v>
      </c>
      <c r="FH44" s="22">
        <f t="shared" si="22"/>
        <v>298.85458006272216</v>
      </c>
      <c r="FI44" s="62">
        <f t="shared" si="23"/>
        <v>592.18791339605548</v>
      </c>
      <c r="FJ44" s="62">
        <f ca="1">AVERAGE(OFFSET($FI$3,0,0,'Données projet'!$E$16+1,1))-AVERAGE(OFFSET($H$3,0,0,'Données projet'!$E$16+1,1))</f>
        <v>385.97853124853452</v>
      </c>
      <c r="FK44" s="62">
        <f t="shared" si="48"/>
        <v>300.99118099739695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132.280299502248</v>
      </c>
      <c r="T45" s="62">
        <f t="shared" si="34"/>
        <v>337.98099449405339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49.3994626425485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2.8762287233708581E-2</v>
      </c>
      <c r="AC45" s="24">
        <f t="shared" si="3"/>
        <v>49.42822492978221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153.80000000000001</v>
      </c>
      <c r="AJ45" s="14">
        <f>AI45*VLOOKUP('Données projet'!$B$10,Paramètres!$A$1:$I$89,3,0)*VLOOKUP('Données projet'!$B$10,Paramètres!$A$1:$I$89,5,0)</f>
        <v>139.15824000000001</v>
      </c>
      <c r="AK45" s="14">
        <f t="shared" si="35"/>
        <v>36.104102468715482</v>
      </c>
      <c r="AL45" s="22">
        <f t="shared" si="4"/>
        <v>305.24857979967942</v>
      </c>
      <c r="AM45" s="62">
        <f t="shared" si="5"/>
        <v>598.58191313301268</v>
      </c>
      <c r="AN45" s="62">
        <f ca="1">AVERAGE(OFFSET($AM$3,0,0,'Données projet'!$E$10+1,1))-AVERAGE(OFFSET($H$3,0,0,'Données projet'!$E$10+1,1))</f>
        <v>430.40491895612814</v>
      </c>
      <c r="AO45" s="62">
        <f t="shared" si="36"/>
        <v>231.36959598460686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14.1</v>
      </c>
      <c r="BD45" s="13">
        <f>IF('Données projet'!$A$88&gt;35,BD44+BC45-BL44,IF(A45&lt;'Données projet'!$A$88,$BA$205^A45,IF(A45='Données projet'!$A$88,'Données projet'!$B$88,BD44+BC45-BL44)))</f>
        <v>202.20000000000002</v>
      </c>
      <c r="BE45" s="14">
        <f>BD45*VLOOKUP('Données projet'!$B$11,Paramètres!$A$1:$I$89,3,0)*VLOOKUP('Données projet'!$B$11,Paramètres!$A$1:$I$89,5,0)</f>
        <v>120.91560000000003</v>
      </c>
      <c r="BF45" s="14">
        <f t="shared" si="37"/>
        <v>31.888453396738488</v>
      </c>
      <c r="BG45" s="22">
        <f t="shared" si="7"/>
        <v>266.13372633265288</v>
      </c>
      <c r="BH45" s="62">
        <f t="shared" si="8"/>
        <v>559.4670596659862</v>
      </c>
      <c r="BI45" s="62">
        <f ca="1">AVERAGE(OFFSET($BH$3,0,0,'Données projet'!$E$11+1,1))-AVERAGE(OFFSET($H$3,0,0,'Données projet'!$E$11+1,1))</f>
        <v>295.83974441964551</v>
      </c>
      <c r="BJ45" s="62">
        <f t="shared" si="38"/>
        <v>212.24900914818096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13.8</v>
      </c>
      <c r="BY45" s="13">
        <f>IF('Données projet'!$A$114&gt;35,BY44+BX45-CG44,IF(A45&lt;'Données projet'!$A$114,$BV$205^A45,IF(A45='Données projet'!$A$114,'Données projet'!$B$114,BY44+BX45-CG44)))</f>
        <v>241.59999999999997</v>
      </c>
      <c r="BZ45" s="14">
        <f>BY45*VLOOKUP('Données projet'!$B$12,Paramètres!$A$1:$I$89,3,0)*VLOOKUP('Données projet'!$B$12,Paramètres!$A$1:$I$89,5,0)</f>
        <v>138.1952</v>
      </c>
      <c r="CA45" s="14">
        <f t="shared" si="39"/>
        <v>35.883239453452433</v>
      </c>
      <c r="CB45" s="22">
        <f t="shared" si="10"/>
        <v>303.18661538142965</v>
      </c>
      <c r="CC45" s="62">
        <f t="shared" si="11"/>
        <v>596.5199487147629</v>
      </c>
      <c r="CD45" s="62">
        <f ca="1">AVERAGE(OFFSET($CC$3,0,0,'Données projet'!$E$12+1,1))-AVERAGE(OFFSET($H$3,0,0,'Données projet'!$E$12+1,1))</f>
        <v>309.71642374647882</v>
      </c>
      <c r="CE45" s="62">
        <f t="shared" si="40"/>
        <v>266.63880397664315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1.7557458047737378</v>
      </c>
      <c r="CM45" s="23">
        <f>EXP(-LN(2)/2)*CM44+(1-EXP(-LN(2)/2))/(LN(2)/2)*CG45*CJ45*VLOOKUP('Données projet'!$B$12,Paramètres!$A$1:$I$89,3,0)*0.475*44/12</f>
        <v>0.12431515522989563</v>
      </c>
      <c r="CN45" s="24">
        <f t="shared" si="12"/>
        <v>1.8800609600036333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8.1999999999999993</v>
      </c>
      <c r="CT45" s="13">
        <f>IF('Données projet'!$A$140&gt;35,CT44+CS45-DB44,IF(A45&lt;'Données projet'!$A$140,$CQ$205^A45,IF(A45='Données projet'!$A$140,'Données projet'!$B$140,CT44+CS45-DB44)))</f>
        <v>180.39999999999986</v>
      </c>
      <c r="CU45" s="18">
        <f>CT45*VLOOKUP('Données projet'!$B$13,Paramètres!$A$1:$I$89,3,0)*VLOOKUP('Données projet'!$B$13,Paramètres!$A$1:$I$89,5,0)</f>
        <v>143.52623999999989</v>
      </c>
      <c r="CV45" s="14">
        <f t="shared" si="41"/>
        <v>37.10364433723624</v>
      </c>
      <c r="CW45" s="22">
        <f t="shared" si="13"/>
        <v>314.59704855401958</v>
      </c>
      <c r="CX45" s="62">
        <f t="shared" si="14"/>
        <v>607.93038188735295</v>
      </c>
      <c r="CY45" s="62">
        <f ca="1">AVERAGE(OFFSET($CX$3,0,0,'Données projet'!$E$13+1,1))-AVERAGE(OFFSET($H$3,0,0,'Données projet'!$E$13+1,1))</f>
        <v>312.53381881960331</v>
      </c>
      <c r="CZ45" s="62">
        <f t="shared" si="42"/>
        <v>342.06887933351783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8.4</v>
      </c>
      <c r="DO45" s="13">
        <f>IF('Données projet'!$A$166&gt;35,DO44+DN45-DW44,IF(A45&lt;'Données projet'!$A$166,$DL$205^A45,IF(A45='Données projet'!$A$166,'Données projet'!$B$166,DO44+DN45-DW44)))</f>
        <v>153.80000000000001</v>
      </c>
      <c r="DP45" s="18">
        <f>DO45*VLOOKUP('Données projet'!$B$14,Paramètres!$A$1:$I$89,3,0)*VLOOKUP('Données projet'!$B$14,Paramètres!$A$1:$I$89,5,0)</f>
        <v>165.55032</v>
      </c>
      <c r="DQ45" s="14">
        <f t="shared" si="43"/>
        <v>42.091910139548794</v>
      </c>
      <c r="DR45" s="22">
        <f t="shared" si="16"/>
        <v>361.64355082638076</v>
      </c>
      <c r="DS45" s="62">
        <f t="shared" si="17"/>
        <v>654.97688415971402</v>
      </c>
      <c r="DT45" s="62">
        <f ca="1">AVERAGE(OFFSET($DS$3,0,0,'Données projet'!$E$14+1,1))-AVERAGE(OFFSET($H$3,0,0,'Données projet'!$E$14+1,1))</f>
        <v>503.92230226365683</v>
      </c>
      <c r="DU45" s="62">
        <f t="shared" si="44"/>
        <v>267.2998309535638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8.4</v>
      </c>
      <c r="EJ45" s="13">
        <f>IF('Données projet'!$A$192&gt;35,EJ44+EI45-ER44,IF(A45&lt;'Données projet'!$A$192,$EG$205^A45,IF(A45='Données projet'!$A$192,'Données projet'!$B$192,EJ44+EI45-ER44)))</f>
        <v>153.80000000000001</v>
      </c>
      <c r="EK45" s="18">
        <f>EJ45*VLOOKUP('Données projet'!$B$15,Paramètres!$A$1:$I$89,3,0)*VLOOKUP('Données projet'!$B$15,Paramètres!$A$1:$I$89,5,0)</f>
        <v>148.75536000000002</v>
      </c>
      <c r="EL45" s="14">
        <f t="shared" si="45"/>
        <v>38.295599697511591</v>
      </c>
      <c r="EM45" s="22">
        <f t="shared" si="19"/>
        <v>325.78042147316603</v>
      </c>
      <c r="EN45" s="62">
        <f t="shared" si="20"/>
        <v>619.1137548064994</v>
      </c>
      <c r="EO45" s="62">
        <f ca="1">AVERAGE(OFFSET($EN$3,0,0,'Données projet'!$E$15+1,1))-AVERAGE(OFFSET($H$3,0,0,'Données projet'!$E$15+1,1))</f>
        <v>457.16923206840744</v>
      </c>
      <c r="EP45" s="62">
        <f t="shared" si="46"/>
        <v>244.45149244446094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9</v>
      </c>
      <c r="FE45" s="13">
        <f>IF('Données projet'!$A$218&gt;35,FE44+FD45-FM44,IF(A45&lt;'Données projet'!$A$218,$FB$205^A45,IF(A45='Données projet'!$A$218,'Données projet'!$B$218,FE44+FD45-FM44)))</f>
        <v>212.00000000000003</v>
      </c>
      <c r="FF45" s="18">
        <f>FE45*VLOOKUP('Données projet'!$B$16,Paramètres!$A$1:$I$89,3,0)*VLOOKUP('Données projet'!$B$16,Paramètres!$A$1:$I$89,5,0)</f>
        <v>142.20960000000002</v>
      </c>
      <c r="FG45" s="14">
        <f t="shared" si="47"/>
        <v>36.802731569585646</v>
      </c>
      <c r="FH45" s="22">
        <f t="shared" si="22"/>
        <v>311.77981081702836</v>
      </c>
      <c r="FI45" s="62">
        <f t="shared" si="23"/>
        <v>605.11314415036168</v>
      </c>
      <c r="FJ45" s="62">
        <f ca="1">AVERAGE(OFFSET($FI$3,0,0,'Données projet'!$E$16+1,1))-AVERAGE(OFFSET($H$3,0,0,'Données projet'!$E$16+1,1))</f>
        <v>385.97853124853452</v>
      </c>
      <c r="FK45" s="62">
        <f t="shared" si="48"/>
        <v>300.99118099739695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132.280299502248</v>
      </c>
      <c r="T46" s="62">
        <f t="shared" si="34"/>
        <v>337.98099449405339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48.430769310825177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2.0338008345390603E-2</v>
      </c>
      <c r="AC46" s="24">
        <f t="shared" si="3"/>
        <v>48.451107319170568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162.20000000000002</v>
      </c>
      <c r="AJ46" s="14">
        <f>AI46*VLOOKUP('Données projet'!$B$10,Paramètres!$A$1:$I$89,3,0)*VLOOKUP('Données projet'!$B$10,Paramètres!$A$1:$I$89,5,0)</f>
        <v>146.75856000000002</v>
      </c>
      <c r="AK46" s="14">
        <f t="shared" si="35"/>
        <v>37.841022770456242</v>
      </c>
      <c r="AL46" s="22">
        <f t="shared" si="4"/>
        <v>321.51093999187799</v>
      </c>
      <c r="AM46" s="62">
        <f t="shared" si="5"/>
        <v>614.84427332521136</v>
      </c>
      <c r="AN46" s="62">
        <f ca="1">AVERAGE(OFFSET($AM$3,0,0,'Données projet'!$E$10+1,1))-AVERAGE(OFFSET($H$3,0,0,'Données projet'!$E$10+1,1))</f>
        <v>430.40491895612814</v>
      </c>
      <c r="AO46" s="62">
        <f t="shared" si="36"/>
        <v>231.36959598460686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14.1</v>
      </c>
      <c r="BD46" s="13">
        <f>IF('Données projet'!$A$88&gt;35,BD45+BC46-BL45,IF(A46&lt;'Données projet'!$A$88,$BA$205^A46,IF(A46='Données projet'!$A$88,'Données projet'!$B$88,BD45+BC46-BL45)))</f>
        <v>216.3</v>
      </c>
      <c r="BE46" s="14">
        <f>BD46*VLOOKUP('Données projet'!$B$11,Paramètres!$A$1:$I$89,3,0)*VLOOKUP('Données projet'!$B$11,Paramètres!$A$1:$I$89,5,0)</f>
        <v>129.34740000000002</v>
      </c>
      <c r="BF46" s="14">
        <f t="shared" si="37"/>
        <v>33.845518493267228</v>
      </c>
      <c r="BG46" s="22">
        <f t="shared" si="7"/>
        <v>284.22766637577377</v>
      </c>
      <c r="BH46" s="62">
        <f t="shared" si="8"/>
        <v>577.56099970910714</v>
      </c>
      <c r="BI46" s="62">
        <f ca="1">AVERAGE(OFFSET($BH$3,0,0,'Données projet'!$E$11+1,1))-AVERAGE(OFFSET($H$3,0,0,'Données projet'!$E$11+1,1))</f>
        <v>295.83974441964551</v>
      </c>
      <c r="BJ46" s="62">
        <f t="shared" si="38"/>
        <v>212.24900914818096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13.8</v>
      </c>
      <c r="BY46" s="13">
        <f>IF('Données projet'!$A$114&gt;35,BY45+BX46-CG45,IF(A46&lt;'Données projet'!$A$114,$BV$205^A46,IF(A46='Données projet'!$A$114,'Données projet'!$B$114,BY45+BX46-CG45)))</f>
        <v>255.39999999999998</v>
      </c>
      <c r="BZ46" s="14">
        <f>BY46*VLOOKUP('Données projet'!$B$12,Paramètres!$A$1:$I$89,3,0)*VLOOKUP('Données projet'!$B$12,Paramètres!$A$1:$I$89,5,0)</f>
        <v>146.08879999999999</v>
      </c>
      <c r="CA46" s="14">
        <f t="shared" si="39"/>
        <v>37.688389267810216</v>
      </c>
      <c r="CB46" s="22">
        <f t="shared" si="10"/>
        <v>320.07860464143613</v>
      </c>
      <c r="CC46" s="62">
        <f t="shared" si="11"/>
        <v>613.41193797476944</v>
      </c>
      <c r="CD46" s="62">
        <f ca="1">AVERAGE(OFFSET($CC$3,0,0,'Données projet'!$E$12+1,1))-AVERAGE(OFFSET($H$3,0,0,'Données projet'!$E$12+1,1))</f>
        <v>309.71642374647882</v>
      </c>
      <c r="CE46" s="62">
        <f t="shared" si="40"/>
        <v>266.63880397664315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1.7077348434115409</v>
      </c>
      <c r="CM46" s="23">
        <f>EXP(-LN(2)/2)*CM45+(1-EXP(-LN(2)/2))/(LN(2)/2)*CG46*CJ46*VLOOKUP('Données projet'!$B$12,Paramètres!$A$1:$I$89,3,0)*0.475*44/12</f>
        <v>8.7904089267317506E-2</v>
      </c>
      <c r="CN46" s="24">
        <f t="shared" si="12"/>
        <v>1.7956389326788584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8.1999999999999993</v>
      </c>
      <c r="CT46" s="13">
        <f>IF('Données projet'!$A$140&gt;35,CT45+CS46-DB45,IF(A46&lt;'Données projet'!$A$140,$CQ$205^A46,IF(A46='Données projet'!$A$140,'Données projet'!$B$140,CT45+CS46-DB45)))</f>
        <v>188.59999999999985</v>
      </c>
      <c r="CU46" s="18">
        <f>CT46*VLOOKUP('Données projet'!$B$13,Paramètres!$A$1:$I$89,3,0)*VLOOKUP('Données projet'!$B$13,Paramètres!$A$1:$I$89,5,0)</f>
        <v>150.05015999999989</v>
      </c>
      <c r="CV46" s="14">
        <f t="shared" si="41"/>
        <v>38.589984439024569</v>
      </c>
      <c r="CW46" s="22">
        <f t="shared" si="13"/>
        <v>328.5482515646342</v>
      </c>
      <c r="CX46" s="62">
        <f t="shared" si="14"/>
        <v>621.88158489796751</v>
      </c>
      <c r="CY46" s="62">
        <f ca="1">AVERAGE(OFFSET($CX$3,0,0,'Données projet'!$E$13+1,1))-AVERAGE(OFFSET($H$3,0,0,'Données projet'!$E$13+1,1))</f>
        <v>312.53381881960331</v>
      </c>
      <c r="CZ46" s="62">
        <f t="shared" si="42"/>
        <v>342.06887933351783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8.4</v>
      </c>
      <c r="DO46" s="13">
        <f>IF('Données projet'!$A$166&gt;35,DO45+DN46-DW45,IF(A46&lt;'Données projet'!$A$166,$DL$205^A46,IF(A46='Données projet'!$A$166,'Données projet'!$B$166,DO45+DN46-DW45)))</f>
        <v>162.20000000000002</v>
      </c>
      <c r="DP46" s="18">
        <f>DO46*VLOOKUP('Données projet'!$B$14,Paramètres!$A$1:$I$89,3,0)*VLOOKUP('Données projet'!$B$14,Paramètres!$A$1:$I$89,5,0)</f>
        <v>174.59208000000001</v>
      </c>
      <c r="DQ46" s="14">
        <f t="shared" si="43"/>
        <v>44.116895896327598</v>
      </c>
      <c r="DR46" s="22">
        <f t="shared" si="16"/>
        <v>380.91813301943722</v>
      </c>
      <c r="DS46" s="62">
        <f t="shared" si="17"/>
        <v>674.25146635277054</v>
      </c>
      <c r="DT46" s="62">
        <f ca="1">AVERAGE(OFFSET($DS$3,0,0,'Données projet'!$E$14+1,1))-AVERAGE(OFFSET($H$3,0,0,'Données projet'!$E$14+1,1))</f>
        <v>503.92230226365683</v>
      </c>
      <c r="DU46" s="62">
        <f t="shared" si="44"/>
        <v>267.2998309535638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8.4</v>
      </c>
      <c r="EJ46" s="13">
        <f>IF('Données projet'!$A$192&gt;35,EJ45+EI46-ER45,IF(A46&lt;'Données projet'!$A$192,$EG$205^A46,IF(A46='Données projet'!$A$192,'Données projet'!$B$192,EJ45+EI46-ER45)))</f>
        <v>162.20000000000002</v>
      </c>
      <c r="EK46" s="18">
        <f>EJ46*VLOOKUP('Données projet'!$B$15,Paramètres!$A$1:$I$89,3,0)*VLOOKUP('Données projet'!$B$15,Paramètres!$A$1:$I$89,5,0)</f>
        <v>156.87984000000003</v>
      </c>
      <c r="EL46" s="14">
        <f t="shared" si="45"/>
        <v>40.137950013229407</v>
      </c>
      <c r="EM46" s="22">
        <f t="shared" si="19"/>
        <v>343.13931760637462</v>
      </c>
      <c r="EN46" s="62">
        <f t="shared" si="20"/>
        <v>636.47265093970793</v>
      </c>
      <c r="EO46" s="62">
        <f ca="1">AVERAGE(OFFSET($EN$3,0,0,'Données projet'!$E$15+1,1))-AVERAGE(OFFSET($H$3,0,0,'Données projet'!$E$15+1,1))</f>
        <v>457.16923206840744</v>
      </c>
      <c r="EP46" s="62">
        <f t="shared" si="46"/>
        <v>244.45149244446094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9</v>
      </c>
      <c r="FE46" s="13">
        <f>IF('Données projet'!$A$218&gt;35,FE45+FD46-FM45,IF(A46&lt;'Données projet'!$A$218,$FB$205^A46,IF(A46='Données projet'!$A$218,'Données projet'!$B$218,FE45+FD46-FM45)))</f>
        <v>221.00000000000003</v>
      </c>
      <c r="FF46" s="18">
        <f>FE46*VLOOKUP('Données projet'!$B$16,Paramètres!$A$1:$I$89,3,0)*VLOOKUP('Données projet'!$B$16,Paramètres!$A$1:$I$89,5,0)</f>
        <v>148.24680000000004</v>
      </c>
      <c r="FG46" s="14">
        <f t="shared" si="47"/>
        <v>38.179892421047185</v>
      </c>
      <c r="FH46" s="22">
        <f t="shared" si="22"/>
        <v>324.69315596665723</v>
      </c>
      <c r="FI46" s="62">
        <f t="shared" si="23"/>
        <v>618.02648929999054</v>
      </c>
      <c r="FJ46" s="62">
        <f ca="1">AVERAGE(OFFSET($FI$3,0,0,'Données projet'!$E$16+1,1))-AVERAGE(OFFSET($H$3,0,0,'Données projet'!$E$16+1,1))</f>
        <v>385.97853124853452</v>
      </c>
      <c r="FK46" s="62">
        <f t="shared" si="48"/>
        <v>300.99118099739695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132.280299502248</v>
      </c>
      <c r="T47" s="62">
        <f t="shared" si="34"/>
        <v>337.98099449405339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47.481071464492359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1.4381143616854291E-2</v>
      </c>
      <c r="AC47" s="24">
        <f t="shared" si="3"/>
        <v>47.495452608109211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170.60000000000002</v>
      </c>
      <c r="AJ47" s="14">
        <f>AI47*VLOOKUP('Données projet'!$B$10,Paramètres!$A$1:$I$89,3,0)*VLOOKUP('Données projet'!$B$10,Paramètres!$A$1:$I$89,5,0)</f>
        <v>154.35888000000003</v>
      </c>
      <c r="AK47" s="14">
        <f t="shared" si="35"/>
        <v>39.567499286120309</v>
      </c>
      <c r="AL47" s="22">
        <f t="shared" si="4"/>
        <v>337.75511058999291</v>
      </c>
      <c r="AM47" s="62">
        <f t="shared" si="5"/>
        <v>631.08844392332617</v>
      </c>
      <c r="AN47" s="62">
        <f ca="1">AVERAGE(OFFSET($AM$3,0,0,'Données projet'!$E$10+1,1))-AVERAGE(OFFSET($H$3,0,0,'Données projet'!$E$10+1,1))</f>
        <v>430.40491895612814</v>
      </c>
      <c r="AO47" s="62">
        <f t="shared" si="36"/>
        <v>231.36959598460686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14.1</v>
      </c>
      <c r="BD47" s="13">
        <f>IF('Données projet'!$A$88&gt;35,BD46+BC47-BL46,IF(A47&lt;'Données projet'!$A$88,$BA$205^A47,IF(A47='Données projet'!$A$88,'Données projet'!$B$88,BD46+BC47-BL46)))</f>
        <v>230.4</v>
      </c>
      <c r="BE47" s="14">
        <f>BD47*VLOOKUP('Données projet'!$B$11,Paramètres!$A$1:$I$89,3,0)*VLOOKUP('Données projet'!$B$11,Paramètres!$A$1:$I$89,5,0)</f>
        <v>137.7792</v>
      </c>
      <c r="BF47" s="14">
        <f t="shared" si="37"/>
        <v>35.787778913287674</v>
      </c>
      <c r="BG47" s="22">
        <f t="shared" si="7"/>
        <v>302.29582160730934</v>
      </c>
      <c r="BH47" s="62">
        <f t="shared" si="8"/>
        <v>595.62915494064259</v>
      </c>
      <c r="BI47" s="62">
        <f ca="1">AVERAGE(OFFSET($BH$3,0,0,'Données projet'!$E$11+1,1))-AVERAGE(OFFSET($H$3,0,0,'Données projet'!$E$11+1,1))</f>
        <v>295.83974441964551</v>
      </c>
      <c r="BJ47" s="62">
        <f t="shared" si="38"/>
        <v>212.24900914818096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13.8</v>
      </c>
      <c r="BY47" s="13">
        <f>IF('Données projet'!$A$114&gt;35,BY46+BX47-CG46,IF(A47&lt;'Données projet'!$A$114,$BV$205^A47,IF(A47='Données projet'!$A$114,'Données projet'!$B$114,BY46+BX47-CG46)))</f>
        <v>269.2</v>
      </c>
      <c r="BZ47" s="14">
        <f>BY47*VLOOKUP('Données projet'!$B$12,Paramètres!$A$1:$I$89,3,0)*VLOOKUP('Données projet'!$B$12,Paramètres!$A$1:$I$89,5,0)</f>
        <v>153.98239999999998</v>
      </c>
      <c r="CA47" s="14">
        <f t="shared" si="39"/>
        <v>39.482215533662355</v>
      </c>
      <c r="CB47" s="22">
        <f t="shared" si="10"/>
        <v>336.95087205446191</v>
      </c>
      <c r="CC47" s="62">
        <f t="shared" si="11"/>
        <v>630.28420538779528</v>
      </c>
      <c r="CD47" s="62">
        <f ca="1">AVERAGE(OFFSET($CC$3,0,0,'Données projet'!$E$12+1,1))-AVERAGE(OFFSET($H$3,0,0,'Données projet'!$E$12+1,1))</f>
        <v>309.71642374647882</v>
      </c>
      <c r="CE47" s="62">
        <f t="shared" si="40"/>
        <v>266.63880397664315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1.66103674431258</v>
      </c>
      <c r="CM47" s="23">
        <f>EXP(-LN(2)/2)*CM46+(1-EXP(-LN(2)/2))/(LN(2)/2)*CG47*CJ47*VLOOKUP('Données projet'!$B$12,Paramètres!$A$1:$I$89,3,0)*0.475*44/12</f>
        <v>6.2157577614947827E-2</v>
      </c>
      <c r="CN47" s="24">
        <f t="shared" si="12"/>
        <v>1.7231943219275279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8.1999999999999993</v>
      </c>
      <c r="CT47" s="13">
        <f>IF('Données projet'!$A$140&gt;35,CT46+CS47-DB46,IF(A47&lt;'Données projet'!$A$140,$CQ$205^A47,IF(A47='Données projet'!$A$140,'Données projet'!$B$140,CT46+CS47-DB46)))</f>
        <v>196.79999999999984</v>
      </c>
      <c r="CU47" s="18">
        <f>CT47*VLOOKUP('Données projet'!$B$13,Paramètres!$A$1:$I$89,3,0)*VLOOKUP('Données projet'!$B$13,Paramètres!$A$1:$I$89,5,0)</f>
        <v>156.5740799999999</v>
      </c>
      <c r="CV47" s="14">
        <f t="shared" si="41"/>
        <v>40.068818872547432</v>
      </c>
      <c r="CW47" s="22">
        <f t="shared" si="13"/>
        <v>342.4863822030199</v>
      </c>
      <c r="CX47" s="62">
        <f t="shared" si="14"/>
        <v>635.81971553635321</v>
      </c>
      <c r="CY47" s="62">
        <f ca="1">AVERAGE(OFFSET($CX$3,0,0,'Données projet'!$E$13+1,1))-AVERAGE(OFFSET($H$3,0,0,'Données projet'!$E$13+1,1))</f>
        <v>312.53381881960331</v>
      </c>
      <c r="CZ47" s="62">
        <f t="shared" si="42"/>
        <v>342.06887933351783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8.4</v>
      </c>
      <c r="DO47" s="13">
        <f>IF('Données projet'!$A$166&gt;35,DO46+DN47-DW46,IF(A47&lt;'Données projet'!$A$166,$DL$205^A47,IF(A47='Données projet'!$A$166,'Données projet'!$B$166,DO46+DN47-DW46)))</f>
        <v>170.60000000000002</v>
      </c>
      <c r="DP47" s="18">
        <f>DO47*VLOOKUP('Données projet'!$B$14,Paramètres!$A$1:$I$89,3,0)*VLOOKUP('Données projet'!$B$14,Paramètres!$A$1:$I$89,5,0)</f>
        <v>183.63384000000002</v>
      </c>
      <c r="DQ47" s="14">
        <f t="shared" si="43"/>
        <v>46.129705781806493</v>
      </c>
      <c r="DR47" s="22">
        <f t="shared" si="16"/>
        <v>400.17150890331294</v>
      </c>
      <c r="DS47" s="62">
        <f t="shared" si="17"/>
        <v>693.50484223664625</v>
      </c>
      <c r="DT47" s="62">
        <f ca="1">AVERAGE(OFFSET($DS$3,0,0,'Données projet'!$E$14+1,1))-AVERAGE(OFFSET($H$3,0,0,'Données projet'!$E$14+1,1))</f>
        <v>503.92230226365683</v>
      </c>
      <c r="DU47" s="62">
        <f t="shared" si="44"/>
        <v>267.2998309535638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8.4</v>
      </c>
      <c r="EJ47" s="13">
        <f>IF('Données projet'!$A$192&gt;35,EJ46+EI47-ER46,IF(A47&lt;'Données projet'!$A$192,$EG$205^A47,IF(A47='Données projet'!$A$192,'Données projet'!$B$192,EJ46+EI47-ER46)))</f>
        <v>170.60000000000002</v>
      </c>
      <c r="EK47" s="18">
        <f>EJ47*VLOOKUP('Données projet'!$B$15,Paramètres!$A$1:$I$89,3,0)*VLOOKUP('Données projet'!$B$15,Paramètres!$A$1:$I$89,5,0)</f>
        <v>165.00432000000004</v>
      </c>
      <c r="EL47" s="14">
        <f t="shared" si="45"/>
        <v>41.969222611359086</v>
      </c>
      <c r="EM47" s="22">
        <f t="shared" si="19"/>
        <v>360.47892004811706</v>
      </c>
      <c r="EN47" s="62">
        <f t="shared" si="20"/>
        <v>653.81225338145032</v>
      </c>
      <c r="EO47" s="62">
        <f ca="1">AVERAGE(OFFSET($EN$3,0,0,'Données projet'!$E$15+1,1))-AVERAGE(OFFSET($H$3,0,0,'Données projet'!$E$15+1,1))</f>
        <v>457.16923206840744</v>
      </c>
      <c r="EP47" s="62">
        <f t="shared" si="46"/>
        <v>244.45149244446094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9</v>
      </c>
      <c r="FE47" s="13">
        <f>IF('Données projet'!$A$218&gt;35,FE46+FD47-FM46,IF(A47&lt;'Données projet'!$A$218,$FB$205^A47,IF(A47='Données projet'!$A$218,'Données projet'!$B$218,FE46+FD47-FM46)))</f>
        <v>230.00000000000003</v>
      </c>
      <c r="FF47" s="18">
        <f>FE47*VLOOKUP('Données projet'!$B$16,Paramètres!$A$1:$I$89,3,0)*VLOOKUP('Données projet'!$B$16,Paramètres!$A$1:$I$89,5,0)</f>
        <v>154.28400000000002</v>
      </c>
      <c r="FG47" s="14">
        <f t="shared" si="47"/>
        <v>39.550538702560999</v>
      </c>
      <c r="FH47" s="22">
        <f t="shared" si="22"/>
        <v>337.59515490696043</v>
      </c>
      <c r="FI47" s="62">
        <f t="shared" si="23"/>
        <v>630.92848824029375</v>
      </c>
      <c r="FJ47" s="62">
        <f ca="1">AVERAGE(OFFSET($FI$3,0,0,'Données projet'!$E$16+1,1))-AVERAGE(OFFSET($H$3,0,0,'Données projet'!$E$16+1,1))</f>
        <v>385.97853124853452</v>
      </c>
      <c r="FK47" s="62">
        <f t="shared" si="48"/>
        <v>300.99118099739695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132.280299502248</v>
      </c>
      <c r="T48" s="62">
        <f t="shared" si="34"/>
        <v>337.98099449405339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46.549996613667638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1.0169004172695301E-2</v>
      </c>
      <c r="AC48" s="24">
        <f t="shared" si="3"/>
        <v>46.560165617840333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179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179.00000000000003</v>
      </c>
      <c r="AJ48" s="14">
        <f>AI48*VLOOKUP('Données projet'!$B$10,Paramètres!$A$1:$I$89,3,0)*VLOOKUP('Données projet'!$B$10,Paramètres!$A$1:$I$89,5,0)</f>
        <v>161.95920000000001</v>
      </c>
      <c r="AK48" s="14">
        <f t="shared" si="35"/>
        <v>41.284104935125683</v>
      </c>
      <c r="AL48" s="22">
        <f t="shared" si="4"/>
        <v>353.98208942867723</v>
      </c>
      <c r="AM48" s="62">
        <f t="shared" si="5"/>
        <v>647.31542276201048</v>
      </c>
      <c r="AN48" s="62">
        <f ca="1">AVERAGE(OFFSET($AM$3,0,0,'Données projet'!$E$10+1,1))-AVERAGE(OFFSET($H$3,0,0,'Données projet'!$E$10+1,1))</f>
        <v>430.40491895612814</v>
      </c>
      <c r="AO48" s="62">
        <f t="shared" si="36"/>
        <v>231.36959598460686</v>
      </c>
      <c r="AP48" s="16">
        <f>IF(ISNA(VLOOKUP(A48,'Données projet'!$A$61:$I$81,3,0)),0,VLOOKUP(A48,'Données projet'!$A$61:$I$81,3,0))</f>
        <v>3</v>
      </c>
      <c r="AQ48" s="16">
        <f>IF(ISNA(VLOOKUP(A48,'Données projet'!$A$61:$I$81,4,0)),0,VLOOKUP(A48,'Données projet'!$A$61:$I$81,4,0))</f>
        <v>42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14.1</v>
      </c>
      <c r="BD48" s="13">
        <f>IF('Données projet'!$A$88&gt;35,BD47+BC48-BL47,IF(A48&lt;'Données projet'!$A$88,$BA$205^A48,IF(A48='Données projet'!$A$88,'Données projet'!$B$88,BD47+BC48-BL47)))</f>
        <v>244.5</v>
      </c>
      <c r="BE48" s="14">
        <f>BD48*VLOOKUP('Données projet'!$B$11,Paramètres!$A$1:$I$89,3,0)*VLOOKUP('Données projet'!$B$11,Paramètres!$A$1:$I$89,5,0)</f>
        <v>146.21100000000001</v>
      </c>
      <c r="BF48" s="14">
        <f t="shared" si="37"/>
        <v>37.71624383608448</v>
      </c>
      <c r="BG48" s="22">
        <f t="shared" si="7"/>
        <v>320.33994968118049</v>
      </c>
      <c r="BH48" s="62">
        <f t="shared" si="8"/>
        <v>613.6732830145138</v>
      </c>
      <c r="BI48" s="62">
        <f ca="1">AVERAGE(OFFSET($BH$3,0,0,'Données projet'!$E$11+1,1))-AVERAGE(OFFSET($H$3,0,0,'Données projet'!$E$11+1,1))</f>
        <v>295.83974441964551</v>
      </c>
      <c r="BJ48" s="62">
        <f t="shared" si="38"/>
        <v>212.24900914818096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283</v>
      </c>
      <c r="BW48" s="13">
        <f>VLOOKUP(A48,'Données projet'!$A$113:$I$133,9,0)</f>
        <v>13.8</v>
      </c>
      <c r="BX48" s="13">
        <f t="array" ref="BX48">INDEX(BW:BW,MIN(IF(ISNUMBER(BW48:BW244),ROW(BW48:BW244),"")))</f>
        <v>13.8</v>
      </c>
      <c r="BY48" s="13">
        <f>IF('Données projet'!$A$114&gt;35,BY47+BX48-CG47,IF(A48&lt;'Données projet'!$A$114,$BV$205^A48,IF(A48='Données projet'!$A$114,'Données projet'!$B$114,BY47+BX48-CG47)))</f>
        <v>283</v>
      </c>
      <c r="BZ48" s="14">
        <f>BY48*VLOOKUP('Données projet'!$B$12,Paramètres!$A$1:$I$89,3,0)*VLOOKUP('Données projet'!$B$12,Paramètres!$A$1:$I$89,5,0)</f>
        <v>161.876</v>
      </c>
      <c r="CA48" s="14">
        <f t="shared" si="39"/>
        <v>41.2653649487576</v>
      </c>
      <c r="CB48" s="22">
        <f t="shared" si="10"/>
        <v>353.80454395241946</v>
      </c>
      <c r="CC48" s="62">
        <f t="shared" si="11"/>
        <v>647.13787728575278</v>
      </c>
      <c r="CD48" s="62">
        <f ca="1">AVERAGE(OFFSET($CC$3,0,0,'Données projet'!$E$12+1,1))-AVERAGE(OFFSET($H$3,0,0,'Données projet'!$E$12+1,1))</f>
        <v>309.71642374647882</v>
      </c>
      <c r="CE48" s="62">
        <f t="shared" si="40"/>
        <v>266.63880397664315</v>
      </c>
      <c r="CF48" s="16">
        <f>IF(ISNA(VLOOKUP(A48,'Données projet'!$A$113:$I$133,3,0)),0,VLOOKUP(A48,'Données projet'!$A$113:$I$133,3,0))</f>
        <v>6</v>
      </c>
      <c r="CG48" s="16">
        <f>IF(ISNA(VLOOKUP(A48,'Données projet'!$A$113:$I$133,4,0)),0,VLOOKUP(A48,'Données projet'!$A$113:$I$133,4,0))</f>
        <v>38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1.6156156071892265</v>
      </c>
      <c r="CM48" s="23">
        <f>EXP(-LN(2)/2)*CM47+(1-EXP(-LN(2)/2))/(LN(2)/2)*CG48*CJ48*VLOOKUP('Données projet'!$B$12,Paramètres!$A$1:$I$89,3,0)*0.475*44/12</f>
        <v>4.395204463365876E-2</v>
      </c>
      <c r="CN48" s="24">
        <f t="shared" si="12"/>
        <v>1.6595676518228852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205</v>
      </c>
      <c r="CR48" s="13">
        <f>VLOOKUP(A48,'Données projet'!$A$139:$I$159,9,0)</f>
        <v>8.1999999999999993</v>
      </c>
      <c r="CS48" s="13">
        <f t="array" ref="CS48">INDEX(CR:CR,MIN(IF(ISNUMBER(CR48:CR244),ROW(CR48:CR244),"")))</f>
        <v>8.1999999999999993</v>
      </c>
      <c r="CT48" s="13">
        <f>IF('Données projet'!$A$140&gt;35,CT47+CS48-DB47,IF(A48&lt;'Données projet'!$A$140,$CQ$205^A48,IF(A48='Données projet'!$A$140,'Données projet'!$B$140,CT47+CS48-DB47)))</f>
        <v>204.99999999999983</v>
      </c>
      <c r="CU48" s="18">
        <f>CT48*VLOOKUP('Données projet'!$B$13,Paramètres!$A$1:$I$89,3,0)*VLOOKUP('Données projet'!$B$13,Paramètres!$A$1:$I$89,5,0)</f>
        <v>163.09799999999987</v>
      </c>
      <c r="CV48" s="14">
        <f t="shared" si="41"/>
        <v>41.540496136845107</v>
      </c>
      <c r="CW48" s="22">
        <f t="shared" si="13"/>
        <v>356.41204743833833</v>
      </c>
      <c r="CX48" s="62">
        <f t="shared" si="14"/>
        <v>649.74538077167165</v>
      </c>
      <c r="CY48" s="62">
        <f ca="1">AVERAGE(OFFSET($CX$3,0,0,'Données projet'!$E$13+1,1))-AVERAGE(OFFSET($H$3,0,0,'Données projet'!$E$13+1,1))</f>
        <v>312.53381881960331</v>
      </c>
      <c r="CZ48" s="62">
        <f t="shared" si="42"/>
        <v>342.06887933351783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179</v>
      </c>
      <c r="DM48" s="13">
        <f>VLOOKUP(A48,'Données projet'!$A$165:$I$185,9,0)</f>
        <v>8.4</v>
      </c>
      <c r="DN48" s="13">
        <f t="array" ref="DN48">INDEX(DM:DM,MIN(IF(ISNUMBER(DM48:DM244),ROW(DM48:DM244),"")))</f>
        <v>8.4</v>
      </c>
      <c r="DO48" s="13">
        <f>IF('Données projet'!$A$166&gt;35,DO47+DN48-DW47,IF(A48&lt;'Données projet'!$A$166,$DL$205^A48,IF(A48='Données projet'!$A$166,'Données projet'!$B$166,DO47+DN48-DW47)))</f>
        <v>179.00000000000003</v>
      </c>
      <c r="DP48" s="18">
        <f>DO48*VLOOKUP('Données projet'!$B$14,Paramètres!$A$1:$I$89,3,0)*VLOOKUP('Données projet'!$B$14,Paramètres!$A$1:$I$89,5,0)</f>
        <v>192.6756</v>
      </c>
      <c r="DQ48" s="14">
        <f t="shared" si="43"/>
        <v>48.131007733172986</v>
      </c>
      <c r="DR48" s="22">
        <f t="shared" si="16"/>
        <v>419.40484180194295</v>
      </c>
      <c r="DS48" s="62">
        <f t="shared" si="17"/>
        <v>712.73817513527626</v>
      </c>
      <c r="DT48" s="62">
        <f ca="1">AVERAGE(OFFSET($DS$3,0,0,'Données projet'!$E$14+1,1))-AVERAGE(OFFSET($H$3,0,0,'Données projet'!$E$14+1,1))</f>
        <v>503.92230226365683</v>
      </c>
      <c r="DU48" s="62">
        <f t="shared" si="44"/>
        <v>267.2998309535638</v>
      </c>
      <c r="DV48" s="16">
        <f>IF(ISNA(VLOOKUP(A48,'Données projet'!$A$165:$I$185,3,0)),0,VLOOKUP(A48,'Données projet'!$A$165:$I$185,3,0))</f>
        <v>3</v>
      </c>
      <c r="DW48" s="16">
        <f>IF(ISNA(VLOOKUP(A48,'Données projet'!$A$165:$I$185,4,0)),0,VLOOKUP(A48,'Données projet'!$A$165:$I$185,4,0))</f>
        <v>42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179</v>
      </c>
      <c r="EH48" s="13">
        <f>VLOOKUP(A48,'Données projet'!$A$191:$I$211,9,0)</f>
        <v>8.4</v>
      </c>
      <c r="EI48" s="13">
        <f t="array" ref="EI48">INDEX(EH:EH,MIN(IF(ISNUMBER(EH48:EH244),ROW(EH48:EH244),"")))</f>
        <v>8.4</v>
      </c>
      <c r="EJ48" s="13">
        <f>IF('Données projet'!$A$192&gt;35,EJ47+EI48-ER47,IF(A48&lt;'Données projet'!$A$192,$EG$205^A48,IF(A48='Données projet'!$A$192,'Données projet'!$B$192,EJ47+EI48-ER47)))</f>
        <v>179.00000000000003</v>
      </c>
      <c r="EK48" s="18">
        <f>EJ48*VLOOKUP('Données projet'!$B$15,Paramètres!$A$1:$I$89,3,0)*VLOOKUP('Données projet'!$B$15,Paramètres!$A$1:$I$89,5,0)</f>
        <v>173.12880000000004</v>
      </c>
      <c r="EL48" s="14">
        <f t="shared" si="45"/>
        <v>43.790025187181634</v>
      </c>
      <c r="EM48" s="22">
        <f t="shared" si="19"/>
        <v>377.80028720100813</v>
      </c>
      <c r="EN48" s="62">
        <f t="shared" si="20"/>
        <v>671.13362053434139</v>
      </c>
      <c r="EO48" s="62">
        <f ca="1">AVERAGE(OFFSET($EN$3,0,0,'Données projet'!$E$15+1,1))-AVERAGE(OFFSET($H$3,0,0,'Données projet'!$E$15+1,1))</f>
        <v>457.16923206840744</v>
      </c>
      <c r="EP48" s="62">
        <f t="shared" si="46"/>
        <v>244.45149244446094</v>
      </c>
      <c r="EQ48" s="16">
        <f>IF(ISNA(VLOOKUP(A48,'Données projet'!$A$191:$I$211,3,0)),0,VLOOKUP(A48,'Données projet'!$A$191:$I$211,3,0))</f>
        <v>3</v>
      </c>
      <c r="ER48" s="16">
        <f>IF(ISNA(VLOOKUP(A48,'Données projet'!$A$191:$I$211,4,0)),0,VLOOKUP(A48,'Données projet'!$A$191:$I$211,4,0))</f>
        <v>42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239</v>
      </c>
      <c r="FC48" s="13">
        <f>VLOOKUP(A48,'Données projet'!$A$217:$I$237,9,0)</f>
        <v>9</v>
      </c>
      <c r="FD48" s="13">
        <f t="array" ref="FD48">INDEX(FC:FC,MIN(IF(ISNUMBER(FC48:FC244),ROW(FC48:FC244),"")))</f>
        <v>9</v>
      </c>
      <c r="FE48" s="13">
        <f>IF('Données projet'!$A$218&gt;35,FE47+FD48-FM47,IF(A48&lt;'Données projet'!$A$218,$FB$205^A48,IF(A48='Données projet'!$A$218,'Données projet'!$B$218,FE47+FD48-FM47)))</f>
        <v>239.00000000000003</v>
      </c>
      <c r="FF48" s="18">
        <f>FE48*VLOOKUP('Données projet'!$B$16,Paramètres!$A$1:$I$89,3,0)*VLOOKUP('Données projet'!$B$16,Paramètres!$A$1:$I$89,5,0)</f>
        <v>160.32120000000003</v>
      </c>
      <c r="FG48" s="14">
        <f t="shared" si="47"/>
        <v>40.914954505069986</v>
      </c>
      <c r="FH48" s="22">
        <f t="shared" si="22"/>
        <v>350.48630242966357</v>
      </c>
      <c r="FI48" s="62">
        <f t="shared" si="23"/>
        <v>643.81963576299688</v>
      </c>
      <c r="FJ48" s="62">
        <f ca="1">AVERAGE(OFFSET($FI$3,0,0,'Données projet'!$E$16+1,1))-AVERAGE(OFFSET($H$3,0,0,'Données projet'!$E$16+1,1))</f>
        <v>385.97853124853452</v>
      </c>
      <c r="FK48" s="62">
        <f t="shared" si="48"/>
        <v>300.99118099739695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132.280299502248</v>
      </c>
      <c r="T49" s="62">
        <f t="shared" si="34"/>
        <v>337.98099449405339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45.637179572768005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7.1905718084271453E-3</v>
      </c>
      <c r="AC49" s="24">
        <f t="shared" si="3"/>
        <v>45.644370144576435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145.20000000000002</v>
      </c>
      <c r="AJ49" s="14">
        <f>AI49*VLOOKUP('Données projet'!$B$10,Paramètres!$A$1:$I$89,3,0)*VLOOKUP('Données projet'!$B$10,Paramètres!$A$1:$I$89,5,0)</f>
        <v>131.37696000000003</v>
      </c>
      <c r="AK49" s="14">
        <f t="shared" si="35"/>
        <v>34.314338988223334</v>
      </c>
      <c r="AL49" s="22">
        <f t="shared" si="4"/>
        <v>288.57901240448905</v>
      </c>
      <c r="AM49" s="62">
        <f t="shared" si="5"/>
        <v>581.91234573782231</v>
      </c>
      <c r="AN49" s="62">
        <f ca="1">AVERAGE(OFFSET($AM$3,0,0,'Données projet'!$E$10+1,1))-AVERAGE(OFFSET($H$3,0,0,'Données projet'!$E$10+1,1))</f>
        <v>430.40491895612814</v>
      </c>
      <c r="AO49" s="62">
        <f t="shared" si="36"/>
        <v>231.36959598460686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14.1</v>
      </c>
      <c r="BD49" s="13">
        <f>IF('Données projet'!$A$88&gt;35,BD48+BC49-BL48,IF(A49&lt;'Données projet'!$A$88,$BA$205^A49,IF(A49='Données projet'!$A$88,'Données projet'!$B$88,BD48+BC49-BL48)))</f>
        <v>258.60000000000002</v>
      </c>
      <c r="BE49" s="14">
        <f>BD49*VLOOKUP('Données projet'!$B$11,Paramètres!$A$1:$I$89,3,0)*VLOOKUP('Données projet'!$B$11,Paramètres!$A$1:$I$89,5,0)</f>
        <v>154.64280000000002</v>
      </c>
      <c r="BF49" s="14">
        <f t="shared" si="37"/>
        <v>39.631799470164985</v>
      </c>
      <c r="BG49" s="22">
        <f t="shared" si="7"/>
        <v>338.36159407720407</v>
      </c>
      <c r="BH49" s="62">
        <f t="shared" si="8"/>
        <v>631.69492741053739</v>
      </c>
      <c r="BI49" s="62">
        <f ca="1">AVERAGE(OFFSET($BH$3,0,0,'Données projet'!$E$11+1,1))-AVERAGE(OFFSET($H$3,0,0,'Données projet'!$E$11+1,1))</f>
        <v>295.83974441964551</v>
      </c>
      <c r="BJ49" s="62">
        <f t="shared" si="38"/>
        <v>212.24900914818096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13.2</v>
      </c>
      <c r="BY49" s="13">
        <f>IF('Données projet'!$A$114&gt;35,BY48+BX49-CG48,IF(A49&lt;'Données projet'!$A$114,$BV$205^A49,IF(A49='Données projet'!$A$114,'Données projet'!$B$114,BY48+BX49-CG48)))</f>
        <v>258.2</v>
      </c>
      <c r="BZ49" s="14">
        <f>BY49*VLOOKUP('Données projet'!$B$12,Paramètres!$A$1:$I$89,3,0)*VLOOKUP('Données projet'!$B$12,Paramètres!$A$1:$I$89,5,0)</f>
        <v>147.69039999999998</v>
      </c>
      <c r="CA49" s="14">
        <f t="shared" si="39"/>
        <v>38.053247671549173</v>
      </c>
      <c r="CB49" s="22">
        <f t="shared" si="10"/>
        <v>323.50351969461479</v>
      </c>
      <c r="CC49" s="62">
        <f t="shared" si="11"/>
        <v>616.83685302794811</v>
      </c>
      <c r="CD49" s="62">
        <f ca="1">AVERAGE(OFFSET($CC$3,0,0,'Données projet'!$E$12+1,1))-AVERAGE(OFFSET($H$3,0,0,'Données projet'!$E$12+1,1))</f>
        <v>309.71642374647882</v>
      </c>
      <c r="CE49" s="62">
        <f t="shared" si="40"/>
        <v>266.63880397664315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1.5714365134491048</v>
      </c>
      <c r="CM49" s="23">
        <f>EXP(-LN(2)/2)*CM48+(1-EXP(-LN(2)/2))/(LN(2)/2)*CG49*CJ49*VLOOKUP('Données projet'!$B$12,Paramètres!$A$1:$I$89,3,0)*0.475*44/12</f>
        <v>3.1078788807473917E-2</v>
      </c>
      <c r="CN49" s="24">
        <f t="shared" si="12"/>
        <v>1.6025153022565788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7</v>
      </c>
      <c r="CT49" s="13">
        <f>IF('Données projet'!$A$140&gt;35,CT48+CS49-DB48,IF(A49&lt;'Données projet'!$A$140,$CQ$205^A49,IF(A49='Données projet'!$A$140,'Données projet'!$B$140,CT48+CS49-DB48)))</f>
        <v>211.99999999999983</v>
      </c>
      <c r="CU49" s="18">
        <f>CT49*VLOOKUP('Données projet'!$B$13,Paramètres!$A$1:$I$89,3,0)*VLOOKUP('Données projet'!$B$13,Paramètres!$A$1:$I$89,5,0)</f>
        <v>168.66719999999987</v>
      </c>
      <c r="CV49" s="14">
        <f t="shared" si="41"/>
        <v>42.791384119459089</v>
      </c>
      <c r="CW49" s="22">
        <f t="shared" si="13"/>
        <v>368.29036734139095</v>
      </c>
      <c r="CX49" s="62">
        <f t="shared" si="14"/>
        <v>661.6237006747242</v>
      </c>
      <c r="CY49" s="62">
        <f ca="1">AVERAGE(OFFSET($CX$3,0,0,'Données projet'!$E$13+1,1))-AVERAGE(OFFSET($H$3,0,0,'Données projet'!$E$13+1,1))</f>
        <v>312.53381881960331</v>
      </c>
      <c r="CZ49" s="62">
        <f t="shared" si="42"/>
        <v>342.06887933351783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8.1999999999999993</v>
      </c>
      <c r="DO49" s="13">
        <f>IF('Données projet'!$A$166&gt;35,DO48+DN49-DW48,IF(A49&lt;'Données projet'!$A$166,$DL$205^A49,IF(A49='Données projet'!$A$166,'Données projet'!$B$166,DO48+DN49-DW48)))</f>
        <v>145.20000000000002</v>
      </c>
      <c r="DP49" s="18">
        <f>DO49*VLOOKUP('Données projet'!$B$14,Paramètres!$A$1:$I$89,3,0)*VLOOKUP('Données projet'!$B$14,Paramètres!$A$1:$I$89,5,0)</f>
        <v>156.29328000000001</v>
      </c>
      <c r="DQ49" s="14">
        <f t="shared" si="43"/>
        <v>40.005317247308959</v>
      </c>
      <c r="DR49" s="22">
        <f t="shared" si="16"/>
        <v>341.8867235390631</v>
      </c>
      <c r="DS49" s="62">
        <f t="shared" si="17"/>
        <v>635.22005687239641</v>
      </c>
      <c r="DT49" s="62">
        <f ca="1">AVERAGE(OFFSET($DS$3,0,0,'Données projet'!$E$14+1,1))-AVERAGE(OFFSET($H$3,0,0,'Données projet'!$E$14+1,1))</f>
        <v>503.92230226365683</v>
      </c>
      <c r="DU49" s="62">
        <f t="shared" si="44"/>
        <v>267.2998309535638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8.1999999999999993</v>
      </c>
      <c r="EJ49" s="13">
        <f>IF('Données projet'!$A$192&gt;35,EJ48+EI49-ER48,IF(A49&lt;'Données projet'!$A$192,$EG$205^A49,IF(A49='Données projet'!$A$192,'Données projet'!$B$192,EJ48+EI49-ER48)))</f>
        <v>145.20000000000002</v>
      </c>
      <c r="EK49" s="18">
        <f>EJ49*VLOOKUP('Données projet'!$B$15,Paramètres!$A$1:$I$89,3,0)*VLOOKUP('Données projet'!$B$15,Paramètres!$A$1:$I$89,5,0)</f>
        <v>140.43744000000004</v>
      </c>
      <c r="EL49" s="14">
        <f t="shared" si="45"/>
        <v>36.397198653986358</v>
      </c>
      <c r="EM49" s="22">
        <f t="shared" si="19"/>
        <v>307.98699565569297</v>
      </c>
      <c r="EN49" s="62">
        <f t="shared" si="20"/>
        <v>601.32032898902628</v>
      </c>
      <c r="EO49" s="62">
        <f ca="1">AVERAGE(OFFSET($EN$3,0,0,'Données projet'!$E$15+1,1))-AVERAGE(OFFSET($H$3,0,0,'Données projet'!$E$15+1,1))</f>
        <v>457.16923206840744</v>
      </c>
      <c r="EP49" s="62">
        <f t="shared" si="46"/>
        <v>244.45149244446094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8.6</v>
      </c>
      <c r="FE49" s="13">
        <f>IF('Données projet'!$A$218&gt;35,FE48+FD49-FM48,IF(A49&lt;'Données projet'!$A$218,$FB$205^A49,IF(A49='Données projet'!$A$218,'Données projet'!$B$218,FE48+FD49-FM48)))</f>
        <v>247.60000000000002</v>
      </c>
      <c r="FF49" s="18">
        <f>FE49*VLOOKUP('Données projet'!$B$16,Paramètres!$A$1:$I$89,3,0)*VLOOKUP('Données projet'!$B$16,Paramètres!$A$1:$I$89,5,0)</f>
        <v>166.09008</v>
      </c>
      <c r="FG49" s="14">
        <f t="shared" si="47"/>
        <v>42.213149237581561</v>
      </c>
      <c r="FH49" s="22">
        <f t="shared" si="22"/>
        <v>362.79479092212119</v>
      </c>
      <c r="FI49" s="62">
        <f t="shared" si="23"/>
        <v>656.12812425545451</v>
      </c>
      <c r="FJ49" s="62">
        <f ca="1">AVERAGE(OFFSET($FI$3,0,0,'Données projet'!$E$16+1,1))-AVERAGE(OFFSET($H$3,0,0,'Données projet'!$E$16+1,1))</f>
        <v>385.97853124853452</v>
      </c>
      <c r="FK49" s="62">
        <f t="shared" si="48"/>
        <v>300.99118099739695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132.280299502248</v>
      </c>
      <c r="T50" s="62">
        <f t="shared" si="34"/>
        <v>337.98099449405339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44.742262317276996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5.0845020863476507E-3</v>
      </c>
      <c r="AC50" s="24">
        <f t="shared" si="3"/>
        <v>44.747346819363344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153.4</v>
      </c>
      <c r="AJ50" s="14">
        <f>AI50*VLOOKUP('Données projet'!$B$10,Paramètres!$A$1:$I$89,3,0)*VLOOKUP('Données projet'!$B$10,Paramètres!$A$1:$I$89,5,0)</f>
        <v>138.79632000000001</v>
      </c>
      <c r="AK50" s="14">
        <f t="shared" si="35"/>
        <v>36.021120886354588</v>
      </c>
      <c r="AL50" s="22">
        <f t="shared" si="4"/>
        <v>304.47370954373423</v>
      </c>
      <c r="AM50" s="62">
        <f t="shared" si="5"/>
        <v>597.80704287706749</v>
      </c>
      <c r="AN50" s="62">
        <f ca="1">AVERAGE(OFFSET($AM$3,0,0,'Données projet'!$E$10+1,1))-AVERAGE(OFFSET($H$3,0,0,'Données projet'!$E$10+1,1))</f>
        <v>430.40491895612814</v>
      </c>
      <c r="AO50" s="62">
        <f t="shared" si="36"/>
        <v>231.36959598460686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14.1</v>
      </c>
      <c r="BD50" s="13">
        <f>IF('Données projet'!$A$88&gt;35,BD49+BC50-BL49,IF(A50&lt;'Données projet'!$A$88,$BA$205^A50,IF(A50='Données projet'!$A$88,'Données projet'!$B$88,BD49+BC50-BL49)))</f>
        <v>272.70000000000005</v>
      </c>
      <c r="BE50" s="14">
        <f>BD50*VLOOKUP('Données projet'!$B$11,Paramètres!$A$1:$I$89,3,0)*VLOOKUP('Données projet'!$B$11,Paramètres!$A$1:$I$89,5,0)</f>
        <v>163.07460000000003</v>
      </c>
      <c r="BF50" s="14">
        <f t="shared" si="37"/>
        <v>41.535229926099966</v>
      </c>
      <c r="BG50" s="22">
        <f t="shared" si="7"/>
        <v>356.36212045462412</v>
      </c>
      <c r="BH50" s="62">
        <f t="shared" si="8"/>
        <v>649.69545378795738</v>
      </c>
      <c r="BI50" s="62">
        <f ca="1">AVERAGE(OFFSET($BH$3,0,0,'Données projet'!$E$11+1,1))-AVERAGE(OFFSET($H$3,0,0,'Données projet'!$E$11+1,1))</f>
        <v>295.83974441964551</v>
      </c>
      <c r="BJ50" s="62">
        <f t="shared" si="38"/>
        <v>212.24900914818096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13.2</v>
      </c>
      <c r="BY50" s="13">
        <f>IF('Données projet'!$A$114&gt;35,BY49+BX50-CG49,IF(A50&lt;'Données projet'!$A$114,$BV$205^A50,IF(A50='Données projet'!$A$114,'Données projet'!$B$114,BY49+BX50-CG49)))</f>
        <v>271.39999999999998</v>
      </c>
      <c r="BZ50" s="14">
        <f>BY50*VLOOKUP('Données projet'!$B$12,Paramètres!$A$1:$I$89,3,0)*VLOOKUP('Données projet'!$B$12,Paramètres!$A$1:$I$89,5,0)</f>
        <v>155.24080000000001</v>
      </c>
      <c r="CA50" s="14">
        <f t="shared" si="39"/>
        <v>39.767185348358026</v>
      </c>
      <c r="CB50" s="22">
        <f t="shared" si="10"/>
        <v>339.63890781505688</v>
      </c>
      <c r="CC50" s="62">
        <f t="shared" si="11"/>
        <v>632.97224114839014</v>
      </c>
      <c r="CD50" s="62">
        <f ca="1">AVERAGE(OFFSET($CC$3,0,0,'Données projet'!$E$12+1,1))-AVERAGE(OFFSET($H$3,0,0,'Données projet'!$E$12+1,1))</f>
        <v>309.71642374647882</v>
      </c>
      <c r="CE50" s="62">
        <f t="shared" si="40"/>
        <v>266.63880397664315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1.5284654993505844</v>
      </c>
      <c r="CM50" s="23">
        <f>EXP(-LN(2)/2)*CM49+(1-EXP(-LN(2)/2))/(LN(2)/2)*CG50*CJ50*VLOOKUP('Données projet'!$B$12,Paramètres!$A$1:$I$89,3,0)*0.475*44/12</f>
        <v>2.1976022316829383E-2</v>
      </c>
      <c r="CN50" s="24">
        <f t="shared" si="12"/>
        <v>1.5504415216674139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7</v>
      </c>
      <c r="CT50" s="13">
        <f>IF('Données projet'!$A$140&gt;35,CT49+CS50-DB49,IF(A50&lt;'Données projet'!$A$140,$CQ$205^A50,IF(A50='Données projet'!$A$140,'Données projet'!$B$140,CT49+CS50-DB49)))</f>
        <v>218.99999999999983</v>
      </c>
      <c r="CU50" s="18">
        <f>CT50*VLOOKUP('Données projet'!$B$13,Paramètres!$A$1:$I$89,3,0)*VLOOKUP('Données projet'!$B$13,Paramètres!$A$1:$I$89,5,0)</f>
        <v>174.23639999999986</v>
      </c>
      <c r="CV50" s="14">
        <f t="shared" si="41"/>
        <v>44.03747274965864</v>
      </c>
      <c r="CW50" s="22">
        <f t="shared" si="13"/>
        <v>380.16032837232183</v>
      </c>
      <c r="CX50" s="62">
        <f t="shared" si="14"/>
        <v>673.49366170565509</v>
      </c>
      <c r="CY50" s="62">
        <f ca="1">AVERAGE(OFFSET($CX$3,0,0,'Données projet'!$E$13+1,1))-AVERAGE(OFFSET($H$3,0,0,'Données projet'!$E$13+1,1))</f>
        <v>312.53381881960331</v>
      </c>
      <c r="CZ50" s="62">
        <f t="shared" si="42"/>
        <v>342.06887933351783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8.1999999999999993</v>
      </c>
      <c r="DO50" s="13">
        <f>IF('Données projet'!$A$166&gt;35,DO49+DN50-DW49,IF(A50&lt;'Données projet'!$A$166,$DL$205^A50,IF(A50='Données projet'!$A$166,'Données projet'!$B$166,DO49+DN50-DW49)))</f>
        <v>153.4</v>
      </c>
      <c r="DP50" s="18">
        <f>DO50*VLOOKUP('Données projet'!$B$14,Paramètres!$A$1:$I$89,3,0)*VLOOKUP('Données projet'!$B$14,Paramètres!$A$1:$I$89,5,0)</f>
        <v>165.11975999999999</v>
      </c>
      <c r="DQ50" s="14">
        <f t="shared" si="43"/>
        <v>41.995166194425131</v>
      </c>
      <c r="DR50" s="22">
        <f t="shared" si="16"/>
        <v>360.72516312195711</v>
      </c>
      <c r="DS50" s="62">
        <f t="shared" si="17"/>
        <v>654.05849645529042</v>
      </c>
      <c r="DT50" s="62">
        <f ca="1">AVERAGE(OFFSET($DS$3,0,0,'Données projet'!$E$14+1,1))-AVERAGE(OFFSET($H$3,0,0,'Données projet'!$E$14+1,1))</f>
        <v>503.92230226365683</v>
      </c>
      <c r="DU50" s="62">
        <f t="shared" si="44"/>
        <v>267.2998309535638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8.1999999999999993</v>
      </c>
      <c r="EJ50" s="13">
        <f>IF('Données projet'!$A$192&gt;35,EJ49+EI50-ER49,IF(A50&lt;'Données projet'!$A$192,$EG$205^A50,IF(A50='Données projet'!$A$192,'Données projet'!$B$192,EJ49+EI50-ER49)))</f>
        <v>153.4</v>
      </c>
      <c r="EK50" s="18">
        <f>EJ50*VLOOKUP('Données projet'!$B$15,Paramètres!$A$1:$I$89,3,0)*VLOOKUP('Données projet'!$B$15,Paramètres!$A$1:$I$89,5,0)</f>
        <v>148.36848000000001</v>
      </c>
      <c r="EL50" s="14">
        <f t="shared" si="45"/>
        <v>38.207581183185901</v>
      </c>
      <c r="EM50" s="22">
        <f t="shared" si="19"/>
        <v>324.95330656071548</v>
      </c>
      <c r="EN50" s="62">
        <f t="shared" si="20"/>
        <v>618.28663989404879</v>
      </c>
      <c r="EO50" s="62">
        <f ca="1">AVERAGE(OFFSET($EN$3,0,0,'Données projet'!$E$15+1,1))-AVERAGE(OFFSET($H$3,0,0,'Données projet'!$E$15+1,1))</f>
        <v>457.16923206840744</v>
      </c>
      <c r="EP50" s="62">
        <f t="shared" si="46"/>
        <v>244.45149244446094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8.6</v>
      </c>
      <c r="FE50" s="13">
        <f>IF('Données projet'!$A$218&gt;35,FE49+FD50-FM49,IF(A50&lt;'Données projet'!$A$218,$FB$205^A50,IF(A50='Données projet'!$A$218,'Données projet'!$B$218,FE49+FD50-FM49)))</f>
        <v>256.20000000000005</v>
      </c>
      <c r="FF50" s="18">
        <f>FE50*VLOOKUP('Données projet'!$B$16,Paramètres!$A$1:$I$89,3,0)*VLOOKUP('Données projet'!$B$16,Paramètres!$A$1:$I$89,5,0)</f>
        <v>171.85896000000002</v>
      </c>
      <c r="FG50" s="14">
        <f t="shared" si="47"/>
        <v>43.506104887264392</v>
      </c>
      <c r="FH50" s="22">
        <f t="shared" si="22"/>
        <v>375.09415467865216</v>
      </c>
      <c r="FI50" s="62">
        <f t="shared" si="23"/>
        <v>668.42748801198547</v>
      </c>
      <c r="FJ50" s="62">
        <f ca="1">AVERAGE(OFFSET($FI$3,0,0,'Données projet'!$E$16+1,1))-AVERAGE(OFFSET($H$3,0,0,'Données projet'!$E$16+1,1))</f>
        <v>385.97853124853452</v>
      </c>
      <c r="FK50" s="62">
        <f t="shared" si="48"/>
        <v>300.99118099739695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132.280299502248</v>
      </c>
      <c r="T51" s="62">
        <f t="shared" si="34"/>
        <v>337.98099449405339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43.864893843320537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3.5952859042135727E-3</v>
      </c>
      <c r="AC51" s="24">
        <f t="shared" si="3"/>
        <v>43.868489129224749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161.6</v>
      </c>
      <c r="AJ51" s="14">
        <f>AI51*VLOOKUP('Données projet'!$B$10,Paramètres!$A$1:$I$89,3,0)*VLOOKUP('Données projet'!$B$10,Paramètres!$A$1:$I$89,5,0)</f>
        <v>146.21567999999999</v>
      </c>
      <c r="AK51" s="14">
        <f t="shared" si="35"/>
        <v>37.717310552893402</v>
      </c>
      <c r="AL51" s="22">
        <f t="shared" si="4"/>
        <v>320.34995854628932</v>
      </c>
      <c r="AM51" s="62">
        <f t="shared" si="5"/>
        <v>613.68329187962263</v>
      </c>
      <c r="AN51" s="62">
        <f ca="1">AVERAGE(OFFSET($AM$3,0,0,'Données projet'!$E$10+1,1))-AVERAGE(OFFSET($H$3,0,0,'Données projet'!$E$10+1,1))</f>
        <v>430.40491895612814</v>
      </c>
      <c r="AO51" s="62">
        <f t="shared" si="36"/>
        <v>231.36959598460686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14.1</v>
      </c>
      <c r="BD51" s="13">
        <f>IF('Données projet'!$A$88&gt;35,BD50+BC51-BL50,IF(A51&lt;'Données projet'!$A$88,$BA$205^A51,IF(A51='Données projet'!$A$88,'Données projet'!$B$88,BD50+BC51-BL50)))</f>
        <v>286.80000000000007</v>
      </c>
      <c r="BE51" s="14">
        <f>BD51*VLOOKUP('Données projet'!$B$11,Paramètres!$A$1:$I$89,3,0)*VLOOKUP('Données projet'!$B$11,Paramètres!$A$1:$I$89,5,0)</f>
        <v>171.50640000000004</v>
      </c>
      <c r="BF51" s="14">
        <f t="shared" si="37"/>
        <v>43.427233649451665</v>
      </c>
      <c r="BG51" s="22">
        <f t="shared" si="7"/>
        <v>374.34274527279507</v>
      </c>
      <c r="BH51" s="62">
        <f t="shared" si="8"/>
        <v>667.67607860612839</v>
      </c>
      <c r="BI51" s="62">
        <f ca="1">AVERAGE(OFFSET($BH$3,0,0,'Données projet'!$E$11+1,1))-AVERAGE(OFFSET($H$3,0,0,'Données projet'!$E$11+1,1))</f>
        <v>295.83974441964551</v>
      </c>
      <c r="BJ51" s="62">
        <f t="shared" si="38"/>
        <v>212.24900914818096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13.2</v>
      </c>
      <c r="BY51" s="13">
        <f>IF('Données projet'!$A$114&gt;35,BY50+BX51-CG50,IF(A51&lt;'Données projet'!$A$114,$BV$205^A51,IF(A51='Données projet'!$A$114,'Données projet'!$B$114,BY50+BX51-CG50)))</f>
        <v>284.59999999999997</v>
      </c>
      <c r="BZ51" s="14">
        <f>BY51*VLOOKUP('Données projet'!$B$12,Paramètres!$A$1:$I$89,3,0)*VLOOKUP('Données projet'!$B$12,Paramètres!$A$1:$I$89,5,0)</f>
        <v>162.7912</v>
      </c>
      <c r="CA51" s="14">
        <f t="shared" si="39"/>
        <v>41.471443274907386</v>
      </c>
      <c r="CB51" s="22">
        <f t="shared" si="10"/>
        <v>355.75743703713033</v>
      </c>
      <c r="CC51" s="62">
        <f t="shared" si="11"/>
        <v>649.09077037046359</v>
      </c>
      <c r="CD51" s="62">
        <f ca="1">AVERAGE(OFFSET($CC$3,0,0,'Données projet'!$E$12+1,1))-AVERAGE(OFFSET($H$3,0,0,'Données projet'!$E$12+1,1))</f>
        <v>309.71642374647882</v>
      </c>
      <c r="CE51" s="62">
        <f t="shared" si="40"/>
        <v>266.63880397664315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1.4866695298923354</v>
      </c>
      <c r="CM51" s="23">
        <f>EXP(-LN(2)/2)*CM50+(1-EXP(-LN(2)/2))/(LN(2)/2)*CG51*CJ51*VLOOKUP('Données projet'!$B$12,Paramètres!$A$1:$I$89,3,0)*0.475*44/12</f>
        <v>1.553939440373696E-2</v>
      </c>
      <c r="CN51" s="24">
        <f t="shared" si="12"/>
        <v>1.5022089242960723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7</v>
      </c>
      <c r="CT51" s="13">
        <f>IF('Données projet'!$A$140&gt;35,CT50+CS51-DB50,IF(A51&lt;'Données projet'!$A$140,$CQ$205^A51,IF(A51='Données projet'!$A$140,'Données projet'!$B$140,CT50+CS51-DB50)))</f>
        <v>225.99999999999983</v>
      </c>
      <c r="CU51" s="18">
        <f>CT51*VLOOKUP('Données projet'!$B$13,Paramètres!$A$1:$I$89,3,0)*VLOOKUP('Données projet'!$B$13,Paramètres!$A$1:$I$89,5,0)</f>
        <v>179.80559999999988</v>
      </c>
      <c r="CV51" s="14">
        <f t="shared" si="41"/>
        <v>45.278933028529949</v>
      </c>
      <c r="CW51" s="22">
        <f t="shared" si="13"/>
        <v>392.0222283580228</v>
      </c>
      <c r="CX51" s="62">
        <f t="shared" si="14"/>
        <v>685.35556169135612</v>
      </c>
      <c r="CY51" s="62">
        <f ca="1">AVERAGE(OFFSET($CX$3,0,0,'Données projet'!$E$13+1,1))-AVERAGE(OFFSET($H$3,0,0,'Données projet'!$E$13+1,1))</f>
        <v>312.53381881960331</v>
      </c>
      <c r="CZ51" s="62">
        <f t="shared" si="42"/>
        <v>342.06887933351783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8.1999999999999993</v>
      </c>
      <c r="DO51" s="13">
        <f>IF('Données projet'!$A$166&gt;35,DO50+DN51-DW50,IF(A51&lt;'Données projet'!$A$166,$DL$205^A51,IF(A51='Données projet'!$A$166,'Données projet'!$B$166,DO50+DN51-DW50)))</f>
        <v>161.6</v>
      </c>
      <c r="DP51" s="18">
        <f>DO51*VLOOKUP('Données projet'!$B$14,Paramètres!$A$1:$I$89,3,0)*VLOOKUP('Données projet'!$B$14,Paramètres!$A$1:$I$89,5,0)</f>
        <v>173.94623999999999</v>
      </c>
      <c r="DQ51" s="14">
        <f t="shared" si="43"/>
        <v>43.972666205274265</v>
      </c>
      <c r="DR51" s="22">
        <f t="shared" si="16"/>
        <v>379.542094974186</v>
      </c>
      <c r="DS51" s="62">
        <f t="shared" si="17"/>
        <v>672.87542830751931</v>
      </c>
      <c r="DT51" s="62">
        <f ca="1">AVERAGE(OFFSET($DS$3,0,0,'Données projet'!$E$14+1,1))-AVERAGE(OFFSET($H$3,0,0,'Données projet'!$E$14+1,1))</f>
        <v>503.92230226365683</v>
      </c>
      <c r="DU51" s="62">
        <f t="shared" si="44"/>
        <v>267.2998309535638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8.1999999999999993</v>
      </c>
      <c r="EJ51" s="13">
        <f>IF('Données projet'!$A$192&gt;35,EJ50+EI51-ER50,IF(A51&lt;'Données projet'!$A$192,$EG$205^A51,IF(A51='Données projet'!$A$192,'Données projet'!$B$192,EJ50+EI51-ER50)))</f>
        <v>161.6</v>
      </c>
      <c r="EK51" s="18">
        <f>EJ51*VLOOKUP('Données projet'!$B$15,Paramètres!$A$1:$I$89,3,0)*VLOOKUP('Données projet'!$B$15,Paramètres!$A$1:$I$89,5,0)</f>
        <v>156.29952</v>
      </c>
      <c r="EL51" s="14">
        <f t="shared" si="45"/>
        <v>40.006728538728396</v>
      </c>
      <c r="EM51" s="22">
        <f t="shared" si="19"/>
        <v>341.90004953828526</v>
      </c>
      <c r="EN51" s="62">
        <f t="shared" si="20"/>
        <v>635.23338287161857</v>
      </c>
      <c r="EO51" s="62">
        <f ca="1">AVERAGE(OFFSET($EN$3,0,0,'Données projet'!$E$15+1,1))-AVERAGE(OFFSET($H$3,0,0,'Données projet'!$E$15+1,1))</f>
        <v>457.16923206840744</v>
      </c>
      <c r="EP51" s="62">
        <f t="shared" si="46"/>
        <v>244.45149244446094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8.6</v>
      </c>
      <c r="FE51" s="13">
        <f>IF('Données projet'!$A$218&gt;35,FE50+FD51-FM50,IF(A51&lt;'Données projet'!$A$218,$FB$205^A51,IF(A51='Données projet'!$A$218,'Données projet'!$B$218,FE50+FD51-FM50)))</f>
        <v>264.80000000000007</v>
      </c>
      <c r="FF51" s="18">
        <f>FE51*VLOOKUP('Données projet'!$B$16,Paramètres!$A$1:$I$89,3,0)*VLOOKUP('Données projet'!$B$16,Paramètres!$A$1:$I$89,5,0)</f>
        <v>177.62784000000005</v>
      </c>
      <c r="FG51" s="14">
        <f t="shared" si="47"/>
        <v>44.794017479340106</v>
      </c>
      <c r="FH51" s="22">
        <f t="shared" si="22"/>
        <v>387.38473510985074</v>
      </c>
      <c r="FI51" s="62">
        <f t="shared" si="23"/>
        <v>680.71806844318405</v>
      </c>
      <c r="FJ51" s="62">
        <f ca="1">AVERAGE(OFFSET($FI$3,0,0,'Données projet'!$E$16+1,1))-AVERAGE(OFFSET($H$3,0,0,'Données projet'!$E$16+1,1))</f>
        <v>385.97853124853452</v>
      </c>
      <c r="FK51" s="62">
        <f t="shared" si="48"/>
        <v>300.99118099739695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132.280299502248</v>
      </c>
      <c r="T52" s="62">
        <f t="shared" si="34"/>
        <v>337.98099449405339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43.004730029996438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2.5422510431738253E-3</v>
      </c>
      <c r="AC52" s="24">
        <f t="shared" si="3"/>
        <v>43.007272281039612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169.79999999999998</v>
      </c>
      <c r="AJ52" s="14">
        <f>AI52*VLOOKUP('Données projet'!$B$10,Paramètres!$A$1:$I$89,3,0)*VLOOKUP('Données projet'!$B$10,Paramètres!$A$1:$I$89,5,0)</f>
        <v>153.63503999999998</v>
      </c>
      <c r="AK52" s="14">
        <f t="shared" si="35"/>
        <v>39.403506785222667</v>
      </c>
      <c r="AL52" s="22">
        <f t="shared" si="4"/>
        <v>336.20880231759611</v>
      </c>
      <c r="AM52" s="62">
        <f t="shared" si="5"/>
        <v>629.54213565092937</v>
      </c>
      <c r="AN52" s="62">
        <f ca="1">AVERAGE(OFFSET($AM$3,0,0,'Données projet'!$E$10+1,1))-AVERAGE(OFFSET($H$3,0,0,'Données projet'!$E$10+1,1))</f>
        <v>430.40491895612814</v>
      </c>
      <c r="AO52" s="62">
        <f t="shared" si="36"/>
        <v>231.36959598460686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14.1</v>
      </c>
      <c r="BD52" s="13">
        <f>IF('Données projet'!$A$88&gt;35,BD51+BC52-BL51,IF(A52&lt;'Données projet'!$A$88,$BA$205^A52,IF(A52='Données projet'!$A$88,'Données projet'!$B$88,BD51+BC52-BL51)))</f>
        <v>300.90000000000009</v>
      </c>
      <c r="BE52" s="14">
        <f>BD52*VLOOKUP('Données projet'!$B$11,Paramètres!$A$1:$I$89,3,0)*VLOOKUP('Données projet'!$B$11,Paramètres!$A$1:$I$89,5,0)</f>
        <v>179.93820000000005</v>
      </c>
      <c r="BF52" s="14">
        <f t="shared" si="37"/>
        <v>45.308436530386629</v>
      </c>
      <c r="BG52" s="22">
        <f t="shared" si="7"/>
        <v>392.30455862375675</v>
      </c>
      <c r="BH52" s="62">
        <f t="shared" si="8"/>
        <v>685.63789195709001</v>
      </c>
      <c r="BI52" s="62">
        <f ca="1">AVERAGE(OFFSET($BH$3,0,0,'Données projet'!$E$11+1,1))-AVERAGE(OFFSET($H$3,0,0,'Données projet'!$E$11+1,1))</f>
        <v>295.83974441964551</v>
      </c>
      <c r="BJ52" s="62">
        <f t="shared" si="38"/>
        <v>212.24900914818096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13.2</v>
      </c>
      <c r="BY52" s="13">
        <f>IF('Données projet'!$A$114&gt;35,BY51+BX52-CG51,IF(A52&lt;'Données projet'!$A$114,$BV$205^A52,IF(A52='Données projet'!$A$114,'Données projet'!$B$114,BY51+BX52-CG51)))</f>
        <v>297.79999999999995</v>
      </c>
      <c r="BZ52" s="14">
        <f>BY52*VLOOKUP('Données projet'!$B$12,Paramètres!$A$1:$I$89,3,0)*VLOOKUP('Données projet'!$B$12,Paramètres!$A$1:$I$89,5,0)</f>
        <v>170.34159999999997</v>
      </c>
      <c r="CA52" s="14">
        <f t="shared" si="39"/>
        <v>43.166521681123569</v>
      </c>
      <c r="CB52" s="22">
        <f t="shared" si="10"/>
        <v>371.8599785946235</v>
      </c>
      <c r="CC52" s="62">
        <f t="shared" si="11"/>
        <v>665.19331192795676</v>
      </c>
      <c r="CD52" s="62">
        <f ca="1">AVERAGE(OFFSET($CC$3,0,0,'Données projet'!$E$12+1,1))-AVERAGE(OFFSET($H$3,0,0,'Données projet'!$E$12+1,1))</f>
        <v>309.71642374647882</v>
      </c>
      <c r="CE52" s="62">
        <f t="shared" si="40"/>
        <v>266.63880397664315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1.4460164734168768</v>
      </c>
      <c r="CM52" s="23">
        <f>EXP(-LN(2)/2)*CM51+(1-EXP(-LN(2)/2))/(LN(2)/2)*CG52*CJ52*VLOOKUP('Données projet'!$B$12,Paramètres!$A$1:$I$89,3,0)*0.475*44/12</f>
        <v>1.0988011158414693E-2</v>
      </c>
      <c r="CN52" s="24">
        <f t="shared" si="12"/>
        <v>1.4570044845752914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7</v>
      </c>
      <c r="CT52" s="13">
        <f>IF('Données projet'!$A$140&gt;35,CT51+CS52-DB51,IF(A52&lt;'Données projet'!$A$140,$CQ$205^A52,IF(A52='Données projet'!$A$140,'Données projet'!$B$140,CT51+CS52-DB51)))</f>
        <v>232.99999999999983</v>
      </c>
      <c r="CU52" s="18">
        <f>CT52*VLOOKUP('Données projet'!$B$13,Paramètres!$A$1:$I$89,3,0)*VLOOKUP('Données projet'!$B$13,Paramètres!$A$1:$I$89,5,0)</f>
        <v>185.37479999999988</v>
      </c>
      <c r="CV52" s="14">
        <f t="shared" si="41"/>
        <v>46.515924762412688</v>
      </c>
      <c r="CW52" s="22">
        <f t="shared" si="13"/>
        <v>403.87634562786849</v>
      </c>
      <c r="CX52" s="62">
        <f t="shared" si="14"/>
        <v>697.2096789612018</v>
      </c>
      <c r="CY52" s="62">
        <f ca="1">AVERAGE(OFFSET($CX$3,0,0,'Données projet'!$E$13+1,1))-AVERAGE(OFFSET($H$3,0,0,'Données projet'!$E$13+1,1))</f>
        <v>312.53381881960331</v>
      </c>
      <c r="CZ52" s="62">
        <f t="shared" si="42"/>
        <v>342.06887933351783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8.1999999999999993</v>
      </c>
      <c r="DO52" s="13">
        <f>IF('Données projet'!$A$166&gt;35,DO51+DN52-DW51,IF(A52&lt;'Données projet'!$A$166,$DL$205^A52,IF(A52='Données projet'!$A$166,'Données projet'!$B$166,DO51+DN52-DW51)))</f>
        <v>169.79999999999998</v>
      </c>
      <c r="DP52" s="18">
        <f>DO52*VLOOKUP('Données projet'!$B$14,Paramètres!$A$1:$I$89,3,0)*VLOOKUP('Données projet'!$B$14,Paramètres!$A$1:$I$89,5,0)</f>
        <v>182.77271999999996</v>
      </c>
      <c r="DQ52" s="14">
        <f t="shared" si="43"/>
        <v>45.938515386827795</v>
      </c>
      <c r="DR52" s="22">
        <f t="shared" si="16"/>
        <v>398.33873496539167</v>
      </c>
      <c r="DS52" s="62">
        <f t="shared" si="17"/>
        <v>691.67206829872498</v>
      </c>
      <c r="DT52" s="62">
        <f ca="1">AVERAGE(OFFSET($DS$3,0,0,'Données projet'!$E$14+1,1))-AVERAGE(OFFSET($H$3,0,0,'Données projet'!$E$14+1,1))</f>
        <v>503.92230226365683</v>
      </c>
      <c r="DU52" s="62">
        <f t="shared" si="44"/>
        <v>267.2998309535638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8.1999999999999993</v>
      </c>
      <c r="EJ52" s="13">
        <f>IF('Données projet'!$A$192&gt;35,EJ51+EI52-ER51,IF(A52&lt;'Données projet'!$A$192,$EG$205^A52,IF(A52='Données projet'!$A$192,'Données projet'!$B$192,EJ51+EI52-ER51)))</f>
        <v>169.79999999999998</v>
      </c>
      <c r="EK52" s="18">
        <f>EJ52*VLOOKUP('Données projet'!$B$15,Paramètres!$A$1:$I$89,3,0)*VLOOKUP('Données projet'!$B$15,Paramètres!$A$1:$I$89,5,0)</f>
        <v>164.23055999999997</v>
      </c>
      <c r="EL52" s="14">
        <f t="shared" si="45"/>
        <v>41.795275864636515</v>
      </c>
      <c r="EM52" s="22">
        <f t="shared" si="19"/>
        <v>358.82833079757523</v>
      </c>
      <c r="EN52" s="62">
        <f t="shared" si="20"/>
        <v>652.16166413090855</v>
      </c>
      <c r="EO52" s="62">
        <f ca="1">AVERAGE(OFFSET($EN$3,0,0,'Données projet'!$E$15+1,1))-AVERAGE(OFFSET($H$3,0,0,'Données projet'!$E$15+1,1))</f>
        <v>457.16923206840744</v>
      </c>
      <c r="EP52" s="62">
        <f t="shared" si="46"/>
        <v>244.45149244446094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8.6</v>
      </c>
      <c r="FE52" s="13">
        <f>IF('Données projet'!$A$218&gt;35,FE51+FD52-FM51,IF(A52&lt;'Données projet'!$A$218,$FB$205^A52,IF(A52='Données projet'!$A$218,'Données projet'!$B$218,FE51+FD52-FM51)))</f>
        <v>273.40000000000009</v>
      </c>
      <c r="FF52" s="18">
        <f>FE52*VLOOKUP('Données projet'!$B$16,Paramètres!$A$1:$I$89,3,0)*VLOOKUP('Données projet'!$B$16,Paramètres!$A$1:$I$89,5,0)</f>
        <v>183.39672000000007</v>
      </c>
      <c r="FG52" s="14">
        <f t="shared" si="47"/>
        <v>46.077069583477318</v>
      </c>
      <c r="FH52" s="22">
        <f t="shared" si="22"/>
        <v>399.66685019122309</v>
      </c>
      <c r="FI52" s="62">
        <f t="shared" si="23"/>
        <v>693.00018352455641</v>
      </c>
      <c r="FJ52" s="62">
        <f ca="1">AVERAGE(OFFSET($FI$3,0,0,'Données projet'!$E$16+1,1))-AVERAGE(OFFSET($H$3,0,0,'Données projet'!$E$16+1,1))</f>
        <v>385.97853124853452</v>
      </c>
      <c r="FK52" s="62">
        <f t="shared" si="48"/>
        <v>300.99118099739695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132.280299502248</v>
      </c>
      <c r="T53" s="62">
        <f t="shared" si="34"/>
        <v>337.98099449405339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42.161433504403497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1.7976429521067863E-3</v>
      </c>
      <c r="AC53" s="24">
        <f t="shared" si="3"/>
        <v>42.163231147355603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178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177.99999999999997</v>
      </c>
      <c r="AJ53" s="14">
        <f>AI53*VLOOKUP('Données projet'!$B$10,Paramètres!$A$1:$I$89,3,0)*VLOOKUP('Données projet'!$B$10,Paramètres!$A$1:$I$89,5,0)</f>
        <v>161.05439999999999</v>
      </c>
      <c r="AK53" s="14">
        <f t="shared" si="35"/>
        <v>41.080247278685491</v>
      </c>
      <c r="AL53" s="22">
        <f t="shared" si="4"/>
        <v>352.05117734371055</v>
      </c>
      <c r="AM53" s="62">
        <f t="shared" si="5"/>
        <v>645.38451067704386</v>
      </c>
      <c r="AN53" s="62">
        <f ca="1">AVERAGE(OFFSET($AM$3,0,0,'Données projet'!$E$10+1,1))-AVERAGE(OFFSET($H$3,0,0,'Données projet'!$E$10+1,1))</f>
        <v>430.40491895612814</v>
      </c>
      <c r="AO53" s="62">
        <f t="shared" si="36"/>
        <v>231.36959598460686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315</v>
      </c>
      <c r="BB53" s="13">
        <f>VLOOKUP(A53,'Données projet'!$A$87:$I$107,9,0)</f>
        <v>14.1</v>
      </c>
      <c r="BC53" s="13">
        <f t="array" ref="BC53">INDEX(BB:BB,MIN(IF(ISNUMBER(BB53:BB249),ROW(BB53:BB249),"")))</f>
        <v>14.1</v>
      </c>
      <c r="BD53" s="13">
        <f>IF('Données projet'!$A$88&gt;35,BD52+BC53-BL52,IF(A53&lt;'Données projet'!$A$88,$BA$205^A53,IF(A53='Données projet'!$A$88,'Données projet'!$B$88,BD52+BC53-BL52)))</f>
        <v>315.00000000000011</v>
      </c>
      <c r="BE53" s="14">
        <f>BD53*VLOOKUP('Données projet'!$B$11,Paramètres!$A$1:$I$89,3,0)*VLOOKUP('Données projet'!$B$11,Paramètres!$A$1:$I$89,5,0)</f>
        <v>188.37000000000009</v>
      </c>
      <c r="BF53" s="14">
        <f t="shared" si="37"/>
        <v>47.179402486491341</v>
      </c>
      <c r="BG53" s="22">
        <f t="shared" si="7"/>
        <v>410.24854266397256</v>
      </c>
      <c r="BH53" s="62">
        <f t="shared" si="8"/>
        <v>703.58187599730581</v>
      </c>
      <c r="BI53" s="62">
        <f ca="1">AVERAGE(OFFSET($BH$3,0,0,'Données projet'!$E$11+1,1))-AVERAGE(OFFSET($H$3,0,0,'Données projet'!$E$11+1,1))</f>
        <v>295.83974441964551</v>
      </c>
      <c r="BJ53" s="62">
        <f t="shared" si="38"/>
        <v>212.24900914818096</v>
      </c>
      <c r="BK53" s="16">
        <f>IF(ISNA(VLOOKUP(A53,'Données projet'!$A$87:$I$107,3,0)),0,VLOOKUP(A53,'Données projet'!$A$87:$I$107,3,0))</f>
        <v>5</v>
      </c>
      <c r="BL53" s="16">
        <f>IF(ISNA(VLOOKUP(A53,'Données projet'!$A$87:$I$107,4,0)),0,VLOOKUP(A53,'Données projet'!$A$87:$I$107,4,0))</f>
        <v>79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311</v>
      </c>
      <c r="BW53" s="13">
        <f>VLOOKUP(A53,'Données projet'!$A$113:$I$133,9,0)</f>
        <v>13.2</v>
      </c>
      <c r="BX53" s="13">
        <f t="array" ref="BX53">INDEX(BW:BW,MIN(IF(ISNUMBER(BW53:BW249),ROW(BW53:BW249),"")))</f>
        <v>13.2</v>
      </c>
      <c r="BY53" s="13">
        <f>IF('Données projet'!$A$114&gt;35,BY52+BX53-CG52,IF(A53&lt;'Données projet'!$A$114,$BV$205^A53,IF(A53='Données projet'!$A$114,'Données projet'!$B$114,BY52+BX53-CG52)))</f>
        <v>310.99999999999994</v>
      </c>
      <c r="BZ53" s="14">
        <f>BY53*VLOOKUP('Données projet'!$B$12,Paramètres!$A$1:$I$89,3,0)*VLOOKUP('Données projet'!$B$12,Paramètres!$A$1:$I$89,5,0)</f>
        <v>177.89199999999997</v>
      </c>
      <c r="CA53" s="14">
        <f t="shared" si="39"/>
        <v>44.8528739442404</v>
      </c>
      <c r="CB53" s="22">
        <f t="shared" si="10"/>
        <v>387.94732211955193</v>
      </c>
      <c r="CC53" s="62">
        <f t="shared" si="11"/>
        <v>681.28065545288518</v>
      </c>
      <c r="CD53" s="62">
        <f ca="1">AVERAGE(OFFSET($CC$3,0,0,'Données projet'!$E$12+1,1))-AVERAGE(OFFSET($H$3,0,0,'Données projet'!$E$12+1,1))</f>
        <v>309.71642374647882</v>
      </c>
      <c r="CE53" s="62">
        <f t="shared" si="40"/>
        <v>266.63880397664315</v>
      </c>
      <c r="CF53" s="16">
        <f>IF(ISNA(VLOOKUP(A53,'Données projet'!$A$113:$I$133,3,0)),0,VLOOKUP(A53,'Données projet'!$A$113:$I$133,3,0))</f>
        <v>7</v>
      </c>
      <c r="CG53" s="16">
        <f>IF(ISNA(VLOOKUP(A53,'Données projet'!$A$113:$I$133,4,0)),0,VLOOKUP(A53,'Données projet'!$A$113:$I$133,4,0))</f>
        <v>37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1.406475076908591</v>
      </c>
      <c r="CM53" s="23">
        <f>EXP(-LN(2)/2)*CM52+(1-EXP(-LN(2)/2))/(LN(2)/2)*CG53*CJ53*VLOOKUP('Données projet'!$B$12,Paramètres!$A$1:$I$89,3,0)*0.475*44/12</f>
        <v>7.7696972018684819E-3</v>
      </c>
      <c r="CN53" s="24">
        <f t="shared" si="12"/>
        <v>1.4142447741104593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240</v>
      </c>
      <c r="CR53" s="13">
        <f>VLOOKUP(A53,'Données projet'!$A$139:$I$159,9,0)</f>
        <v>7</v>
      </c>
      <c r="CS53" s="13">
        <f t="array" ref="CS53">INDEX(CR:CR,MIN(IF(ISNUMBER(CR53:CR249),ROW(CR53:CR249),"")))</f>
        <v>7</v>
      </c>
      <c r="CT53" s="13">
        <f>IF('Données projet'!$A$140&gt;35,CT52+CS53-DB52,IF(A53&lt;'Données projet'!$A$140,$CQ$205^A53,IF(A53='Données projet'!$A$140,'Données projet'!$B$140,CT52+CS53-DB52)))</f>
        <v>239.99999999999983</v>
      </c>
      <c r="CU53" s="18">
        <f>CT53*VLOOKUP('Données projet'!$B$13,Paramètres!$A$1:$I$89,3,0)*VLOOKUP('Données projet'!$B$13,Paramètres!$A$1:$I$89,5,0)</f>
        <v>190.94399999999987</v>
      </c>
      <c r="CV53" s="14">
        <f t="shared" si="41"/>
        <v>47.748597609826554</v>
      </c>
      <c r="CW53" s="22">
        <f t="shared" si="13"/>
        <v>415.72294083711432</v>
      </c>
      <c r="CX53" s="62">
        <f t="shared" si="14"/>
        <v>709.05627417044764</v>
      </c>
      <c r="CY53" s="62">
        <f ca="1">AVERAGE(OFFSET($CX$3,0,0,'Données projet'!$E$13+1,1))-AVERAGE(OFFSET($H$3,0,0,'Données projet'!$E$13+1,1))</f>
        <v>312.53381881960331</v>
      </c>
      <c r="CZ53" s="62">
        <f t="shared" si="42"/>
        <v>342.06887933351783</v>
      </c>
      <c r="DA53" s="16">
        <f>IF(ISNA(VLOOKUP(A53,'Données projet'!$A$139:$I$159,3,0)),0,VLOOKUP(A53,'Données projet'!$A$139:$I$159,3,0))</f>
        <v>4</v>
      </c>
      <c r="DB53" s="16">
        <f>IF(ISNA(VLOOKUP(A53,'Données projet'!$A$139:$I$159,4,0)),0,VLOOKUP(A53,'Données projet'!$A$139:$I$159,4,0))</f>
        <v>39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178</v>
      </c>
      <c r="DM53" s="13">
        <f>VLOOKUP(A53,'Données projet'!$A$165:$I$185,9,0)</f>
        <v>8.1999999999999993</v>
      </c>
      <c r="DN53" s="13">
        <f t="array" ref="DN53">INDEX(DM:DM,MIN(IF(ISNUMBER(DM53:DM249),ROW(DM53:DM249),"")))</f>
        <v>8.1999999999999993</v>
      </c>
      <c r="DO53" s="13">
        <f>IF('Données projet'!$A$166&gt;35,DO52+DN53-DW52,IF(A53&lt;'Données projet'!$A$166,$DL$205^A53,IF(A53='Données projet'!$A$166,'Données projet'!$B$166,DO52+DN53-DW52)))</f>
        <v>177.99999999999997</v>
      </c>
      <c r="DP53" s="18">
        <f>DO53*VLOOKUP('Données projet'!$B$14,Paramètres!$A$1:$I$89,3,0)*VLOOKUP('Données projet'!$B$14,Paramètres!$A$1:$I$89,5,0)</f>
        <v>191.59919999999994</v>
      </c>
      <c r="DQ53" s="14">
        <f t="shared" si="43"/>
        <v>47.893340610341816</v>
      </c>
      <c r="DR53" s="22">
        <f t="shared" si="16"/>
        <v>417.11617489634523</v>
      </c>
      <c r="DS53" s="62">
        <f t="shared" si="17"/>
        <v>710.44950822967849</v>
      </c>
      <c r="DT53" s="62">
        <f ca="1">AVERAGE(OFFSET($DS$3,0,0,'Données projet'!$E$14+1,1))-AVERAGE(OFFSET($H$3,0,0,'Données projet'!$E$14+1,1))</f>
        <v>503.92230226365683</v>
      </c>
      <c r="DU53" s="62">
        <f t="shared" si="44"/>
        <v>267.2998309535638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178</v>
      </c>
      <c r="EH53" s="13">
        <f>VLOOKUP(A53,'Données projet'!$A$191:$I$211,9,0)</f>
        <v>8.1999999999999993</v>
      </c>
      <c r="EI53" s="13">
        <f t="array" ref="EI53">INDEX(EH:EH,MIN(IF(ISNUMBER(EH53:EH249),ROW(EH53:EH249),"")))</f>
        <v>8.1999999999999993</v>
      </c>
      <c r="EJ53" s="13">
        <f>IF('Données projet'!$A$192&gt;35,EJ52+EI53-ER52,IF(A53&lt;'Données projet'!$A$192,$EG$205^A53,IF(A53='Données projet'!$A$192,'Données projet'!$B$192,EJ52+EI53-ER52)))</f>
        <v>177.99999999999997</v>
      </c>
      <c r="EK53" s="18">
        <f>EJ53*VLOOKUP('Données projet'!$B$15,Paramètres!$A$1:$I$89,3,0)*VLOOKUP('Données projet'!$B$15,Paramètres!$A$1:$I$89,5,0)</f>
        <v>172.16159999999999</v>
      </c>
      <c r="EL53" s="14">
        <f t="shared" si="45"/>
        <v>43.57379349403616</v>
      </c>
      <c r="EM53" s="22">
        <f t="shared" si="19"/>
        <v>375.7391436687796</v>
      </c>
      <c r="EN53" s="62">
        <f t="shared" si="20"/>
        <v>669.07247700211292</v>
      </c>
      <c r="EO53" s="62">
        <f ca="1">AVERAGE(OFFSET($EN$3,0,0,'Données projet'!$E$15+1,1))-AVERAGE(OFFSET($H$3,0,0,'Données projet'!$E$15+1,1))</f>
        <v>457.16923206840744</v>
      </c>
      <c r="EP53" s="62">
        <f t="shared" si="46"/>
        <v>244.45149244446094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282</v>
      </c>
      <c r="FC53" s="13">
        <f>VLOOKUP(A53,'Données projet'!$A$217:$I$237,9,0)</f>
        <v>8.6</v>
      </c>
      <c r="FD53" s="13">
        <f t="array" ref="FD53">INDEX(FC:FC,MIN(IF(ISNUMBER(FC53:FC249),ROW(FC53:FC249),"")))</f>
        <v>8.6</v>
      </c>
      <c r="FE53" s="13">
        <f>IF('Données projet'!$A$218&gt;35,FE52+FD53-FM52,IF(A53&lt;'Données projet'!$A$218,$FB$205^A53,IF(A53='Données projet'!$A$218,'Données projet'!$B$218,FE52+FD53-FM52)))</f>
        <v>282.00000000000011</v>
      </c>
      <c r="FF53" s="18">
        <f>FE53*VLOOKUP('Données projet'!$B$16,Paramètres!$A$1:$I$89,3,0)*VLOOKUP('Données projet'!$B$16,Paramètres!$A$1:$I$89,5,0)</f>
        <v>189.16560000000007</v>
      </c>
      <c r="FG53" s="14">
        <f t="shared" si="47"/>
        <v>47.355431631295311</v>
      </c>
      <c r="FH53" s="22">
        <f t="shared" si="22"/>
        <v>411.94079675783945</v>
      </c>
      <c r="FI53" s="62">
        <f t="shared" si="23"/>
        <v>705.27413009117276</v>
      </c>
      <c r="FJ53" s="62">
        <f ca="1">AVERAGE(OFFSET($FI$3,0,0,'Données projet'!$E$16+1,1))-AVERAGE(OFFSET($H$3,0,0,'Données projet'!$E$16+1,1))</f>
        <v>385.97853124853452</v>
      </c>
      <c r="FK53" s="62">
        <f t="shared" si="48"/>
        <v>300.99118099739695</v>
      </c>
      <c r="FL53" s="16">
        <f>IF(ISNA(VLOOKUP(A53,'Données projet'!$A$217:$I$237,3,0)),0,VLOOKUP(A53,'Données projet'!$A$217:$I$237,3,0))</f>
        <v>4</v>
      </c>
      <c r="FM53" s="16">
        <f>IF(ISNA(VLOOKUP(A53,'Données projet'!$A$217:$I$237,4,0)),0,VLOOKUP(A53,'Données projet'!$A$217:$I$237,4,0))</f>
        <v>44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132.280299502248</v>
      </c>
      <c r="T54" s="62">
        <f t="shared" si="34"/>
        <v>337.98099449405339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41.334673509317348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1.2711255215869127E-3</v>
      </c>
      <c r="AC54" s="24">
        <f t="shared" si="3"/>
        <v>41.335944634838931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185.99999999999997</v>
      </c>
      <c r="AJ54" s="14">
        <f>AI54*VLOOKUP('Données projet'!$B$10,Paramètres!$A$1:$I$89,3,0)*VLOOKUP('Données projet'!$B$10,Paramètres!$A$1:$I$89,5,0)</f>
        <v>168.29279999999997</v>
      </c>
      <c r="AK54" s="14">
        <f t="shared" si="35"/>
        <v>42.707443263135104</v>
      </c>
      <c r="AL54" s="22">
        <f t="shared" si="4"/>
        <v>367.49209034996028</v>
      </c>
      <c r="AM54" s="62">
        <f t="shared" si="5"/>
        <v>660.82542368329359</v>
      </c>
      <c r="AN54" s="62">
        <f ca="1">AVERAGE(OFFSET($AM$3,0,0,'Données projet'!$E$10+1,1))-AVERAGE(OFFSET($H$3,0,0,'Données projet'!$E$10+1,1))</f>
        <v>430.40491895612814</v>
      </c>
      <c r="AO54" s="62">
        <f t="shared" si="36"/>
        <v>231.36959598460686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15.7</v>
      </c>
      <c r="BD54" s="13">
        <f>IF('Données projet'!$A$88&gt;35,BD53+BC54-BL53,IF(A54&lt;'Données projet'!$A$88,$BA$205^A54,IF(A54='Données projet'!$A$88,'Données projet'!$B$88,BD53+BC54-BL53)))</f>
        <v>251.7000000000001</v>
      </c>
      <c r="BE54" s="14">
        <f>BD54*VLOOKUP('Données projet'!$B$11,Paramètres!$A$1:$I$89,3,0)*VLOOKUP('Données projet'!$B$11,Paramètres!$A$1:$I$89,5,0)</f>
        <v>150.51660000000007</v>
      </c>
      <c r="BF54" s="14">
        <f t="shared" si="37"/>
        <v>38.695961323116059</v>
      </c>
      <c r="BG54" s="22">
        <f t="shared" si="7"/>
        <v>329.54521097109392</v>
      </c>
      <c r="BH54" s="62">
        <f t="shared" si="8"/>
        <v>622.87854430442724</v>
      </c>
      <c r="BI54" s="62">
        <f ca="1">AVERAGE(OFFSET($BH$3,0,0,'Données projet'!$E$11+1,1))-AVERAGE(OFFSET($H$3,0,0,'Données projet'!$E$11+1,1))</f>
        <v>295.83974441964551</v>
      </c>
      <c r="BJ54" s="62">
        <f t="shared" si="38"/>
        <v>212.24900914818096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12.25</v>
      </c>
      <c r="BY54" s="13">
        <f>IF('Données projet'!$A$114&gt;35,BY53+BX54-CG53,IF(A54&lt;'Données projet'!$A$114,$BV$205^A54,IF(A54='Données projet'!$A$114,'Données projet'!$B$114,BY53+BX54-CG53)))</f>
        <v>286.24999999999994</v>
      </c>
      <c r="BZ54" s="14">
        <f>BY54*VLOOKUP('Données projet'!$B$12,Paramètres!$A$1:$I$89,3,0)*VLOOKUP('Données projet'!$B$12,Paramètres!$A$1:$I$89,5,0)</f>
        <v>163.73499999999999</v>
      </c>
      <c r="CA54" s="14">
        <f t="shared" si="39"/>
        <v>41.683820360110872</v>
      </c>
      <c r="CB54" s="22">
        <f t="shared" si="10"/>
        <v>357.77111212719302</v>
      </c>
      <c r="CC54" s="62">
        <f t="shared" si="11"/>
        <v>651.10444546052634</v>
      </c>
      <c r="CD54" s="62">
        <f ca="1">AVERAGE(OFFSET($CC$3,0,0,'Données projet'!$E$12+1,1))-AVERAGE(OFFSET($H$3,0,0,'Données projet'!$E$12+1,1))</f>
        <v>309.71642374647882</v>
      </c>
      <c r="CE54" s="62">
        <f t="shared" si="40"/>
        <v>266.63880397664315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1.3680149419672158</v>
      </c>
      <c r="CM54" s="23">
        <f>EXP(-LN(2)/2)*CM53+(1-EXP(-LN(2)/2))/(LN(2)/2)*CG54*CJ54*VLOOKUP('Données projet'!$B$12,Paramètres!$A$1:$I$89,3,0)*0.475*44/12</f>
        <v>5.4940055792073476E-3</v>
      </c>
      <c r="CN54" s="24">
        <f t="shared" si="12"/>
        <v>1.3735089475464233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6.4</v>
      </c>
      <c r="CT54" s="13">
        <f>IF('Données projet'!$A$140&gt;35,CT53+CS54-DB53,IF(A54&lt;'Données projet'!$A$140,$CQ$205^A54,IF(A54='Données projet'!$A$140,'Données projet'!$B$140,CT53+CS54-DB53)))</f>
        <v>207.39999999999984</v>
      </c>
      <c r="CU54" s="18">
        <f>CT54*VLOOKUP('Données projet'!$B$13,Paramètres!$A$1:$I$89,3,0)*VLOOKUP('Données projet'!$B$13,Paramètres!$A$1:$I$89,5,0)</f>
        <v>165.00743999999986</v>
      </c>
      <c r="CV54" s="14">
        <f t="shared" si="41"/>
        <v>41.969923817052226</v>
      </c>
      <c r="CW54" s="22">
        <f t="shared" si="13"/>
        <v>360.48557531469902</v>
      </c>
      <c r="CX54" s="62">
        <f t="shared" si="14"/>
        <v>653.81890864803233</v>
      </c>
      <c r="CY54" s="62">
        <f ca="1">AVERAGE(OFFSET($CX$3,0,0,'Données projet'!$E$13+1,1))-AVERAGE(OFFSET($H$3,0,0,'Données projet'!$E$13+1,1))</f>
        <v>312.53381881960331</v>
      </c>
      <c r="CZ54" s="62">
        <f t="shared" si="42"/>
        <v>342.06887933351783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8</v>
      </c>
      <c r="DO54" s="13">
        <f>IF('Données projet'!$A$166&gt;35,DO53+DN54-DW53,IF(A54&lt;'Données projet'!$A$166,$DL$205^A54,IF(A54='Données projet'!$A$166,'Données projet'!$B$166,DO53+DN54-DW53)))</f>
        <v>185.99999999999997</v>
      </c>
      <c r="DP54" s="18">
        <f>DO54*VLOOKUP('Données projet'!$B$14,Paramètres!$A$1:$I$89,3,0)*VLOOKUP('Données projet'!$B$14,Paramètres!$A$1:$I$89,5,0)</f>
        <v>200.21039999999996</v>
      </c>
      <c r="DQ54" s="14">
        <f t="shared" si="43"/>
        <v>49.790404447235048</v>
      </c>
      <c r="DR54" s="22">
        <f t="shared" si="16"/>
        <v>435.41806774560092</v>
      </c>
      <c r="DS54" s="62">
        <f t="shared" si="17"/>
        <v>728.75140107893424</v>
      </c>
      <c r="DT54" s="62">
        <f ca="1">AVERAGE(OFFSET($DS$3,0,0,'Données projet'!$E$14+1,1))-AVERAGE(OFFSET($H$3,0,0,'Données projet'!$E$14+1,1))</f>
        <v>503.92230226365683</v>
      </c>
      <c r="DU54" s="62">
        <f t="shared" si="44"/>
        <v>267.2998309535638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8</v>
      </c>
      <c r="EJ54" s="13">
        <f>IF('Données projet'!$A$192&gt;35,EJ53+EI54-ER53,IF(A54&lt;'Données projet'!$A$192,$EG$205^A54,IF(A54='Données projet'!$A$192,'Données projet'!$B$192,EJ53+EI54-ER53)))</f>
        <v>185.99999999999997</v>
      </c>
      <c r="EK54" s="18">
        <f>EJ54*VLOOKUP('Données projet'!$B$15,Paramètres!$A$1:$I$89,3,0)*VLOOKUP('Données projet'!$B$15,Paramètres!$A$1:$I$89,5,0)</f>
        <v>179.89919999999998</v>
      </c>
      <c r="EL54" s="14">
        <f t="shared" si="45"/>
        <v>45.299759292628586</v>
      </c>
      <c r="EM54" s="22">
        <f t="shared" si="19"/>
        <v>392.22152076799472</v>
      </c>
      <c r="EN54" s="62">
        <f t="shared" si="20"/>
        <v>685.55485410132803</v>
      </c>
      <c r="EO54" s="62">
        <f ca="1">AVERAGE(OFFSET($EN$3,0,0,'Données projet'!$E$15+1,1))-AVERAGE(OFFSET($H$3,0,0,'Données projet'!$E$15+1,1))</f>
        <v>457.16923206840744</v>
      </c>
      <c r="EP54" s="62">
        <f t="shared" si="46"/>
        <v>244.45149244446094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8</v>
      </c>
      <c r="FE54" s="13">
        <f>IF('Données projet'!$A$218&gt;35,FE53+FD54-FM53,IF(A54&lt;'Données projet'!$A$218,$FB$205^A54,IF(A54='Données projet'!$A$218,'Données projet'!$B$218,FE53+FD54-FM53)))</f>
        <v>246.00000000000011</v>
      </c>
      <c r="FF54" s="18">
        <f>FE54*VLOOKUP('Données projet'!$B$16,Paramètres!$A$1:$I$89,3,0)*VLOOKUP('Données projet'!$B$16,Paramètres!$A$1:$I$89,5,0)</f>
        <v>165.01680000000007</v>
      </c>
      <c r="FG54" s="14">
        <f t="shared" si="47"/>
        <v>41.972027424872174</v>
      </c>
      <c r="FH54" s="22">
        <f t="shared" si="22"/>
        <v>360.50554109831916</v>
      </c>
      <c r="FI54" s="62">
        <f t="shared" si="23"/>
        <v>653.83887443165247</v>
      </c>
      <c r="FJ54" s="62">
        <f ca="1">AVERAGE(OFFSET($FI$3,0,0,'Données projet'!$E$16+1,1))-AVERAGE(OFFSET($H$3,0,0,'Données projet'!$E$16+1,1))</f>
        <v>385.97853124853452</v>
      </c>
      <c r="FK54" s="62">
        <f t="shared" si="48"/>
        <v>300.99118099739695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132.280299502248</v>
      </c>
      <c r="T55" s="62">
        <f t="shared" si="34"/>
        <v>337.98099449405339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40.52412577346103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8.9882147605339316E-4</v>
      </c>
      <c r="AC55" s="24">
        <f t="shared" si="3"/>
        <v>40.525024594937086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193.99999999999997</v>
      </c>
      <c r="AJ55" s="14">
        <f>AI55*VLOOKUP('Données projet'!$B$10,Paramètres!$A$1:$I$89,3,0)*VLOOKUP('Données projet'!$B$10,Paramètres!$A$1:$I$89,5,0)</f>
        <v>175.53119999999998</v>
      </c>
      <c r="AK55" s="14">
        <f t="shared" si="35"/>
        <v>44.326510481422488</v>
      </c>
      <c r="AL55" s="22">
        <f t="shared" si="4"/>
        <v>382.9188457551441</v>
      </c>
      <c r="AM55" s="62">
        <f t="shared" si="5"/>
        <v>676.25217908847742</v>
      </c>
      <c r="AN55" s="62">
        <f ca="1">AVERAGE(OFFSET($AM$3,0,0,'Données projet'!$E$10+1,1))-AVERAGE(OFFSET($H$3,0,0,'Données projet'!$E$10+1,1))</f>
        <v>430.40491895612814</v>
      </c>
      <c r="AO55" s="62">
        <f t="shared" si="36"/>
        <v>231.36959598460686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15.7</v>
      </c>
      <c r="BD55" s="13">
        <f>IF('Données projet'!$A$88&gt;35,BD54+BC55-BL54,IF(A55&lt;'Données projet'!$A$88,$BA$205^A55,IF(A55='Données projet'!$A$88,'Données projet'!$B$88,BD54+BC55-BL54)))</f>
        <v>267.40000000000009</v>
      </c>
      <c r="BE55" s="14">
        <f>BD55*VLOOKUP('Données projet'!$B$11,Paramètres!$A$1:$I$89,3,0)*VLOOKUP('Données projet'!$B$11,Paramètres!$A$1:$I$89,5,0)</f>
        <v>159.90520000000006</v>
      </c>
      <c r="BF55" s="14">
        <f t="shared" si="37"/>
        <v>40.821132264574658</v>
      </c>
      <c r="BG55" s="22">
        <f t="shared" si="7"/>
        <v>349.59836202746766</v>
      </c>
      <c r="BH55" s="62">
        <f t="shared" si="8"/>
        <v>642.93169536080097</v>
      </c>
      <c r="BI55" s="62">
        <f ca="1">AVERAGE(OFFSET($BH$3,0,0,'Données projet'!$E$11+1,1))-AVERAGE(OFFSET($H$3,0,0,'Données projet'!$E$11+1,1))</f>
        <v>295.83974441964551</v>
      </c>
      <c r="BJ55" s="62">
        <f t="shared" si="38"/>
        <v>212.24900914818096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12.25</v>
      </c>
      <c r="BY55" s="13">
        <f>IF('Données projet'!$A$114&gt;35,BY54+BX55-CG54,IF(A55&lt;'Données projet'!$A$114,$BV$205^A55,IF(A55='Données projet'!$A$114,'Données projet'!$B$114,BY54+BX55-CG54)))</f>
        <v>298.49999999999994</v>
      </c>
      <c r="BZ55" s="14">
        <f>BY55*VLOOKUP('Données projet'!$B$12,Paramètres!$A$1:$I$89,3,0)*VLOOKUP('Données projet'!$B$12,Paramètres!$A$1:$I$89,5,0)</f>
        <v>170.74199999999996</v>
      </c>
      <c r="CA55" s="14">
        <f t="shared" si="39"/>
        <v>43.256164755747903</v>
      </c>
      <c r="CB55" s="22">
        <f t="shared" si="10"/>
        <v>372.71347028292752</v>
      </c>
      <c r="CC55" s="62">
        <f t="shared" si="11"/>
        <v>666.04680361626083</v>
      </c>
      <c r="CD55" s="62">
        <f ca="1">AVERAGE(OFFSET($CC$3,0,0,'Données projet'!$E$12+1,1))-AVERAGE(OFFSET($H$3,0,0,'Données projet'!$E$12+1,1))</f>
        <v>309.71642374647882</v>
      </c>
      <c r="CE55" s="62">
        <f t="shared" si="40"/>
        <v>266.63880397664315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1.3306065014383432</v>
      </c>
      <c r="CM55" s="23">
        <f>EXP(-LN(2)/2)*CM54+(1-EXP(-LN(2)/2))/(LN(2)/2)*CG55*CJ55*VLOOKUP('Données projet'!$B$12,Paramètres!$A$1:$I$89,3,0)*0.475*44/12</f>
        <v>3.8848486009342414E-3</v>
      </c>
      <c r="CN55" s="24">
        <f t="shared" si="12"/>
        <v>1.3344913500392774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6.4</v>
      </c>
      <c r="CT55" s="13">
        <f>IF('Données projet'!$A$140&gt;35,CT54+CS55-DB54,IF(A55&lt;'Données projet'!$A$140,$CQ$205^A55,IF(A55='Données projet'!$A$140,'Données projet'!$B$140,CT54+CS55-DB54)))</f>
        <v>213.79999999999984</v>
      </c>
      <c r="CU55" s="18">
        <f>CT55*VLOOKUP('Données projet'!$B$13,Paramètres!$A$1:$I$89,3,0)*VLOOKUP('Données projet'!$B$13,Paramètres!$A$1:$I$89,5,0)</f>
        <v>170.09927999999988</v>
      </c>
      <c r="CV55" s="14">
        <f t="shared" si="41"/>
        <v>43.112258247107711</v>
      </c>
      <c r="CW55" s="22">
        <f t="shared" si="13"/>
        <v>371.34342911371238</v>
      </c>
      <c r="CX55" s="62">
        <f t="shared" si="14"/>
        <v>664.67676244704569</v>
      </c>
      <c r="CY55" s="62">
        <f ca="1">AVERAGE(OFFSET($CX$3,0,0,'Données projet'!$E$13+1,1))-AVERAGE(OFFSET($H$3,0,0,'Données projet'!$E$13+1,1))</f>
        <v>312.53381881960331</v>
      </c>
      <c r="CZ55" s="62">
        <f t="shared" si="42"/>
        <v>342.06887933351783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8</v>
      </c>
      <c r="DO55" s="13">
        <f>IF('Données projet'!$A$166&gt;35,DO54+DN55-DW54,IF(A55&lt;'Données projet'!$A$166,$DL$205^A55,IF(A55='Données projet'!$A$166,'Données projet'!$B$166,DO54+DN55-DW54)))</f>
        <v>193.99999999999997</v>
      </c>
      <c r="DP55" s="18">
        <f>DO55*VLOOKUP('Données projet'!$B$14,Paramètres!$A$1:$I$89,3,0)*VLOOKUP('Données projet'!$B$14,Paramètres!$A$1:$I$89,5,0)</f>
        <v>208.82159999999993</v>
      </c>
      <c r="DQ55" s="14">
        <f t="shared" si="43"/>
        <v>51.6779913750944</v>
      </c>
      <c r="DR55" s="22">
        <f t="shared" si="16"/>
        <v>453.70345497828924</v>
      </c>
      <c r="DS55" s="62">
        <f t="shared" si="17"/>
        <v>747.03678831162256</v>
      </c>
      <c r="DT55" s="62">
        <f ca="1">AVERAGE(OFFSET($DS$3,0,0,'Données projet'!$E$14+1,1))-AVERAGE(OFFSET($H$3,0,0,'Données projet'!$E$14+1,1))</f>
        <v>503.92230226365683</v>
      </c>
      <c r="DU55" s="62">
        <f t="shared" si="44"/>
        <v>267.2998309535638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8</v>
      </c>
      <c r="EJ55" s="13">
        <f>IF('Données projet'!$A$192&gt;35,EJ54+EI55-ER54,IF(A55&lt;'Données projet'!$A$192,$EG$205^A55,IF(A55='Données projet'!$A$192,'Données projet'!$B$192,EJ54+EI55-ER54)))</f>
        <v>193.99999999999997</v>
      </c>
      <c r="EK55" s="18">
        <f>EJ55*VLOOKUP('Données projet'!$B$15,Paramètres!$A$1:$I$89,3,0)*VLOOKUP('Données projet'!$B$15,Paramètres!$A$1:$I$89,5,0)</f>
        <v>187.63679999999999</v>
      </c>
      <c r="EL55" s="14">
        <f t="shared" si="45"/>
        <v>47.01710291385907</v>
      </c>
      <c r="EM55" s="22">
        <f t="shared" si="19"/>
        <v>408.68888090830455</v>
      </c>
      <c r="EN55" s="62">
        <f t="shared" si="20"/>
        <v>702.02221424163781</v>
      </c>
      <c r="EO55" s="62">
        <f ca="1">AVERAGE(OFFSET($EN$3,0,0,'Données projet'!$E$15+1,1))-AVERAGE(OFFSET($H$3,0,0,'Données projet'!$E$15+1,1))</f>
        <v>457.16923206840744</v>
      </c>
      <c r="EP55" s="62">
        <f t="shared" si="46"/>
        <v>244.45149244446094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8</v>
      </c>
      <c r="FE55" s="13">
        <f>IF('Données projet'!$A$218&gt;35,FE54+FD55-FM54,IF(A55&lt;'Données projet'!$A$218,$FB$205^A55,IF(A55='Données projet'!$A$218,'Données projet'!$B$218,FE54+FD55-FM54)))</f>
        <v>254.00000000000011</v>
      </c>
      <c r="FF55" s="18">
        <f>FE55*VLOOKUP('Données projet'!$B$16,Paramètres!$A$1:$I$89,3,0)*VLOOKUP('Données projet'!$B$16,Paramètres!$A$1:$I$89,5,0)</f>
        <v>170.38320000000007</v>
      </c>
      <c r="FG55" s="14">
        <f t="shared" si="47"/>
        <v>43.175836388122349</v>
      </c>
      <c r="FH55" s="22">
        <f t="shared" si="22"/>
        <v>371.94865504264652</v>
      </c>
      <c r="FI55" s="62">
        <f t="shared" si="23"/>
        <v>665.28198837597984</v>
      </c>
      <c r="FJ55" s="62">
        <f ca="1">AVERAGE(OFFSET($FI$3,0,0,'Données projet'!$E$16+1,1))-AVERAGE(OFFSET($H$3,0,0,'Données projet'!$E$16+1,1))</f>
        <v>385.97853124853452</v>
      </c>
      <c r="FK55" s="62">
        <f t="shared" si="48"/>
        <v>300.99118099739695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132.280299502248</v>
      </c>
      <c r="T56" s="62">
        <f t="shared" si="34"/>
        <v>337.98099449405339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39.72947238431955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6.3556276079345633E-4</v>
      </c>
      <c r="AC56" s="24">
        <f t="shared" si="3"/>
        <v>39.730107947080342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201.99999999999997</v>
      </c>
      <c r="AJ56" s="14">
        <f>AI56*VLOOKUP('Données projet'!$B$10,Paramètres!$A$1:$I$89,3,0)*VLOOKUP('Données projet'!$B$10,Paramètres!$A$1:$I$89,5,0)</f>
        <v>182.76959999999997</v>
      </c>
      <c r="AK56" s="14">
        <f t="shared" si="35"/>
        <v>45.937822477650357</v>
      </c>
      <c r="AL56" s="22">
        <f t="shared" si="4"/>
        <v>398.33209414857424</v>
      </c>
      <c r="AM56" s="62">
        <f t="shared" si="5"/>
        <v>691.6654274819075</v>
      </c>
      <c r="AN56" s="62">
        <f ca="1">AVERAGE(OFFSET($AM$3,0,0,'Données projet'!$E$10+1,1))-AVERAGE(OFFSET($H$3,0,0,'Données projet'!$E$10+1,1))</f>
        <v>430.40491895612814</v>
      </c>
      <c r="AO56" s="62">
        <f t="shared" si="36"/>
        <v>231.36959598460686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15.7</v>
      </c>
      <c r="BD56" s="13">
        <f>IF('Données projet'!$A$88&gt;35,BD55+BC56-BL55,IF(A56&lt;'Données projet'!$A$88,$BA$205^A56,IF(A56='Données projet'!$A$88,'Données projet'!$B$88,BD55+BC56-BL55)))</f>
        <v>283.10000000000008</v>
      </c>
      <c r="BE56" s="14">
        <f>BD56*VLOOKUP('Données projet'!$B$11,Paramètres!$A$1:$I$89,3,0)*VLOOKUP('Données projet'!$B$11,Paramètres!$A$1:$I$89,5,0)</f>
        <v>169.29380000000009</v>
      </c>
      <c r="BF56" s="14">
        <f t="shared" si="37"/>
        <v>42.931819978697277</v>
      </c>
      <c r="BG56" s="22">
        <f t="shared" si="7"/>
        <v>369.6262881295645</v>
      </c>
      <c r="BH56" s="62">
        <f t="shared" si="8"/>
        <v>662.95962146289776</v>
      </c>
      <c r="BI56" s="62">
        <f ca="1">AVERAGE(OFFSET($BH$3,0,0,'Données projet'!$E$11+1,1))-AVERAGE(OFFSET($H$3,0,0,'Données projet'!$E$11+1,1))</f>
        <v>295.83974441964551</v>
      </c>
      <c r="BJ56" s="62">
        <f t="shared" si="38"/>
        <v>212.24900914818096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12.25</v>
      </c>
      <c r="BY56" s="13">
        <f>IF('Données projet'!$A$114&gt;35,BY55+BX56-CG55,IF(A56&lt;'Données projet'!$A$114,$BV$205^A56,IF(A56='Données projet'!$A$114,'Données projet'!$B$114,BY55+BX56-CG55)))</f>
        <v>310.74999999999994</v>
      </c>
      <c r="BZ56" s="14">
        <f>BY56*VLOOKUP('Données projet'!$B$12,Paramètres!$A$1:$I$89,3,0)*VLOOKUP('Données projet'!$B$12,Paramètres!$A$1:$I$89,5,0)</f>
        <v>177.749</v>
      </c>
      <c r="CA56" s="14">
        <f t="shared" si="39"/>
        <v>44.821013932875545</v>
      </c>
      <c r="CB56" s="22">
        <f t="shared" si="10"/>
        <v>387.64277426642496</v>
      </c>
      <c r="CC56" s="62">
        <f t="shared" si="11"/>
        <v>680.97610759975828</v>
      </c>
      <c r="CD56" s="62">
        <f ca="1">AVERAGE(OFFSET($CC$3,0,0,'Données projet'!$E$12+1,1))-AVERAGE(OFFSET($H$3,0,0,'Données projet'!$E$12+1,1))</f>
        <v>309.71642374647882</v>
      </c>
      <c r="CE56" s="62">
        <f t="shared" si="40"/>
        <v>266.63880397664315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1.294220996682957</v>
      </c>
      <c r="CM56" s="23">
        <f>EXP(-LN(2)/2)*CM55+(1-EXP(-LN(2)/2))/(LN(2)/2)*CG56*CJ56*VLOOKUP('Données projet'!$B$12,Paramètres!$A$1:$I$89,3,0)*0.475*44/12</f>
        <v>2.7470027896036742E-3</v>
      </c>
      <c r="CN56" s="24">
        <f t="shared" si="12"/>
        <v>1.2969679994725607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6.4</v>
      </c>
      <c r="CT56" s="13">
        <f>IF('Données projet'!$A$140&gt;35,CT55+CS56-DB55,IF(A56&lt;'Données projet'!$A$140,$CQ$205^A56,IF(A56='Données projet'!$A$140,'Données projet'!$B$140,CT55+CS56-DB55)))</f>
        <v>220.19999999999985</v>
      </c>
      <c r="CU56" s="18">
        <f>CT56*VLOOKUP('Données projet'!$B$13,Paramètres!$A$1:$I$89,3,0)*VLOOKUP('Données projet'!$B$13,Paramètres!$A$1:$I$89,5,0)</f>
        <v>175.19111999999987</v>
      </c>
      <c r="CV56" s="14">
        <f t="shared" si="41"/>
        <v>44.250618651635925</v>
      </c>
      <c r="CW56" s="22">
        <f t="shared" si="13"/>
        <v>382.19436148493236</v>
      </c>
      <c r="CX56" s="62">
        <f t="shared" si="14"/>
        <v>675.52769481826567</v>
      </c>
      <c r="CY56" s="62">
        <f ca="1">AVERAGE(OFFSET($CX$3,0,0,'Données projet'!$E$13+1,1))-AVERAGE(OFFSET($H$3,0,0,'Données projet'!$E$13+1,1))</f>
        <v>312.53381881960331</v>
      </c>
      <c r="CZ56" s="62">
        <f t="shared" si="42"/>
        <v>342.06887933351783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8</v>
      </c>
      <c r="DO56" s="13">
        <f>IF('Données projet'!$A$166&gt;35,DO55+DN56-DW55,IF(A56&lt;'Données projet'!$A$166,$DL$205^A56,IF(A56='Données projet'!$A$166,'Données projet'!$B$166,DO55+DN56-DW55)))</f>
        <v>201.99999999999997</v>
      </c>
      <c r="DP56" s="18">
        <f>DO56*VLOOKUP('Données projet'!$B$14,Paramètres!$A$1:$I$89,3,0)*VLOOKUP('Données projet'!$B$14,Paramètres!$A$1:$I$89,5,0)</f>
        <v>217.43279999999996</v>
      </c>
      <c r="DQ56" s="14">
        <f t="shared" si="43"/>
        <v>53.556536889714792</v>
      </c>
      <c r="DR56" s="22">
        <f t="shared" si="16"/>
        <v>471.97309508291983</v>
      </c>
      <c r="DS56" s="62">
        <f t="shared" si="17"/>
        <v>765.30642841625308</v>
      </c>
      <c r="DT56" s="62">
        <f ca="1">AVERAGE(OFFSET($DS$3,0,0,'Données projet'!$E$14+1,1))-AVERAGE(OFFSET($H$3,0,0,'Données projet'!$E$14+1,1))</f>
        <v>503.92230226365683</v>
      </c>
      <c r="DU56" s="62">
        <f t="shared" si="44"/>
        <v>267.2998309535638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8</v>
      </c>
      <c r="EJ56" s="13">
        <f>IF('Données projet'!$A$192&gt;35,EJ55+EI56-ER55,IF(A56&lt;'Données projet'!$A$192,$EG$205^A56,IF(A56='Données projet'!$A$192,'Données projet'!$B$192,EJ55+EI56-ER55)))</f>
        <v>201.99999999999997</v>
      </c>
      <c r="EK56" s="18">
        <f>EJ56*VLOOKUP('Données projet'!$B$15,Paramètres!$A$1:$I$89,3,0)*VLOOKUP('Données projet'!$B$15,Paramètres!$A$1:$I$89,5,0)</f>
        <v>195.37439999999998</v>
      </c>
      <c r="EL56" s="14">
        <f t="shared" si="45"/>
        <v>48.726220575731652</v>
      </c>
      <c r="EM56" s="22">
        <f t="shared" si="19"/>
        <v>425.14191416939929</v>
      </c>
      <c r="EN56" s="62">
        <f t="shared" si="20"/>
        <v>718.4752475027326</v>
      </c>
      <c r="EO56" s="62">
        <f ca="1">AVERAGE(OFFSET($EN$3,0,0,'Données projet'!$E$15+1,1))-AVERAGE(OFFSET($H$3,0,0,'Données projet'!$E$15+1,1))</f>
        <v>457.16923206840744</v>
      </c>
      <c r="EP56" s="62">
        <f t="shared" si="46"/>
        <v>244.45149244446094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8</v>
      </c>
      <c r="FE56" s="13">
        <f>IF('Données projet'!$A$218&gt;35,FE55+FD56-FM55,IF(A56&lt;'Données projet'!$A$218,$FB$205^A56,IF(A56='Données projet'!$A$218,'Données projet'!$B$218,FE55+FD56-FM55)))</f>
        <v>262.00000000000011</v>
      </c>
      <c r="FF56" s="18">
        <f>FE56*VLOOKUP('Données projet'!$B$16,Paramètres!$A$1:$I$89,3,0)*VLOOKUP('Données projet'!$B$16,Paramètres!$A$1:$I$89,5,0)</f>
        <v>175.7496000000001</v>
      </c>
      <c r="FG56" s="14">
        <f t="shared" si="47"/>
        <v>44.375239327538246</v>
      </c>
      <c r="FH56" s="22">
        <f t="shared" si="22"/>
        <v>383.38409516212931</v>
      </c>
      <c r="FI56" s="62">
        <f t="shared" si="23"/>
        <v>676.71742849546263</v>
      </c>
      <c r="FJ56" s="62">
        <f ca="1">AVERAGE(OFFSET($FI$3,0,0,'Données projet'!$E$16+1,1))-AVERAGE(OFFSET($H$3,0,0,'Données projet'!$E$16+1,1))</f>
        <v>385.97853124853452</v>
      </c>
      <c r="FK56" s="62">
        <f t="shared" si="48"/>
        <v>300.99118099739695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132.280299502248</v>
      </c>
      <c r="T57" s="62">
        <f t="shared" si="34"/>
        <v>337.98099449405339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38.950401663448432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4.4941073802669658E-4</v>
      </c>
      <c r="AC57" s="24">
        <f t="shared" si="3"/>
        <v>38.95085107418646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209.99999999999997</v>
      </c>
      <c r="AJ57" s="14">
        <f>AI57*VLOOKUP('Données projet'!$B$10,Paramètres!$A$1:$I$89,3,0)*VLOOKUP('Données projet'!$B$10,Paramètres!$A$1:$I$89,5,0)</f>
        <v>190.00799999999995</v>
      </c>
      <c r="AK57" s="14">
        <f t="shared" si="35"/>
        <v>47.541721533308163</v>
      </c>
      <c r="AL57" s="22">
        <f t="shared" si="4"/>
        <v>413.73243167051163</v>
      </c>
      <c r="AM57" s="62">
        <f t="shared" si="5"/>
        <v>707.06576500384494</v>
      </c>
      <c r="AN57" s="62">
        <f ca="1">AVERAGE(OFFSET($AM$3,0,0,'Données projet'!$E$10+1,1))-AVERAGE(OFFSET($H$3,0,0,'Données projet'!$E$10+1,1))</f>
        <v>430.40491895612814</v>
      </c>
      <c r="AO57" s="62">
        <f t="shared" si="36"/>
        <v>231.36959598460686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15.7</v>
      </c>
      <c r="BD57" s="13">
        <f>IF('Données projet'!$A$88&gt;35,BD56+BC57-BL56,IF(A57&lt;'Données projet'!$A$88,$BA$205^A57,IF(A57='Données projet'!$A$88,'Données projet'!$B$88,BD56+BC57-BL56)))</f>
        <v>298.80000000000007</v>
      </c>
      <c r="BE57" s="14">
        <f>BD57*VLOOKUP('Données projet'!$B$11,Paramètres!$A$1:$I$89,3,0)*VLOOKUP('Données projet'!$B$11,Paramètres!$A$1:$I$89,5,0)</f>
        <v>178.68240000000006</v>
      </c>
      <c r="BF57" s="14">
        <f t="shared" si="37"/>
        <v>45.028919214980071</v>
      </c>
      <c r="BG57" s="22">
        <f t="shared" si="7"/>
        <v>389.63054763275704</v>
      </c>
      <c r="BH57" s="62">
        <f t="shared" si="8"/>
        <v>682.9638809660903</v>
      </c>
      <c r="BI57" s="62">
        <f ca="1">AVERAGE(OFFSET($BH$3,0,0,'Données projet'!$E$11+1,1))-AVERAGE(OFFSET($H$3,0,0,'Données projet'!$E$11+1,1))</f>
        <v>295.83974441964551</v>
      </c>
      <c r="BJ57" s="62">
        <f t="shared" si="38"/>
        <v>212.24900914818096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12.25</v>
      </c>
      <c r="BY57" s="13">
        <f>IF('Données projet'!$A$114&gt;35,BY56+BX57-CG56,IF(A57&lt;'Données projet'!$A$114,$BV$205^A57,IF(A57='Données projet'!$A$114,'Données projet'!$B$114,BY56+BX57-CG56)))</f>
        <v>322.99999999999994</v>
      </c>
      <c r="BZ57" s="14">
        <f>BY57*VLOOKUP('Données projet'!$B$12,Paramètres!$A$1:$I$89,3,0)*VLOOKUP('Données projet'!$B$12,Paramètres!$A$1:$I$89,5,0)</f>
        <v>184.75599999999997</v>
      </c>
      <c r="CA57" s="14">
        <f t="shared" si="39"/>
        <v>46.378697169162017</v>
      </c>
      <c r="CB57" s="22">
        <f t="shared" si="10"/>
        <v>402.5595975696238</v>
      </c>
      <c r="CC57" s="62">
        <f t="shared" si="11"/>
        <v>695.89293090295712</v>
      </c>
      <c r="CD57" s="62">
        <f ca="1">AVERAGE(OFFSET($CC$3,0,0,'Données projet'!$E$12+1,1))-AVERAGE(OFFSET($H$3,0,0,'Données projet'!$E$12+1,1))</f>
        <v>309.71642374647882</v>
      </c>
      <c r="CE57" s="62">
        <f t="shared" si="40"/>
        <v>266.63880397664315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1.2588304554685372</v>
      </c>
      <c r="CM57" s="23">
        <f>EXP(-LN(2)/2)*CM56+(1-EXP(-LN(2)/2))/(LN(2)/2)*CG57*CJ57*VLOOKUP('Données projet'!$B$12,Paramètres!$A$1:$I$89,3,0)*0.475*44/12</f>
        <v>1.9424243004671211E-3</v>
      </c>
      <c r="CN57" s="24">
        <f t="shared" si="12"/>
        <v>1.2607728797690043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6.4</v>
      </c>
      <c r="CT57" s="13">
        <f>IF('Données projet'!$A$140&gt;35,CT56+CS57-DB56,IF(A57&lt;'Données projet'!$A$140,$CQ$205^A57,IF(A57='Données projet'!$A$140,'Données projet'!$B$140,CT56+CS57-DB56)))</f>
        <v>226.59999999999985</v>
      </c>
      <c r="CU57" s="18">
        <f>CT57*VLOOKUP('Données projet'!$B$13,Paramètres!$A$1:$I$89,3,0)*VLOOKUP('Données projet'!$B$13,Paramètres!$A$1:$I$89,5,0)</f>
        <v>180.28295999999989</v>
      </c>
      <c r="CV57" s="14">
        <f t="shared" si="41"/>
        <v>45.385133797071362</v>
      </c>
      <c r="CW57" s="22">
        <f t="shared" si="13"/>
        <v>393.03859669656578</v>
      </c>
      <c r="CX57" s="62">
        <f t="shared" si="14"/>
        <v>686.37193002989909</v>
      </c>
      <c r="CY57" s="62">
        <f ca="1">AVERAGE(OFFSET($CX$3,0,0,'Données projet'!$E$13+1,1))-AVERAGE(OFFSET($H$3,0,0,'Données projet'!$E$13+1,1))</f>
        <v>312.53381881960331</v>
      </c>
      <c r="CZ57" s="62">
        <f t="shared" si="42"/>
        <v>342.06887933351783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8</v>
      </c>
      <c r="DO57" s="13">
        <f>IF('Données projet'!$A$166&gt;35,DO56+DN57-DW56,IF(A57&lt;'Données projet'!$A$166,$DL$205^A57,IF(A57='Données projet'!$A$166,'Données projet'!$B$166,DO56+DN57-DW56)))</f>
        <v>209.99999999999997</v>
      </c>
      <c r="DP57" s="18">
        <f>DO57*VLOOKUP('Données projet'!$B$14,Paramètres!$A$1:$I$89,3,0)*VLOOKUP('Données projet'!$B$14,Paramètres!$A$1:$I$89,5,0)</f>
        <v>226.04399999999998</v>
      </c>
      <c r="DQ57" s="14">
        <f t="shared" si="43"/>
        <v>55.426440039423504</v>
      </c>
      <c r="DR57" s="22">
        <f t="shared" si="16"/>
        <v>490.22768306866254</v>
      </c>
      <c r="DS57" s="62">
        <f t="shared" si="17"/>
        <v>783.56101640199586</v>
      </c>
      <c r="DT57" s="62">
        <f ca="1">AVERAGE(OFFSET($DS$3,0,0,'Données projet'!$E$14+1,1))-AVERAGE(OFFSET($H$3,0,0,'Données projet'!$E$14+1,1))</f>
        <v>503.92230226365683</v>
      </c>
      <c r="DU57" s="62">
        <f t="shared" si="44"/>
        <v>267.2998309535638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8</v>
      </c>
      <c r="EJ57" s="13">
        <f>IF('Données projet'!$A$192&gt;35,EJ56+EI57-ER56,IF(A57&lt;'Données projet'!$A$192,$EG$205^A57,IF(A57='Données projet'!$A$192,'Données projet'!$B$192,EJ56+EI57-ER56)))</f>
        <v>209.99999999999997</v>
      </c>
      <c r="EK57" s="18">
        <f>EJ57*VLOOKUP('Données projet'!$B$15,Paramètres!$A$1:$I$89,3,0)*VLOOKUP('Données projet'!$B$15,Paramètres!$A$1:$I$89,5,0)</f>
        <v>203.11199999999999</v>
      </c>
      <c r="EL57" s="14">
        <f t="shared" si="45"/>
        <v>50.427475336015782</v>
      </c>
      <c r="EM57" s="22">
        <f t="shared" si="19"/>
        <v>441.5812528768941</v>
      </c>
      <c r="EN57" s="62">
        <f t="shared" si="20"/>
        <v>734.91458621022741</v>
      </c>
      <c r="EO57" s="62">
        <f ca="1">AVERAGE(OFFSET($EN$3,0,0,'Données projet'!$E$15+1,1))-AVERAGE(OFFSET($H$3,0,0,'Données projet'!$E$15+1,1))</f>
        <v>457.16923206840744</v>
      </c>
      <c r="EP57" s="62">
        <f t="shared" si="46"/>
        <v>244.45149244446094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8</v>
      </c>
      <c r="FE57" s="13">
        <f>IF('Données projet'!$A$218&gt;35,FE56+FD57-FM56,IF(A57&lt;'Données projet'!$A$218,$FB$205^A57,IF(A57='Données projet'!$A$218,'Données projet'!$B$218,FE56+FD57-FM56)))</f>
        <v>270.00000000000011</v>
      </c>
      <c r="FF57" s="18">
        <f>FE57*VLOOKUP('Données projet'!$B$16,Paramètres!$A$1:$I$89,3,0)*VLOOKUP('Données projet'!$B$16,Paramètres!$A$1:$I$89,5,0)</f>
        <v>181.1160000000001</v>
      </c>
      <c r="FG57" s="14">
        <f t="shared" si="47"/>
        <v>45.570386218758252</v>
      </c>
      <c r="FH57" s="22">
        <f t="shared" si="22"/>
        <v>394.81212266433744</v>
      </c>
      <c r="FI57" s="62">
        <f t="shared" si="23"/>
        <v>688.14545599767075</v>
      </c>
      <c r="FJ57" s="62">
        <f ca="1">AVERAGE(OFFSET($FI$3,0,0,'Données projet'!$E$16+1,1))-AVERAGE(OFFSET($H$3,0,0,'Données projet'!$E$16+1,1))</f>
        <v>385.97853124853452</v>
      </c>
      <c r="FK57" s="62">
        <f t="shared" si="48"/>
        <v>300.99118099739695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132.280299502248</v>
      </c>
      <c r="T58" s="62">
        <f t="shared" si="34"/>
        <v>337.98099449405339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38.186608044227377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3.1778138039672817E-4</v>
      </c>
      <c r="AC58" s="24">
        <f t="shared" si="3"/>
        <v>38.186925825607773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218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217.99999999999997</v>
      </c>
      <c r="AJ58" s="14">
        <f>AI58*VLOOKUP('Données projet'!$B$10,Paramètres!$A$1:$I$89,3,0)*VLOOKUP('Données projet'!$B$10,Paramètres!$A$1:$I$89,5,0)</f>
        <v>197.24639999999997</v>
      </c>
      <c r="AK58" s="14">
        <f t="shared" si="35"/>
        <v>49.138522374247202</v>
      </c>
      <c r="AL58" s="22">
        <f t="shared" si="4"/>
        <v>429.1204064684805</v>
      </c>
      <c r="AM58" s="62">
        <f t="shared" si="5"/>
        <v>722.45373980181375</v>
      </c>
      <c r="AN58" s="62">
        <f ca="1">AVERAGE(OFFSET($AM$3,0,0,'Données projet'!$E$10+1,1))-AVERAGE(OFFSET($H$3,0,0,'Données projet'!$E$10+1,1))</f>
        <v>430.40491895612814</v>
      </c>
      <c r="AO58" s="62">
        <f t="shared" si="36"/>
        <v>231.36959598460686</v>
      </c>
      <c r="AP58" s="16">
        <f>IF(ISNA(VLOOKUP(A58,'Données projet'!$A$61:$I$81,3,0)),0,VLOOKUP(A58,'Données projet'!$A$61:$I$81,3,0))</f>
        <v>4</v>
      </c>
      <c r="AQ58" s="16">
        <f>IF(ISNA(VLOOKUP(A58,'Données projet'!$A$61:$I$81,4,0)),0,VLOOKUP(A58,'Données projet'!$A$61:$I$81,4,0))</f>
        <v>42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15.7</v>
      </c>
      <c r="BD58" s="13">
        <f>IF('Données projet'!$A$88&gt;35,BD57+BC58-BL57,IF(A58&lt;'Données projet'!$A$88,$BA$205^A58,IF(A58='Données projet'!$A$88,'Données projet'!$B$88,BD57+BC58-BL57)))</f>
        <v>314.50000000000006</v>
      </c>
      <c r="BE58" s="14">
        <f>BD58*VLOOKUP('Données projet'!$B$11,Paramètres!$A$1:$I$89,3,0)*VLOOKUP('Données projet'!$B$11,Paramètres!$A$1:$I$89,5,0)</f>
        <v>188.07100000000005</v>
      </c>
      <c r="BF58" s="14">
        <f t="shared" si="37"/>
        <v>47.113225385753083</v>
      </c>
      <c r="BG58" s="22">
        <f t="shared" si="7"/>
        <v>409.61252588018669</v>
      </c>
      <c r="BH58" s="62">
        <f t="shared" si="8"/>
        <v>702.94585921351995</v>
      </c>
      <c r="BI58" s="62">
        <f ca="1">AVERAGE(OFFSET($BH$3,0,0,'Données projet'!$E$11+1,1))-AVERAGE(OFFSET($H$3,0,0,'Données projet'!$E$11+1,1))</f>
        <v>295.83974441964551</v>
      </c>
      <c r="BJ58" s="62">
        <f t="shared" si="38"/>
        <v>212.24900914818096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12.25</v>
      </c>
      <c r="BY58" s="13">
        <f>IF('Données projet'!$A$114&gt;35,BY57+BX58-CG57,IF(A58&lt;'Données projet'!$A$114,$BV$205^A58,IF(A58='Données projet'!$A$114,'Données projet'!$B$114,BY57+BX58-CG57)))</f>
        <v>335.24999999999994</v>
      </c>
      <c r="BZ58" s="14">
        <f>BY58*VLOOKUP('Données projet'!$B$12,Paramètres!$A$1:$I$89,3,0)*VLOOKUP('Données projet'!$B$12,Paramètres!$A$1:$I$89,5,0)</f>
        <v>191.76299999999995</v>
      </c>
      <c r="CA58" s="14">
        <f t="shared" si="39"/>
        <v>47.929517351413239</v>
      </c>
      <c r="CB58" s="22">
        <f t="shared" si="10"/>
        <v>417.46446772037797</v>
      </c>
      <c r="CC58" s="62">
        <f t="shared" si="11"/>
        <v>710.79780105371128</v>
      </c>
      <c r="CD58" s="62">
        <f ca="1">AVERAGE(OFFSET($CC$3,0,0,'Données projet'!$E$12+1,1))-AVERAGE(OFFSET($H$3,0,0,'Données projet'!$E$12+1,1))</f>
        <v>309.71642374647882</v>
      </c>
      <c r="CE58" s="62">
        <f t="shared" si="40"/>
        <v>266.63880397664315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1.2244076704647335</v>
      </c>
      <c r="CM58" s="23">
        <f>EXP(-LN(2)/2)*CM57+(1-EXP(-LN(2)/2))/(LN(2)/2)*CG58*CJ58*VLOOKUP('Données projet'!$B$12,Paramètres!$A$1:$I$89,3,0)*0.475*44/12</f>
        <v>1.3735013948018373E-3</v>
      </c>
      <c r="CN58" s="24">
        <f t="shared" si="12"/>
        <v>1.2257811718595353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233</v>
      </c>
      <c r="CR58" s="13">
        <f>VLOOKUP(A58,'Données projet'!$A$139:$I$159,9,0)</f>
        <v>6.4</v>
      </c>
      <c r="CS58" s="13">
        <f t="array" ref="CS58">INDEX(CR:CR,MIN(IF(ISNUMBER(CR58:CR254),ROW(CR58:CR254),"")))</f>
        <v>6.4</v>
      </c>
      <c r="CT58" s="13">
        <f>IF('Données projet'!$A$140&gt;35,CT57+CS58-DB57,IF(A58&lt;'Données projet'!$A$140,$CQ$205^A58,IF(A58='Données projet'!$A$140,'Données projet'!$B$140,CT57+CS58-DB57)))</f>
        <v>232.99999999999986</v>
      </c>
      <c r="CU58" s="18">
        <f>CT58*VLOOKUP('Données projet'!$B$13,Paramètres!$A$1:$I$89,3,0)*VLOOKUP('Données projet'!$B$13,Paramètres!$A$1:$I$89,5,0)</f>
        <v>185.37479999999988</v>
      </c>
      <c r="CV58" s="14">
        <f t="shared" si="41"/>
        <v>46.515924762412688</v>
      </c>
      <c r="CW58" s="22">
        <f t="shared" si="13"/>
        <v>403.87634562786849</v>
      </c>
      <c r="CX58" s="62">
        <f t="shared" si="14"/>
        <v>697.2096789612018</v>
      </c>
      <c r="CY58" s="62">
        <f ca="1">AVERAGE(OFFSET($CX$3,0,0,'Données projet'!$E$13+1,1))-AVERAGE(OFFSET($H$3,0,0,'Données projet'!$E$13+1,1))</f>
        <v>312.53381881960331</v>
      </c>
      <c r="CZ58" s="62">
        <f t="shared" si="42"/>
        <v>342.06887933351783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218</v>
      </c>
      <c r="DM58" s="13">
        <f>VLOOKUP(A58,'Données projet'!$A$165:$I$185,9,0)</f>
        <v>8</v>
      </c>
      <c r="DN58" s="13">
        <f t="array" ref="DN58">INDEX(DM:DM,MIN(IF(ISNUMBER(DM58:DM254),ROW(DM58:DM254),"")))</f>
        <v>8</v>
      </c>
      <c r="DO58" s="13">
        <f>IF('Données projet'!$A$166&gt;35,DO57+DN58-DW57,IF(A58&lt;'Données projet'!$A$166,$DL$205^A58,IF(A58='Données projet'!$A$166,'Données projet'!$B$166,DO57+DN58-DW57)))</f>
        <v>217.99999999999997</v>
      </c>
      <c r="DP58" s="18">
        <f>DO58*VLOOKUP('Données projet'!$B$14,Paramètres!$A$1:$I$89,3,0)*VLOOKUP('Données projet'!$B$14,Paramètres!$A$1:$I$89,5,0)</f>
        <v>234.65519999999995</v>
      </c>
      <c r="DQ58" s="14">
        <f t="shared" si="43"/>
        <v>57.288067746850999</v>
      </c>
      <c r="DR58" s="22">
        <f t="shared" si="16"/>
        <v>508.46785799243207</v>
      </c>
      <c r="DS58" s="62">
        <f t="shared" si="17"/>
        <v>801.80119132576533</v>
      </c>
      <c r="DT58" s="62">
        <f ca="1">AVERAGE(OFFSET($DS$3,0,0,'Données projet'!$E$14+1,1))-AVERAGE(OFFSET($H$3,0,0,'Données projet'!$E$14+1,1))</f>
        <v>503.92230226365683</v>
      </c>
      <c r="DU58" s="62">
        <f t="shared" si="44"/>
        <v>267.2998309535638</v>
      </c>
      <c r="DV58" s="16">
        <f>IF(ISNA(VLOOKUP(A58,'Données projet'!$A$165:$I$185,3,0)),0,VLOOKUP(A58,'Données projet'!$A$165:$I$185,3,0))</f>
        <v>4</v>
      </c>
      <c r="DW58" s="16">
        <f>IF(ISNA(VLOOKUP(A58,'Données projet'!$A$165:$I$185,4,0)),0,VLOOKUP(A58,'Données projet'!$A$165:$I$185,4,0))</f>
        <v>42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218</v>
      </c>
      <c r="EH58" s="13">
        <f>VLOOKUP(A58,'Données projet'!$A$191:$I$211,9,0)</f>
        <v>8</v>
      </c>
      <c r="EI58" s="13">
        <f t="array" ref="EI58">INDEX(EH:EH,MIN(IF(ISNUMBER(EH58:EH254),ROW(EH58:EH254),"")))</f>
        <v>8</v>
      </c>
      <c r="EJ58" s="13">
        <f>IF('Données projet'!$A$192&gt;35,EJ57+EI58-ER57,IF(A58&lt;'Données projet'!$A$192,$EG$205^A58,IF(A58='Données projet'!$A$192,'Données projet'!$B$192,EJ57+EI58-ER57)))</f>
        <v>217.99999999999997</v>
      </c>
      <c r="EK58" s="18">
        <f>EJ58*VLOOKUP('Données projet'!$B$15,Paramètres!$A$1:$I$89,3,0)*VLOOKUP('Données projet'!$B$15,Paramètres!$A$1:$I$89,5,0)</f>
        <v>210.84959999999995</v>
      </c>
      <c r="EL58" s="14">
        <f t="shared" si="45"/>
        <v>52.121201024231922</v>
      </c>
      <c r="EM58" s="22">
        <f t="shared" si="19"/>
        <v>458.00747845053723</v>
      </c>
      <c r="EN58" s="62">
        <f t="shared" si="20"/>
        <v>751.34081178387055</v>
      </c>
      <c r="EO58" s="62">
        <f ca="1">AVERAGE(OFFSET($EN$3,0,0,'Données projet'!$E$15+1,1))-AVERAGE(OFFSET($H$3,0,0,'Données projet'!$E$15+1,1))</f>
        <v>457.16923206840744</v>
      </c>
      <c r="EP58" s="62">
        <f t="shared" si="46"/>
        <v>244.45149244446094</v>
      </c>
      <c r="EQ58" s="16">
        <f>IF(ISNA(VLOOKUP(A58,'Données projet'!$A$191:$I$211,3,0)),0,VLOOKUP(A58,'Données projet'!$A$191:$I$211,3,0))</f>
        <v>4</v>
      </c>
      <c r="ER58" s="16">
        <f>IF(ISNA(VLOOKUP(A58,'Données projet'!$A$191:$I$211,4,0)),0,VLOOKUP(A58,'Données projet'!$A$191:$I$211,4,0))</f>
        <v>42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278</v>
      </c>
      <c r="FC58" s="13">
        <f>VLOOKUP(A58,'Données projet'!$A$217:$I$237,9,0)</f>
        <v>8</v>
      </c>
      <c r="FD58" s="13">
        <f t="array" ref="FD58">INDEX(FC:FC,MIN(IF(ISNUMBER(FC58:FC254),ROW(FC58:FC254),"")))</f>
        <v>8</v>
      </c>
      <c r="FE58" s="13">
        <f>IF('Données projet'!$A$218&gt;35,FE57+FD58-FM57,IF(A58&lt;'Données projet'!$A$218,$FB$205^A58,IF(A58='Données projet'!$A$218,'Données projet'!$B$218,FE57+FD58-FM57)))</f>
        <v>278.00000000000011</v>
      </c>
      <c r="FF58" s="18">
        <f>FE58*VLOOKUP('Données projet'!$B$16,Paramètres!$A$1:$I$89,3,0)*VLOOKUP('Données projet'!$B$16,Paramètres!$A$1:$I$89,5,0)</f>
        <v>186.48240000000007</v>
      </c>
      <c r="FG58" s="14">
        <f t="shared" si="47"/>
        <v>46.761417644762176</v>
      </c>
      <c r="FH58" s="22">
        <f t="shared" si="22"/>
        <v>406.23298239796094</v>
      </c>
      <c r="FI58" s="62">
        <f t="shared" si="23"/>
        <v>699.56631573129425</v>
      </c>
      <c r="FJ58" s="62">
        <f ca="1">AVERAGE(OFFSET($FI$3,0,0,'Données projet'!$E$16+1,1))-AVERAGE(OFFSET($H$3,0,0,'Données projet'!$E$16+1,1))</f>
        <v>385.97853124853452</v>
      </c>
      <c r="FK58" s="62">
        <f t="shared" si="48"/>
        <v>300.99118099739695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132.280299502248</v>
      </c>
      <c r="T59" s="62">
        <f t="shared" si="34"/>
        <v>337.98099449405339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37.437791952011139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2.2470536901334829E-4</v>
      </c>
      <c r="AC59" s="24">
        <f t="shared" si="3"/>
        <v>37.438016657380153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183.59999999999997</v>
      </c>
      <c r="AJ59" s="14">
        <f>AI59*VLOOKUP('Données projet'!$B$10,Paramètres!$A$1:$I$89,3,0)*VLOOKUP('Données projet'!$B$10,Paramètres!$A$1:$I$89,5,0)</f>
        <v>166.12127999999996</v>
      </c>
      <c r="AK59" s="14">
        <f t="shared" si="35"/>
        <v>42.220155874487318</v>
      </c>
      <c r="AL59" s="22">
        <f t="shared" si="4"/>
        <v>362.86133414806528</v>
      </c>
      <c r="AM59" s="62">
        <f t="shared" si="5"/>
        <v>656.1946674813986</v>
      </c>
      <c r="AN59" s="62">
        <f ca="1">AVERAGE(OFFSET($AM$3,0,0,'Données projet'!$E$10+1,1))-AVERAGE(OFFSET($H$3,0,0,'Données projet'!$E$10+1,1))</f>
        <v>430.40491895612814</v>
      </c>
      <c r="AO59" s="62">
        <f t="shared" si="36"/>
        <v>231.36959598460686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15.7</v>
      </c>
      <c r="BD59" s="13">
        <f>IF('Données projet'!$A$88&gt;35,BD58+BC59-BL58,IF(A59&lt;'Données projet'!$A$88,$BA$205^A59,IF(A59='Données projet'!$A$88,'Données projet'!$B$88,BD58+BC59-BL58)))</f>
        <v>330.20000000000005</v>
      </c>
      <c r="BE59" s="14">
        <f>BD59*VLOOKUP('Données projet'!$B$11,Paramètres!$A$1:$I$89,3,0)*VLOOKUP('Données projet'!$B$11,Paramètres!$A$1:$I$89,5,0)</f>
        <v>197.45960000000005</v>
      </c>
      <c r="BF59" s="14">
        <f t="shared" si="37"/>
        <v>49.185450002435452</v>
      </c>
      <c r="BG59" s="22">
        <f t="shared" si="7"/>
        <v>429.57346208757514</v>
      </c>
      <c r="BH59" s="62">
        <f t="shared" si="8"/>
        <v>722.90679542090845</v>
      </c>
      <c r="BI59" s="62">
        <f ca="1">AVERAGE(OFFSET($BH$3,0,0,'Données projet'!$E$11+1,1))-AVERAGE(OFFSET($H$3,0,0,'Données projet'!$E$11+1,1))</f>
        <v>295.83974441964551</v>
      </c>
      <c r="BJ59" s="62">
        <f t="shared" si="38"/>
        <v>212.24900914818096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12.25</v>
      </c>
      <c r="BY59" s="13">
        <f>IF('Données projet'!$A$114&gt;35,BY58+BX59-CG58,IF(A59&lt;'Données projet'!$A$114,$BV$205^A59,IF(A59='Données projet'!$A$114,'Données projet'!$B$114,BY58+BX59-CG58)))</f>
        <v>347.49999999999994</v>
      </c>
      <c r="BZ59" s="14">
        <f>BY59*VLOOKUP('Données projet'!$B$12,Paramètres!$A$1:$I$89,3,0)*VLOOKUP('Données projet'!$B$12,Paramètres!$A$1:$I$89,5,0)</f>
        <v>198.76999999999998</v>
      </c>
      <c r="CA59" s="14">
        <f t="shared" si="39"/>
        <v>49.473753977140319</v>
      </c>
      <c r="CB59" s="22">
        <f t="shared" si="10"/>
        <v>432.35787151018599</v>
      </c>
      <c r="CC59" s="62">
        <f t="shared" si="11"/>
        <v>725.69120484351924</v>
      </c>
      <c r="CD59" s="62">
        <f ca="1">AVERAGE(OFFSET($CC$3,0,0,'Données projet'!$E$12+1,1))-AVERAGE(OFFSET($H$3,0,0,'Données projet'!$E$12+1,1))</f>
        <v>309.71642374647882</v>
      </c>
      <c r="CE59" s="62">
        <f t="shared" si="40"/>
        <v>266.63880397664315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1.1909261783270744</v>
      </c>
      <c r="CM59" s="23">
        <f>EXP(-LN(2)/2)*CM58+(1-EXP(-LN(2)/2))/(LN(2)/2)*CG59*CJ59*VLOOKUP('Données projet'!$B$12,Paramètres!$A$1:$I$89,3,0)*0.475*44/12</f>
        <v>9.7121215023356067E-4</v>
      </c>
      <c r="CN59" s="24">
        <f t="shared" si="12"/>
        <v>1.191897390477308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5</v>
      </c>
      <c r="CT59" s="13">
        <f>IF('Données projet'!$A$140&gt;35,CT58+CS59-DB58,IF(A59&lt;'Données projet'!$A$140,$CQ$205^A59,IF(A59='Données projet'!$A$140,'Données projet'!$B$140,CT58+CS59-DB58)))</f>
        <v>237.99999999999986</v>
      </c>
      <c r="CU59" s="18">
        <f>CT59*VLOOKUP('Données projet'!$B$13,Paramètres!$A$1:$I$89,3,0)*VLOOKUP('Données projet'!$B$13,Paramètres!$A$1:$I$89,5,0)</f>
        <v>189.35279999999989</v>
      </c>
      <c r="CV59" s="14">
        <f t="shared" si="41"/>
        <v>47.396837717691554</v>
      </c>
      <c r="CW59" s="22">
        <f t="shared" si="13"/>
        <v>412.33895235831255</v>
      </c>
      <c r="CX59" s="62">
        <f t="shared" si="14"/>
        <v>705.67228569164581</v>
      </c>
      <c r="CY59" s="62">
        <f ca="1">AVERAGE(OFFSET($CX$3,0,0,'Données projet'!$E$13+1,1))-AVERAGE(OFFSET($H$3,0,0,'Données projet'!$E$13+1,1))</f>
        <v>312.53381881960331</v>
      </c>
      <c r="CZ59" s="62">
        <f t="shared" si="42"/>
        <v>342.06887933351783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7.6</v>
      </c>
      <c r="DO59" s="13">
        <f>IF('Données projet'!$A$166&gt;35,DO58+DN59-DW58,IF(A59&lt;'Données projet'!$A$166,$DL$205^A59,IF(A59='Données projet'!$A$166,'Données projet'!$B$166,DO58+DN59-DW58)))</f>
        <v>183.59999999999997</v>
      </c>
      <c r="DP59" s="18">
        <f>DO59*VLOOKUP('Données projet'!$B$14,Paramètres!$A$1:$I$89,3,0)*VLOOKUP('Données projet'!$B$14,Paramètres!$A$1:$I$89,5,0)</f>
        <v>197.62703999999997</v>
      </c>
      <c r="DQ59" s="14">
        <f t="shared" si="43"/>
        <v>49.222301224260015</v>
      </c>
      <c r="DR59" s="22">
        <f t="shared" si="16"/>
        <v>429.92926929891945</v>
      </c>
      <c r="DS59" s="62">
        <f t="shared" si="17"/>
        <v>723.26260263225277</v>
      </c>
      <c r="DT59" s="62">
        <f ca="1">AVERAGE(OFFSET($DS$3,0,0,'Données projet'!$E$14+1,1))-AVERAGE(OFFSET($H$3,0,0,'Données projet'!$E$14+1,1))</f>
        <v>503.92230226365683</v>
      </c>
      <c r="DU59" s="62">
        <f t="shared" si="44"/>
        <v>267.2998309535638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7.6</v>
      </c>
      <c r="EJ59" s="13">
        <f>IF('Données projet'!$A$192&gt;35,EJ58+EI59-ER58,IF(A59&lt;'Données projet'!$A$192,$EG$205^A59,IF(A59='Données projet'!$A$192,'Données projet'!$B$192,EJ58+EI59-ER58)))</f>
        <v>183.59999999999997</v>
      </c>
      <c r="EK59" s="18">
        <f>EJ59*VLOOKUP('Données projet'!$B$15,Paramètres!$A$1:$I$89,3,0)*VLOOKUP('Données projet'!$B$15,Paramètres!$A$1:$I$89,5,0)</f>
        <v>177.57791999999998</v>
      </c>
      <c r="EL59" s="14">
        <f t="shared" si="45"/>
        <v>44.782893853597976</v>
      </c>
      <c r="EM59" s="22">
        <f t="shared" si="19"/>
        <v>387.27841746168315</v>
      </c>
      <c r="EN59" s="62">
        <f t="shared" si="20"/>
        <v>680.61175079501641</v>
      </c>
      <c r="EO59" s="62">
        <f ca="1">AVERAGE(OFFSET($EN$3,0,0,'Données projet'!$E$15+1,1))-AVERAGE(OFFSET($H$3,0,0,'Données projet'!$E$15+1,1))</f>
        <v>457.16923206840744</v>
      </c>
      <c r="EP59" s="62">
        <f t="shared" si="46"/>
        <v>244.45149244446094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7.6</v>
      </c>
      <c r="FE59" s="13">
        <f>IF('Données projet'!$A$218&gt;35,FE58+FD59-FM58,IF(A59&lt;'Données projet'!$A$218,$FB$205^A59,IF(A59='Données projet'!$A$218,'Données projet'!$B$218,FE58+FD59-FM58)))</f>
        <v>285.60000000000014</v>
      </c>
      <c r="FF59" s="18">
        <f>FE59*VLOOKUP('Données projet'!$B$16,Paramètres!$A$1:$I$89,3,0)*VLOOKUP('Données projet'!$B$16,Paramètres!$A$1:$I$89,5,0)</f>
        <v>191.58048000000011</v>
      </c>
      <c r="FG59" s="14">
        <f t="shared" si="47"/>
        <v>47.889205896476554</v>
      </c>
      <c r="FH59" s="22">
        <f t="shared" si="22"/>
        <v>417.07636960303017</v>
      </c>
      <c r="FI59" s="62">
        <f t="shared" si="23"/>
        <v>710.40970293636349</v>
      </c>
      <c r="FJ59" s="62">
        <f ca="1">AVERAGE(OFFSET($FI$3,0,0,'Données projet'!$E$16+1,1))-AVERAGE(OFFSET($H$3,0,0,'Données projet'!$E$16+1,1))</f>
        <v>385.97853124853452</v>
      </c>
      <c r="FK59" s="62">
        <f t="shared" si="48"/>
        <v>300.99118099739695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132.280299502248</v>
      </c>
      <c r="T60" s="62">
        <f t="shared" si="34"/>
        <v>337.98099449405339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36.703659686630544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1.5889069019836408E-4</v>
      </c>
      <c r="AC60" s="24">
        <f t="shared" si="3"/>
        <v>36.703818577320746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191.19999999999996</v>
      </c>
      <c r="AJ60" s="14">
        <f>AI60*VLOOKUP('Données projet'!$B$10,Paramètres!$A$1:$I$89,3,0)*VLOOKUP('Données projet'!$B$10,Paramètres!$A$1:$I$89,5,0)</f>
        <v>172.99775999999997</v>
      </c>
      <c r="AK60" s="14">
        <f t="shared" si="35"/>
        <v>43.760737531919609</v>
      </c>
      <c r="AL60" s="22">
        <f t="shared" si="4"/>
        <v>377.52104986809326</v>
      </c>
      <c r="AM60" s="62">
        <f t="shared" si="5"/>
        <v>670.85438320142657</v>
      </c>
      <c r="AN60" s="62">
        <f ca="1">AVERAGE(OFFSET($AM$3,0,0,'Données projet'!$E$10+1,1))-AVERAGE(OFFSET($H$3,0,0,'Données projet'!$E$10+1,1))</f>
        <v>430.40491895612814</v>
      </c>
      <c r="AO60" s="62">
        <f t="shared" si="36"/>
        <v>231.36959598460686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15.7</v>
      </c>
      <c r="BD60" s="13">
        <f>IF('Données projet'!$A$88&gt;35,BD59+BC60-BL59,IF(A60&lt;'Données projet'!$A$88,$BA$205^A60,IF(A60='Données projet'!$A$88,'Données projet'!$B$88,BD59+BC60-BL59)))</f>
        <v>345.90000000000003</v>
      </c>
      <c r="BE60" s="14">
        <f>BD60*VLOOKUP('Données projet'!$B$11,Paramètres!$A$1:$I$89,3,0)*VLOOKUP('Données projet'!$B$11,Paramètres!$A$1:$I$89,5,0)</f>
        <v>206.84820000000005</v>
      </c>
      <c r="BF60" s="14">
        <f t="shared" si="37"/>
        <v>51.246233092829954</v>
      </c>
      <c r="BG60" s="22">
        <f t="shared" si="7"/>
        <v>449.51447097001227</v>
      </c>
      <c r="BH60" s="62">
        <f t="shared" si="8"/>
        <v>742.84780430334558</v>
      </c>
      <c r="BI60" s="62">
        <f ca="1">AVERAGE(OFFSET($BH$3,0,0,'Données projet'!$E$11+1,1))-AVERAGE(OFFSET($H$3,0,0,'Données projet'!$E$11+1,1))</f>
        <v>295.83974441964551</v>
      </c>
      <c r="BJ60" s="62">
        <f t="shared" si="38"/>
        <v>212.24900914818096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12.25</v>
      </c>
      <c r="BY60" s="13">
        <f>IF('Données projet'!$A$114&gt;35,BY59+BX60-CG59,IF(A60&lt;'Données projet'!$A$114,$BV$205^A60,IF(A60='Données projet'!$A$114,'Données projet'!$B$114,BY59+BX60-CG59)))</f>
        <v>359.74999999999994</v>
      </c>
      <c r="BZ60" s="14">
        <f>BY60*VLOOKUP('Données projet'!$B$12,Paramètres!$A$1:$I$89,3,0)*VLOOKUP('Données projet'!$B$12,Paramètres!$A$1:$I$89,5,0)</f>
        <v>205.77699999999996</v>
      </c>
      <c r="CA60" s="14">
        <f t="shared" si="39"/>
        <v>51.011665720992838</v>
      </c>
      <c r="CB60" s="22">
        <f t="shared" si="10"/>
        <v>447.24025946406249</v>
      </c>
      <c r="CC60" s="62">
        <f t="shared" si="11"/>
        <v>740.5735927973958</v>
      </c>
      <c r="CD60" s="62">
        <f ca="1">AVERAGE(OFFSET($CC$3,0,0,'Données projet'!$E$12+1,1))-AVERAGE(OFFSET($H$3,0,0,'Données projet'!$E$12+1,1))</f>
        <v>309.71642374647882</v>
      </c>
      <c r="CE60" s="62">
        <f t="shared" si="40"/>
        <v>266.63880397664315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1.1583602393526347</v>
      </c>
      <c r="CM60" s="23">
        <f>EXP(-LN(2)/2)*CM59+(1-EXP(-LN(2)/2))/(LN(2)/2)*CG60*CJ60*VLOOKUP('Données projet'!$B$12,Paramètres!$A$1:$I$89,3,0)*0.475*44/12</f>
        <v>6.8675069740091878E-4</v>
      </c>
      <c r="CN60" s="24">
        <f t="shared" si="12"/>
        <v>1.1590469900500355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5</v>
      </c>
      <c r="CT60" s="13">
        <f>IF('Données projet'!$A$140&gt;35,CT59+CS60-DB59,IF(A60&lt;'Données projet'!$A$140,$CQ$205^A60,IF(A60='Données projet'!$A$140,'Données projet'!$B$140,CT59+CS60-DB59)))</f>
        <v>242.99999999999986</v>
      </c>
      <c r="CU60" s="18">
        <f>CT60*VLOOKUP('Données projet'!$B$13,Paramètres!$A$1:$I$89,3,0)*VLOOKUP('Données projet'!$B$13,Paramètres!$A$1:$I$89,5,0)</f>
        <v>193.3307999999999</v>
      </c>
      <c r="CV60" s="14">
        <f t="shared" si="41"/>
        <v>48.275598972103651</v>
      </c>
      <c r="CW60" s="22">
        <f t="shared" si="13"/>
        <v>420.79781154308029</v>
      </c>
      <c r="CX60" s="62">
        <f t="shared" si="14"/>
        <v>714.1311448764136</v>
      </c>
      <c r="CY60" s="62">
        <f ca="1">AVERAGE(OFFSET($CX$3,0,0,'Données projet'!$E$13+1,1))-AVERAGE(OFFSET($H$3,0,0,'Données projet'!$E$13+1,1))</f>
        <v>312.53381881960331</v>
      </c>
      <c r="CZ60" s="62">
        <f t="shared" si="42"/>
        <v>342.06887933351783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7.6</v>
      </c>
      <c r="DO60" s="13">
        <f>IF('Données projet'!$A$166&gt;35,DO59+DN60-DW59,IF(A60&lt;'Données projet'!$A$166,$DL$205^A60,IF(A60='Données projet'!$A$166,'Données projet'!$B$166,DO59+DN60-DW59)))</f>
        <v>191.19999999999996</v>
      </c>
      <c r="DP60" s="18">
        <f>DO60*VLOOKUP('Données projet'!$B$14,Paramètres!$A$1:$I$89,3,0)*VLOOKUP('Données projet'!$B$14,Paramètres!$A$1:$I$89,5,0)</f>
        <v>205.80767999999995</v>
      </c>
      <c r="DQ60" s="14">
        <f t="shared" si="43"/>
        <v>51.018385886479962</v>
      </c>
      <c r="DR60" s="22">
        <f t="shared" si="16"/>
        <v>447.30539808561917</v>
      </c>
      <c r="DS60" s="62">
        <f t="shared" si="17"/>
        <v>740.63873141895249</v>
      </c>
      <c r="DT60" s="62">
        <f ca="1">AVERAGE(OFFSET($DS$3,0,0,'Données projet'!$E$14+1,1))-AVERAGE(OFFSET($H$3,0,0,'Données projet'!$E$14+1,1))</f>
        <v>503.92230226365683</v>
      </c>
      <c r="DU60" s="62">
        <f t="shared" si="44"/>
        <v>267.2998309535638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7.6</v>
      </c>
      <c r="EJ60" s="13">
        <f>IF('Données projet'!$A$192&gt;35,EJ59+EI60-ER59,IF(A60&lt;'Données projet'!$A$192,$EG$205^A60,IF(A60='Données projet'!$A$192,'Données projet'!$B$192,EJ59+EI60-ER59)))</f>
        <v>191.19999999999996</v>
      </c>
      <c r="EK60" s="18">
        <f>EJ60*VLOOKUP('Données projet'!$B$15,Paramètres!$A$1:$I$89,3,0)*VLOOKUP('Données projet'!$B$15,Paramètres!$A$1:$I$89,5,0)</f>
        <v>184.92863999999994</v>
      </c>
      <c r="EL60" s="14">
        <f t="shared" si="45"/>
        <v>46.416987887800225</v>
      </c>
      <c r="EM60" s="22">
        <f t="shared" si="19"/>
        <v>402.92696857125196</v>
      </c>
      <c r="EN60" s="62">
        <f t="shared" si="20"/>
        <v>696.26030190458528</v>
      </c>
      <c r="EO60" s="62">
        <f ca="1">AVERAGE(OFFSET($EN$3,0,0,'Données projet'!$E$15+1,1))-AVERAGE(OFFSET($H$3,0,0,'Données projet'!$E$15+1,1))</f>
        <v>457.16923206840744</v>
      </c>
      <c r="EP60" s="62">
        <f t="shared" si="46"/>
        <v>244.45149244446094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7.6</v>
      </c>
      <c r="FE60" s="13">
        <f>IF('Données projet'!$A$218&gt;35,FE59+FD60-FM59,IF(A60&lt;'Données projet'!$A$218,$FB$205^A60,IF(A60='Données projet'!$A$218,'Données projet'!$B$218,FE59+FD60-FM59)))</f>
        <v>293.20000000000016</v>
      </c>
      <c r="FF60" s="18">
        <f>FE60*VLOOKUP('Données projet'!$B$16,Paramètres!$A$1:$I$89,3,0)*VLOOKUP('Données projet'!$B$16,Paramètres!$A$1:$I$89,5,0)</f>
        <v>196.67856000000012</v>
      </c>
      <c r="FG60" s="14">
        <f t="shared" si="47"/>
        <v>49.013505817347365</v>
      </c>
      <c r="FH60" s="22">
        <f t="shared" si="22"/>
        <v>427.91368129854686</v>
      </c>
      <c r="FI60" s="62">
        <f t="shared" si="23"/>
        <v>721.24701463188012</v>
      </c>
      <c r="FJ60" s="62">
        <f ca="1">AVERAGE(OFFSET($FI$3,0,0,'Données projet'!$E$16+1,1))-AVERAGE(OFFSET($H$3,0,0,'Données projet'!$E$16+1,1))</f>
        <v>385.97853124853452</v>
      </c>
      <c r="FK60" s="62">
        <f t="shared" si="48"/>
        <v>300.99118099739695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132.280299502248</v>
      </c>
      <c r="T61" s="62">
        <f t="shared" si="34"/>
        <v>337.98099449405339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35.983923307197593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1.1235268450667415E-4</v>
      </c>
      <c r="AC61" s="24">
        <f t="shared" si="3"/>
        <v>35.984035659882096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198.79999999999995</v>
      </c>
      <c r="AJ61" s="14">
        <f>AI61*VLOOKUP('Données projet'!$B$10,Paramètres!$A$1:$I$89,3,0)*VLOOKUP('Données projet'!$B$10,Paramètres!$A$1:$I$89,5,0)</f>
        <v>179.87423999999993</v>
      </c>
      <c r="AK61" s="14">
        <f t="shared" si="35"/>
        <v>45.294205745553846</v>
      </c>
      <c r="AL61" s="22">
        <f t="shared" si="4"/>
        <v>392.16837634017276</v>
      </c>
      <c r="AM61" s="62">
        <f t="shared" si="5"/>
        <v>685.50170967350607</v>
      </c>
      <c r="AN61" s="62">
        <f ca="1">AVERAGE(OFFSET($AM$3,0,0,'Données projet'!$E$10+1,1))-AVERAGE(OFFSET($H$3,0,0,'Données projet'!$E$10+1,1))</f>
        <v>430.40491895612814</v>
      </c>
      <c r="AO61" s="62">
        <f t="shared" si="36"/>
        <v>231.36959598460686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15.7</v>
      </c>
      <c r="BD61" s="13">
        <f>IF('Données projet'!$A$88&gt;35,BD60+BC61-BL60,IF(A61&lt;'Données projet'!$A$88,$BA$205^A61,IF(A61='Données projet'!$A$88,'Données projet'!$B$88,BD60+BC61-BL60)))</f>
        <v>361.6</v>
      </c>
      <c r="BE61" s="14">
        <f>BD61*VLOOKUP('Données projet'!$B$11,Paramètres!$A$1:$I$89,3,0)*VLOOKUP('Données projet'!$B$11,Paramètres!$A$1:$I$89,5,0)</f>
        <v>216.23680000000002</v>
      </c>
      <c r="BF61" s="14">
        <f t="shared" si="37"/>
        <v>53.296153300267918</v>
      </c>
      <c r="BG61" s="22">
        <f t="shared" si="7"/>
        <v>469.43656033129997</v>
      </c>
      <c r="BH61" s="62">
        <f t="shared" si="8"/>
        <v>762.76989366463329</v>
      </c>
      <c r="BI61" s="62">
        <f ca="1">AVERAGE(OFFSET($BH$3,0,0,'Données projet'!$E$11+1,1))-AVERAGE(OFFSET($H$3,0,0,'Données projet'!$E$11+1,1))</f>
        <v>295.83974441964551</v>
      </c>
      <c r="BJ61" s="62">
        <f t="shared" si="38"/>
        <v>212.24900914818096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>
        <f>VLOOKUP(A61,'Données projet'!$A$113:$I$133,2,0)</f>
        <v>372</v>
      </c>
      <c r="BW61" s="13">
        <f>VLOOKUP(A61,'Données projet'!$A$113:$I$133,9,0)</f>
        <v>12.25</v>
      </c>
      <c r="BX61" s="13">
        <f t="array" ref="BX61">INDEX(BW:BW,MIN(IF(ISNUMBER(BW61:BW257),ROW(BW61:BW257),"")))</f>
        <v>12.25</v>
      </c>
      <c r="BY61" s="13">
        <f>IF('Données projet'!$A$114&gt;35,BY60+BX61-CG60,IF(A61&lt;'Données projet'!$A$114,$BV$205^A61,IF(A61='Données projet'!$A$114,'Données projet'!$B$114,BY60+BX61-CG60)))</f>
        <v>371.99999999999994</v>
      </c>
      <c r="BZ61" s="14">
        <f>BY61*VLOOKUP('Données projet'!$B$12,Paramètres!$A$1:$I$89,3,0)*VLOOKUP('Données projet'!$B$12,Paramètres!$A$1:$I$89,5,0)</f>
        <v>212.78399999999999</v>
      </c>
      <c r="CA61" s="14">
        <f t="shared" si="39"/>
        <v>52.543492641808065</v>
      </c>
      <c r="CB61" s="22">
        <f t="shared" si="10"/>
        <v>462.11204968448237</v>
      </c>
      <c r="CC61" s="62">
        <f t="shared" si="11"/>
        <v>755.44538301781563</v>
      </c>
      <c r="CD61" s="62">
        <f ca="1">AVERAGE(OFFSET($CC$3,0,0,'Données projet'!$E$12+1,1))-AVERAGE(OFFSET($H$3,0,0,'Données projet'!$E$12+1,1))</f>
        <v>309.71642374647882</v>
      </c>
      <c r="CE61" s="62">
        <f t="shared" si="40"/>
        <v>266.63880397664315</v>
      </c>
      <c r="CF61" s="16">
        <f>IF(ISNA(VLOOKUP(A61,'Données projet'!$A$113:$I$133,3,0)),0,VLOOKUP(A61,'Données projet'!$A$113:$I$133,3,0))</f>
        <v>8</v>
      </c>
      <c r="CG61" s="16">
        <f>IF(ISNA(VLOOKUP(A61,'Données projet'!$A$113:$I$133,4,0)),0,VLOOKUP(A61,'Données projet'!$A$113:$I$133,4,0))</f>
        <v>48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1.1266848176920194</v>
      </c>
      <c r="CM61" s="23">
        <f>EXP(-LN(2)/2)*CM60+(1-EXP(-LN(2)/2))/(LN(2)/2)*CG61*CJ61*VLOOKUP('Données projet'!$B$12,Paramètres!$A$1:$I$89,3,0)*0.475*44/12</f>
        <v>4.8560607511678044E-4</v>
      </c>
      <c r="CN61" s="24">
        <f t="shared" si="12"/>
        <v>1.1271704237671363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5</v>
      </c>
      <c r="CT61" s="13">
        <f>IF('Données projet'!$A$140&gt;35,CT60+CS61-DB60,IF(A61&lt;'Données projet'!$A$140,$CQ$205^A61,IF(A61='Données projet'!$A$140,'Données projet'!$B$140,CT60+CS61-DB60)))</f>
        <v>247.99999999999986</v>
      </c>
      <c r="CU61" s="18">
        <f>CT61*VLOOKUP('Données projet'!$B$13,Paramètres!$A$1:$I$89,3,0)*VLOOKUP('Données projet'!$B$13,Paramètres!$A$1:$I$89,5,0)</f>
        <v>197.30879999999991</v>
      </c>
      <c r="CV61" s="14">
        <f t="shared" si="41"/>
        <v>49.152257900676076</v>
      </c>
      <c r="CW61" s="22">
        <f t="shared" si="13"/>
        <v>429.25300917701065</v>
      </c>
      <c r="CX61" s="62">
        <f t="shared" si="14"/>
        <v>722.58634251034391</v>
      </c>
      <c r="CY61" s="62">
        <f ca="1">AVERAGE(OFFSET($CX$3,0,0,'Données projet'!$E$13+1,1))-AVERAGE(OFFSET($H$3,0,0,'Données projet'!$E$13+1,1))</f>
        <v>312.53381881960331</v>
      </c>
      <c r="CZ61" s="62">
        <f t="shared" si="42"/>
        <v>342.06887933351783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7.6</v>
      </c>
      <c r="DO61" s="13">
        <f>IF('Données projet'!$A$166&gt;35,DO60+DN61-DW60,IF(A61&lt;'Données projet'!$A$166,$DL$205^A61,IF(A61='Données projet'!$A$166,'Données projet'!$B$166,DO60+DN61-DW60)))</f>
        <v>198.79999999999995</v>
      </c>
      <c r="DP61" s="18">
        <f>DO61*VLOOKUP('Données projet'!$B$14,Paramètres!$A$1:$I$89,3,0)*VLOOKUP('Données projet'!$B$14,Paramètres!$A$1:$I$89,5,0)</f>
        <v>213.98831999999996</v>
      </c>
      <c r="DQ61" s="14">
        <f t="shared" si="43"/>
        <v>52.806177351620995</v>
      </c>
      <c r="DR61" s="22">
        <f t="shared" si="16"/>
        <v>464.66708288740648</v>
      </c>
      <c r="DS61" s="62">
        <f t="shared" si="17"/>
        <v>758.00041622073979</v>
      </c>
      <c r="DT61" s="62">
        <f ca="1">AVERAGE(OFFSET($DS$3,0,0,'Données projet'!$E$14+1,1))-AVERAGE(OFFSET($H$3,0,0,'Données projet'!$E$14+1,1))</f>
        <v>503.92230226365683</v>
      </c>
      <c r="DU61" s="62">
        <f t="shared" si="44"/>
        <v>267.2998309535638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7.6</v>
      </c>
      <c r="EJ61" s="13">
        <f>IF('Données projet'!$A$192&gt;35,EJ60+EI61-ER60,IF(A61&lt;'Données projet'!$A$192,$EG$205^A61,IF(A61='Données projet'!$A$192,'Données projet'!$B$192,EJ60+EI61-ER60)))</f>
        <v>198.79999999999995</v>
      </c>
      <c r="EK61" s="18">
        <f>EJ61*VLOOKUP('Données projet'!$B$15,Paramètres!$A$1:$I$89,3,0)*VLOOKUP('Données projet'!$B$15,Paramètres!$A$1:$I$89,5,0)</f>
        <v>192.27935999999997</v>
      </c>
      <c r="EL61" s="14">
        <f t="shared" si="45"/>
        <v>48.043536696459277</v>
      </c>
      <c r="EM61" s="22">
        <f t="shared" si="19"/>
        <v>418.56237841299986</v>
      </c>
      <c r="EN61" s="62">
        <f t="shared" si="20"/>
        <v>711.89571174633318</v>
      </c>
      <c r="EO61" s="62">
        <f ca="1">AVERAGE(OFFSET($EN$3,0,0,'Données projet'!$E$15+1,1))-AVERAGE(OFFSET($H$3,0,0,'Données projet'!$E$15+1,1))</f>
        <v>457.16923206840744</v>
      </c>
      <c r="EP61" s="62">
        <f t="shared" si="46"/>
        <v>244.45149244446094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7.6</v>
      </c>
      <c r="FE61" s="13">
        <f>IF('Données projet'!$A$218&gt;35,FE60+FD61-FM60,IF(A61&lt;'Données projet'!$A$218,$FB$205^A61,IF(A61='Données projet'!$A$218,'Données projet'!$B$218,FE60+FD61-FM60)))</f>
        <v>300.80000000000018</v>
      </c>
      <c r="FF61" s="18">
        <f>FE61*VLOOKUP('Données projet'!$B$16,Paramètres!$A$1:$I$89,3,0)*VLOOKUP('Données projet'!$B$16,Paramètres!$A$1:$I$89,5,0)</f>
        <v>201.77664000000013</v>
      </c>
      <c r="FG61" s="14">
        <f t="shared" si="47"/>
        <v>50.134418223627719</v>
      </c>
      <c r="FH61" s="22">
        <f t="shared" si="22"/>
        <v>438.74509307281846</v>
      </c>
      <c r="FI61" s="62">
        <f t="shared" si="23"/>
        <v>732.07842640615172</v>
      </c>
      <c r="FJ61" s="62">
        <f ca="1">AVERAGE(OFFSET($FI$3,0,0,'Données projet'!$E$16+1,1))-AVERAGE(OFFSET($H$3,0,0,'Données projet'!$E$16+1,1))</f>
        <v>385.97853124853452</v>
      </c>
      <c r="FK61" s="62">
        <f t="shared" si="48"/>
        <v>300.99118099739695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132.280299502248</v>
      </c>
      <c r="T62" s="62">
        <f t="shared" si="34"/>
        <v>337.98099449405339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35.278300519169477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7.9445345099182042E-5</v>
      </c>
      <c r="AC62" s="24">
        <f t="shared" si="3"/>
        <v>35.278379964514578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206.39999999999995</v>
      </c>
      <c r="AJ62" s="14">
        <f>AI62*VLOOKUP('Données projet'!$B$10,Paramètres!$A$1:$I$89,3,0)*VLOOKUP('Données projet'!$B$10,Paramètres!$A$1:$I$89,5,0)</f>
        <v>186.75071999999994</v>
      </c>
      <c r="AK62" s="14">
        <f t="shared" si="35"/>
        <v>46.820863587839391</v>
      </c>
      <c r="AL62" s="22">
        <f t="shared" si="4"/>
        <v>406.80384141548683</v>
      </c>
      <c r="AM62" s="62">
        <f t="shared" si="5"/>
        <v>700.13717474882014</v>
      </c>
      <c r="AN62" s="62">
        <f ca="1">AVERAGE(OFFSET($AM$3,0,0,'Données projet'!$E$10+1,1))-AVERAGE(OFFSET($H$3,0,0,'Données projet'!$E$10+1,1))</f>
        <v>430.40491895612814</v>
      </c>
      <c r="AO62" s="62">
        <f t="shared" si="36"/>
        <v>231.36959598460686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15.7</v>
      </c>
      <c r="BD62" s="13">
        <f>IF('Données projet'!$A$88&gt;35,BD61+BC62-BL61,IF(A62&lt;'Données projet'!$A$88,$BA$205^A62,IF(A62='Données projet'!$A$88,'Données projet'!$B$88,BD61+BC62-BL61)))</f>
        <v>377.3</v>
      </c>
      <c r="BE62" s="14">
        <f>BD62*VLOOKUP('Données projet'!$B$11,Paramètres!$A$1:$I$89,3,0)*VLOOKUP('Données projet'!$B$11,Paramètres!$A$1:$I$89,5,0)</f>
        <v>225.62540000000004</v>
      </c>
      <c r="BF62" s="14">
        <f t="shared" si="37"/>
        <v>55.335736179321074</v>
      </c>
      <c r="BG62" s="22">
        <f t="shared" si="7"/>
        <v>489.34064551231751</v>
      </c>
      <c r="BH62" s="62">
        <f t="shared" si="8"/>
        <v>782.67397884565082</v>
      </c>
      <c r="BI62" s="62">
        <f ca="1">AVERAGE(OFFSET($BH$3,0,0,'Données projet'!$E$11+1,1))-AVERAGE(OFFSET($H$3,0,0,'Données projet'!$E$11+1,1))</f>
        <v>295.83974441964551</v>
      </c>
      <c r="BJ62" s="62">
        <f t="shared" si="38"/>
        <v>212.24900914818096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11.375</v>
      </c>
      <c r="BY62" s="13">
        <f>IF('Données projet'!$A$114&gt;35,BY61+BX62-CG61,IF(A62&lt;'Données projet'!$A$114,$BV$205^A62,IF(A62='Données projet'!$A$114,'Données projet'!$B$114,BY61+BX62-CG61)))</f>
        <v>335.37499999999994</v>
      </c>
      <c r="BZ62" s="14">
        <f>BY62*VLOOKUP('Données projet'!$B$12,Paramètres!$A$1:$I$89,3,0)*VLOOKUP('Données projet'!$B$12,Paramètres!$A$1:$I$89,5,0)</f>
        <v>191.83449999999996</v>
      </c>
      <c r="CA62" s="14">
        <f t="shared" si="39"/>
        <v>47.945307658140791</v>
      </c>
      <c r="CB62" s="22">
        <f t="shared" si="10"/>
        <v>417.61649833792848</v>
      </c>
      <c r="CC62" s="62">
        <f t="shared" si="11"/>
        <v>710.94983167126179</v>
      </c>
      <c r="CD62" s="62">
        <f ca="1">AVERAGE(OFFSET($CC$3,0,0,'Données projet'!$E$12+1,1))-AVERAGE(OFFSET($H$3,0,0,'Données projet'!$E$12+1,1))</f>
        <v>309.71642374647882</v>
      </c>
      <c r="CE62" s="62">
        <f t="shared" si="40"/>
        <v>266.63880397664315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1.0958755621024516</v>
      </c>
      <c r="CM62" s="23">
        <f>EXP(-LN(2)/2)*CM61+(1-EXP(-LN(2)/2))/(LN(2)/2)*CG62*CJ62*VLOOKUP('Données projet'!$B$12,Paramètres!$A$1:$I$89,3,0)*0.475*44/12</f>
        <v>3.4337534870045944E-4</v>
      </c>
      <c r="CN62" s="24">
        <f t="shared" si="12"/>
        <v>1.0962189374511522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5</v>
      </c>
      <c r="CT62" s="13">
        <f>IF('Données projet'!$A$140&gt;35,CT61+CS62-DB61,IF(A62&lt;'Données projet'!$A$140,$CQ$205^A62,IF(A62='Données projet'!$A$140,'Données projet'!$B$140,CT61+CS62-DB61)))</f>
        <v>252.99999999999986</v>
      </c>
      <c r="CU62" s="18">
        <f>CT62*VLOOKUP('Données projet'!$B$13,Paramètres!$A$1:$I$89,3,0)*VLOOKUP('Données projet'!$B$13,Paramètres!$A$1:$I$89,5,0)</f>
        <v>201.28679999999989</v>
      </c>
      <c r="CV62" s="14">
        <f t="shared" si="41"/>
        <v>50.026861773677616</v>
      </c>
      <c r="CW62" s="22">
        <f t="shared" si="13"/>
        <v>437.70462758915488</v>
      </c>
      <c r="CX62" s="62">
        <f t="shared" si="14"/>
        <v>731.0379609224882</v>
      </c>
      <c r="CY62" s="62">
        <f ca="1">AVERAGE(OFFSET($CX$3,0,0,'Données projet'!$E$13+1,1))-AVERAGE(OFFSET($H$3,0,0,'Données projet'!$E$13+1,1))</f>
        <v>312.53381881960331</v>
      </c>
      <c r="CZ62" s="62">
        <f t="shared" si="42"/>
        <v>342.06887933351783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7.6</v>
      </c>
      <c r="DO62" s="13">
        <f>IF('Données projet'!$A$166&gt;35,DO61+DN62-DW61,IF(A62&lt;'Données projet'!$A$166,$DL$205^A62,IF(A62='Données projet'!$A$166,'Données projet'!$B$166,DO61+DN62-DW61)))</f>
        <v>206.39999999999995</v>
      </c>
      <c r="DP62" s="18">
        <f>DO62*VLOOKUP('Données projet'!$B$14,Paramètres!$A$1:$I$89,3,0)*VLOOKUP('Données projet'!$B$14,Paramètres!$A$1:$I$89,5,0)</f>
        <v>222.16895999999991</v>
      </c>
      <c r="DQ62" s="14">
        <f t="shared" si="43"/>
        <v>54.586028956213639</v>
      </c>
      <c r="DR62" s="22">
        <f t="shared" si="16"/>
        <v>482.01493909873858</v>
      </c>
      <c r="DS62" s="62">
        <f t="shared" si="17"/>
        <v>775.34827243207189</v>
      </c>
      <c r="DT62" s="62">
        <f ca="1">AVERAGE(OFFSET($DS$3,0,0,'Données projet'!$E$14+1,1))-AVERAGE(OFFSET($H$3,0,0,'Données projet'!$E$14+1,1))</f>
        <v>503.92230226365683</v>
      </c>
      <c r="DU62" s="62">
        <f t="shared" si="44"/>
        <v>267.2998309535638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7.6</v>
      </c>
      <c r="EJ62" s="13">
        <f>IF('Données projet'!$A$192&gt;35,EJ61+EI62-ER61,IF(A62&lt;'Données projet'!$A$192,$EG$205^A62,IF(A62='Données projet'!$A$192,'Données projet'!$B$192,EJ61+EI62-ER61)))</f>
        <v>206.39999999999995</v>
      </c>
      <c r="EK62" s="18">
        <f>EJ62*VLOOKUP('Données projet'!$B$15,Paramètres!$A$1:$I$89,3,0)*VLOOKUP('Données projet'!$B$15,Paramètres!$A$1:$I$89,5,0)</f>
        <v>199.63007999999994</v>
      </c>
      <c r="EL62" s="14">
        <f t="shared" si="45"/>
        <v>49.662861748339331</v>
      </c>
      <c r="EM62" s="22">
        <f t="shared" si="19"/>
        <v>434.18520687835758</v>
      </c>
      <c r="EN62" s="62">
        <f t="shared" si="20"/>
        <v>727.51854021169083</v>
      </c>
      <c r="EO62" s="62">
        <f ca="1">AVERAGE(OFFSET($EN$3,0,0,'Données projet'!$E$15+1,1))-AVERAGE(OFFSET($H$3,0,0,'Données projet'!$E$15+1,1))</f>
        <v>457.16923206840744</v>
      </c>
      <c r="EP62" s="62">
        <f t="shared" si="46"/>
        <v>244.45149244446094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7.6</v>
      </c>
      <c r="FE62" s="13">
        <f>IF('Données projet'!$A$218&gt;35,FE61+FD62-FM61,IF(A62&lt;'Données projet'!$A$218,$FB$205^A62,IF(A62='Données projet'!$A$218,'Données projet'!$B$218,FE61+FD62-FM61)))</f>
        <v>308.4000000000002</v>
      </c>
      <c r="FF62" s="18">
        <f>FE62*VLOOKUP('Données projet'!$B$16,Paramètres!$A$1:$I$89,3,0)*VLOOKUP('Données projet'!$B$16,Paramètres!$A$1:$I$89,5,0)</f>
        <v>206.87472000000014</v>
      </c>
      <c r="FG62" s="14">
        <f t="shared" si="47"/>
        <v>51.252038546827869</v>
      </c>
      <c r="FH62" s="22">
        <f t="shared" si="22"/>
        <v>449.57077113572541</v>
      </c>
      <c r="FI62" s="62">
        <f t="shared" si="23"/>
        <v>742.90410446905867</v>
      </c>
      <c r="FJ62" s="62">
        <f ca="1">AVERAGE(OFFSET($FI$3,0,0,'Données projet'!$E$16+1,1))-AVERAGE(OFFSET($H$3,0,0,'Données projet'!$E$16+1,1))</f>
        <v>385.97853124853452</v>
      </c>
      <c r="FK62" s="62">
        <f t="shared" si="48"/>
        <v>300.99118099739695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132.280299502248</v>
      </c>
      <c r="T63" s="62">
        <f t="shared" si="34"/>
        <v>337.98099449405339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34.58651456362719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5.6176342253337073E-5</v>
      </c>
      <c r="AC63" s="24">
        <f t="shared" si="3"/>
        <v>34.586570739969446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213.99999999999994</v>
      </c>
      <c r="AJ63" s="14">
        <f>AI63*VLOOKUP('Données projet'!$B$10,Paramètres!$A$1:$I$89,3,0)*VLOOKUP('Données projet'!$B$10,Paramètres!$A$1:$I$89,5,0)</f>
        <v>193.62719999999996</v>
      </c>
      <c r="AK63" s="14">
        <f t="shared" si="35"/>
        <v>48.340990547231193</v>
      </c>
      <c r="AL63" s="22">
        <f t="shared" si="4"/>
        <v>421.42793186976087</v>
      </c>
      <c r="AM63" s="62">
        <f t="shared" si="5"/>
        <v>714.76126520309413</v>
      </c>
      <c r="AN63" s="62">
        <f ca="1">AVERAGE(OFFSET($AM$3,0,0,'Données projet'!$E$10+1,1))-AVERAGE(OFFSET($H$3,0,0,'Données projet'!$E$10+1,1))</f>
        <v>430.40491895612814</v>
      </c>
      <c r="AO63" s="62">
        <f t="shared" si="36"/>
        <v>231.36959598460686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393</v>
      </c>
      <c r="BB63" s="13">
        <f>VLOOKUP(A63,'Données projet'!$A$87:$I$107,9,0)</f>
        <v>15.7</v>
      </c>
      <c r="BC63" s="13">
        <f t="array" ref="BC63">INDEX(BB:BB,MIN(IF(ISNUMBER(BB63:BB259),ROW(BB63:BB259),"")))</f>
        <v>15.7</v>
      </c>
      <c r="BD63" s="13">
        <f>IF('Données projet'!$A$88&gt;35,BD62+BC63-BL62,IF(A63&lt;'Données projet'!$A$88,$BA$205^A63,IF(A63='Données projet'!$A$88,'Données projet'!$B$88,BD62+BC63-BL62)))</f>
        <v>393</v>
      </c>
      <c r="BE63" s="14">
        <f>BD63*VLOOKUP('Données projet'!$B$11,Paramètres!$A$1:$I$89,3,0)*VLOOKUP('Données projet'!$B$11,Paramètres!$A$1:$I$89,5,0)</f>
        <v>235.01400000000001</v>
      </c>
      <c r="BF63" s="14">
        <f t="shared" si="37"/>
        <v>57.365461071820548</v>
      </c>
      <c r="BG63" s="22">
        <f t="shared" si="7"/>
        <v>509.22756136675412</v>
      </c>
      <c r="BH63" s="62">
        <f t="shared" si="8"/>
        <v>802.56089470008737</v>
      </c>
      <c r="BI63" s="62">
        <f ca="1">AVERAGE(OFFSET($BH$3,0,0,'Données projet'!$E$11+1,1))-AVERAGE(OFFSET($H$3,0,0,'Données projet'!$E$11+1,1))</f>
        <v>295.83974441964551</v>
      </c>
      <c r="BJ63" s="62">
        <f t="shared" si="38"/>
        <v>212.24900914818096</v>
      </c>
      <c r="BK63" s="16">
        <f>IF(ISNA(VLOOKUP(A63,'Données projet'!$A$87:$I$107,3,0)),0,VLOOKUP(A63,'Données projet'!$A$87:$I$107,3,0))</f>
        <v>6</v>
      </c>
      <c r="BL63" s="16">
        <f>IF(ISNA(VLOOKUP(A63,'Données projet'!$A$87:$I$107,4,0)),0,VLOOKUP(A63,'Données projet'!$A$87:$I$107,4,0))</f>
        <v>88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11.375</v>
      </c>
      <c r="BY63" s="13">
        <f>IF('Données projet'!$A$114&gt;35,BY62+BX63-CG62,IF(A63&lt;'Données projet'!$A$114,$BV$205^A63,IF(A63='Données projet'!$A$114,'Données projet'!$B$114,BY62+BX63-CG62)))</f>
        <v>346.74999999999994</v>
      </c>
      <c r="BZ63" s="14">
        <f>BY63*VLOOKUP('Données projet'!$B$12,Paramètres!$A$1:$I$89,3,0)*VLOOKUP('Données projet'!$B$12,Paramètres!$A$1:$I$89,5,0)</f>
        <v>198.34099999999995</v>
      </c>
      <c r="CA63" s="14">
        <f t="shared" si="39"/>
        <v>49.379393175979537</v>
      </c>
      <c r="CB63" s="22">
        <f t="shared" si="10"/>
        <v>431.44635144816431</v>
      </c>
      <c r="CC63" s="62">
        <f t="shared" si="11"/>
        <v>724.77968478149762</v>
      </c>
      <c r="CD63" s="62">
        <f ca="1">AVERAGE(OFFSET($CC$3,0,0,'Données projet'!$E$12+1,1))-AVERAGE(OFFSET($H$3,0,0,'Données projet'!$E$12+1,1))</f>
        <v>309.71642374647882</v>
      </c>
      <c r="CE63" s="62">
        <f t="shared" si="40"/>
        <v>266.63880397664315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1.0659087872271689</v>
      </c>
      <c r="CM63" s="23">
        <f>EXP(-LN(2)/2)*CM62+(1-EXP(-LN(2)/2))/(LN(2)/2)*CG63*CJ63*VLOOKUP('Données projet'!$B$12,Paramètres!$A$1:$I$89,3,0)*0.475*44/12</f>
        <v>2.4280303755839025E-4</v>
      </c>
      <c r="CN63" s="24">
        <f t="shared" si="12"/>
        <v>1.0661515902647272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258</v>
      </c>
      <c r="CR63" s="13">
        <f>VLOOKUP(A63,'Données projet'!$A$139:$I$159,9,0)</f>
        <v>5</v>
      </c>
      <c r="CS63" s="13">
        <f t="array" ref="CS63">INDEX(CR:CR,MIN(IF(ISNUMBER(CR63:CR259),ROW(CR63:CR259),"")))</f>
        <v>5</v>
      </c>
      <c r="CT63" s="13">
        <f>IF('Données projet'!$A$140&gt;35,CT62+CS63-DB62,IF(A63&lt;'Données projet'!$A$140,$CQ$205^A63,IF(A63='Données projet'!$A$140,'Données projet'!$B$140,CT62+CS63-DB62)))</f>
        <v>257.99999999999989</v>
      </c>
      <c r="CU63" s="18">
        <f>CT63*VLOOKUP('Données projet'!$B$13,Paramètres!$A$1:$I$89,3,0)*VLOOKUP('Données projet'!$B$13,Paramètres!$A$1:$I$89,5,0)</f>
        <v>205.26479999999995</v>
      </c>
      <c r="CV63" s="14">
        <f t="shared" si="41"/>
        <v>50.899455886133694</v>
      </c>
      <c r="CW63" s="22">
        <f t="shared" si="13"/>
        <v>446.1527456683495</v>
      </c>
      <c r="CX63" s="62">
        <f t="shared" si="14"/>
        <v>739.48607900168281</v>
      </c>
      <c r="CY63" s="62">
        <f ca="1">AVERAGE(OFFSET($CX$3,0,0,'Données projet'!$E$13+1,1))-AVERAGE(OFFSET($H$3,0,0,'Données projet'!$E$13+1,1))</f>
        <v>312.53381881960331</v>
      </c>
      <c r="CZ63" s="62">
        <f t="shared" si="42"/>
        <v>342.06887933351783</v>
      </c>
      <c r="DA63" s="16">
        <f>IF(ISNA(VLOOKUP(A63,'Données projet'!$A$139:$I$159,3,0)),0,VLOOKUP(A63,'Données projet'!$A$139:$I$159,3,0))</f>
        <v>5</v>
      </c>
      <c r="DB63" s="16">
        <f>IF(ISNA(VLOOKUP(A63,'Données projet'!$A$139:$I$159,4,0)),0,VLOOKUP(A63,'Données projet'!$A$139:$I$159,4,0))</f>
        <v>25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214</v>
      </c>
      <c r="DM63" s="13">
        <f>VLOOKUP(A63,'Données projet'!$A$165:$I$185,9,0)</f>
        <v>7.6</v>
      </c>
      <c r="DN63" s="13">
        <f t="array" ref="DN63">INDEX(DM:DM,MIN(IF(ISNUMBER(DM63:DM259),ROW(DM63:DM259),"")))</f>
        <v>7.6</v>
      </c>
      <c r="DO63" s="13">
        <f>IF('Données projet'!$A$166&gt;35,DO62+DN63-DW62,IF(A63&lt;'Données projet'!$A$166,$DL$205^A63,IF(A63='Données projet'!$A$166,'Données projet'!$B$166,DO62+DN63-DW62)))</f>
        <v>213.99999999999994</v>
      </c>
      <c r="DP63" s="18">
        <f>DO63*VLOOKUP('Données projet'!$B$14,Paramètres!$A$1:$I$89,3,0)*VLOOKUP('Données projet'!$B$14,Paramètres!$A$1:$I$89,5,0)</f>
        <v>230.34959999999992</v>
      </c>
      <c r="DQ63" s="14">
        <f t="shared" si="43"/>
        <v>56.35826654142631</v>
      </c>
      <c r="DR63" s="22">
        <f t="shared" si="16"/>
        <v>499.34953422631742</v>
      </c>
      <c r="DS63" s="62">
        <f t="shared" si="17"/>
        <v>792.68286755965073</v>
      </c>
      <c r="DT63" s="62">
        <f ca="1">AVERAGE(OFFSET($DS$3,0,0,'Données projet'!$E$14+1,1))-AVERAGE(OFFSET($H$3,0,0,'Données projet'!$E$14+1,1))</f>
        <v>503.92230226365683</v>
      </c>
      <c r="DU63" s="62">
        <f t="shared" si="44"/>
        <v>267.2998309535638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214</v>
      </c>
      <c r="EH63" s="13">
        <f>VLOOKUP(A63,'Données projet'!$A$191:$I$211,9,0)</f>
        <v>7.6</v>
      </c>
      <c r="EI63" s="13">
        <f t="array" ref="EI63">INDEX(EH:EH,MIN(IF(ISNUMBER(EH63:EH259),ROW(EH63:EH259),"")))</f>
        <v>7.6</v>
      </c>
      <c r="EJ63" s="13">
        <f>IF('Données projet'!$A$192&gt;35,EJ62+EI63-ER62,IF(A63&lt;'Données projet'!$A$192,$EG$205^A63,IF(A63='Données projet'!$A$192,'Données projet'!$B$192,EJ62+EI63-ER62)))</f>
        <v>213.99999999999994</v>
      </c>
      <c r="EK63" s="18">
        <f>EJ63*VLOOKUP('Données projet'!$B$15,Paramètres!$A$1:$I$89,3,0)*VLOOKUP('Données projet'!$B$15,Paramètres!$A$1:$I$89,5,0)</f>
        <v>206.98079999999993</v>
      </c>
      <c r="EL63" s="14">
        <f t="shared" si="45"/>
        <v>51.275259496675787</v>
      </c>
      <c r="EM63" s="22">
        <f t="shared" si="19"/>
        <v>449.7959702900435</v>
      </c>
      <c r="EN63" s="62">
        <f t="shared" si="20"/>
        <v>743.12930362337681</v>
      </c>
      <c r="EO63" s="62">
        <f ca="1">AVERAGE(OFFSET($EN$3,0,0,'Données projet'!$E$15+1,1))-AVERAGE(OFFSET($H$3,0,0,'Données projet'!$E$15+1,1))</f>
        <v>457.16923206840744</v>
      </c>
      <c r="EP63" s="62">
        <f t="shared" si="46"/>
        <v>244.45149244446094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316</v>
      </c>
      <c r="FC63" s="13">
        <f>VLOOKUP(A63,'Données projet'!$A$217:$I$237,9,0)</f>
        <v>7.6</v>
      </c>
      <c r="FD63" s="13">
        <f t="array" ref="FD63">INDEX(FC:FC,MIN(IF(ISNUMBER(FC63:FC259),ROW(FC63:FC259),"")))</f>
        <v>7.6</v>
      </c>
      <c r="FE63" s="13">
        <f>IF('Données projet'!$A$218&gt;35,FE62+FD63-FM62,IF(A63&lt;'Données projet'!$A$218,$FB$205^A63,IF(A63='Données projet'!$A$218,'Données projet'!$B$218,FE62+FD63-FM62)))</f>
        <v>316.00000000000023</v>
      </c>
      <c r="FF63" s="18">
        <f>FE63*VLOOKUP('Données projet'!$B$16,Paramètres!$A$1:$I$89,3,0)*VLOOKUP('Données projet'!$B$16,Paramètres!$A$1:$I$89,5,0)</f>
        <v>211.97280000000018</v>
      </c>
      <c r="FG63" s="14">
        <f t="shared" si="47"/>
        <v>52.366457246831217</v>
      </c>
      <c r="FH63" s="22">
        <f t="shared" si="22"/>
        <v>460.39087303823135</v>
      </c>
      <c r="FI63" s="62">
        <f t="shared" si="23"/>
        <v>753.72420637156461</v>
      </c>
      <c r="FJ63" s="62">
        <f ca="1">AVERAGE(OFFSET($FI$3,0,0,'Données projet'!$E$16+1,1))-AVERAGE(OFFSET($H$3,0,0,'Données projet'!$E$16+1,1))</f>
        <v>385.97853124853452</v>
      </c>
      <c r="FK63" s="62">
        <f t="shared" si="48"/>
        <v>300.99118099739695</v>
      </c>
      <c r="FL63" s="16">
        <f>IF(ISNA(VLOOKUP(A63,'Données projet'!$A$217:$I$237,3,0)),0,VLOOKUP(A63,'Données projet'!$A$217:$I$237,3,0))</f>
        <v>5</v>
      </c>
      <c r="FM63" s="16">
        <f>IF(ISNA(VLOOKUP(A63,'Données projet'!$A$217:$I$237,4,0)),0,VLOOKUP(A63,'Données projet'!$A$217:$I$237,4,0))</f>
        <v>41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132.280299502248</v>
      </c>
      <c r="T64" s="62">
        <f t="shared" si="34"/>
        <v>337.98099449405339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33.908294108725322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3.9722672549591021E-5</v>
      </c>
      <c r="AC64" s="24">
        <f t="shared" si="3"/>
        <v>33.908333831397869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221.19999999999993</v>
      </c>
      <c r="AJ64" s="14">
        <f>AI64*VLOOKUP('Données projet'!$B$10,Paramètres!$A$1:$I$89,3,0)*VLOOKUP('Données projet'!$B$10,Paramètres!$A$1:$I$89,5,0)</f>
        <v>200.14175999999995</v>
      </c>
      <c r="AK64" s="14">
        <f t="shared" si="35"/>
        <v>49.775320997880847</v>
      </c>
      <c r="AL64" s="22">
        <f t="shared" si="4"/>
        <v>435.27224940464231</v>
      </c>
      <c r="AM64" s="62">
        <f t="shared" si="5"/>
        <v>728.60558273797562</v>
      </c>
      <c r="AN64" s="62">
        <f ca="1">AVERAGE(OFFSET($AM$3,0,0,'Données projet'!$E$10+1,1))-AVERAGE(OFFSET($H$3,0,0,'Données projet'!$E$10+1,1))</f>
        <v>430.40491895612814</v>
      </c>
      <c r="AO64" s="62">
        <f t="shared" si="36"/>
        <v>231.36959598460686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14.3</v>
      </c>
      <c r="BD64" s="13">
        <f>IF('Données projet'!$A$88&gt;35,BD63+BC64-BL63,IF(A64&lt;'Données projet'!$A$88,$BA$205^A64,IF(A64='Données projet'!$A$88,'Données projet'!$B$88,BD63+BC64-BL63)))</f>
        <v>319.3</v>
      </c>
      <c r="BE64" s="14">
        <f>BD64*VLOOKUP('Données projet'!$B$11,Paramètres!$A$1:$I$89,3,0)*VLOOKUP('Données projet'!$B$11,Paramètres!$A$1:$I$89,5,0)</f>
        <v>190.94140000000002</v>
      </c>
      <c r="BF64" s="14">
        <f t="shared" si="37"/>
        <v>47.748023117802013</v>
      </c>
      <c r="BG64" s="22">
        <f t="shared" si="7"/>
        <v>415.71741193017186</v>
      </c>
      <c r="BH64" s="62">
        <f t="shared" si="8"/>
        <v>709.05074526350518</v>
      </c>
      <c r="BI64" s="62">
        <f ca="1">AVERAGE(OFFSET($BH$3,0,0,'Données projet'!$E$11+1,1))-AVERAGE(OFFSET($H$3,0,0,'Données projet'!$E$11+1,1))</f>
        <v>295.83974441964551</v>
      </c>
      <c r="BJ64" s="62">
        <f t="shared" si="38"/>
        <v>212.24900914818096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11.375</v>
      </c>
      <c r="BY64" s="13">
        <f>IF('Données projet'!$A$114&gt;35,BY63+BX64-CG63,IF(A64&lt;'Données projet'!$A$114,$BV$205^A64,IF(A64='Données projet'!$A$114,'Données projet'!$B$114,BY63+BX64-CG63)))</f>
        <v>358.12499999999994</v>
      </c>
      <c r="BZ64" s="14">
        <f>BY64*VLOOKUP('Données projet'!$B$12,Paramètres!$A$1:$I$89,3,0)*VLOOKUP('Données projet'!$B$12,Paramètres!$A$1:$I$89,5,0)</f>
        <v>204.8475</v>
      </c>
      <c r="CA64" s="14">
        <f t="shared" si="39"/>
        <v>50.808012105592304</v>
      </c>
      <c r="CB64" s="22">
        <f t="shared" si="10"/>
        <v>445.26668358390657</v>
      </c>
      <c r="CC64" s="62">
        <f t="shared" si="11"/>
        <v>738.60001691723983</v>
      </c>
      <c r="CD64" s="62">
        <f ca="1">AVERAGE(OFFSET($CC$3,0,0,'Données projet'!$E$12+1,1))-AVERAGE(OFFSET($H$3,0,0,'Données projet'!$E$12+1,1))</f>
        <v>309.71642374647882</v>
      </c>
      <c r="CE64" s="62">
        <f t="shared" si="40"/>
        <v>266.63880397664315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1.036761455386735</v>
      </c>
      <c r="CM64" s="23">
        <f>EXP(-LN(2)/2)*CM63+(1-EXP(-LN(2)/2))/(LN(2)/2)*CG64*CJ64*VLOOKUP('Données projet'!$B$12,Paramètres!$A$1:$I$89,3,0)*0.475*44/12</f>
        <v>1.7168767435022975E-4</v>
      </c>
      <c r="CN64" s="24">
        <f t="shared" si="12"/>
        <v>1.0369331430610853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4.4000000000000004</v>
      </c>
      <c r="CT64" s="13">
        <f>IF('Données projet'!$A$140&gt;35,CT63+CS64-DB63,IF(A64&lt;'Données projet'!$A$140,$CQ$205^A64,IF(A64='Données projet'!$A$140,'Données projet'!$B$140,CT63+CS64-DB63)))</f>
        <v>237.39999999999986</v>
      </c>
      <c r="CU64" s="18">
        <f>CT64*VLOOKUP('Données projet'!$B$13,Paramètres!$A$1:$I$89,3,0)*VLOOKUP('Données projet'!$B$13,Paramètres!$A$1:$I$89,5,0)</f>
        <v>188.87543999999988</v>
      </c>
      <c r="CV64" s="14">
        <f t="shared" si="41"/>
        <v>47.291242769027726</v>
      </c>
      <c r="CW64" s="22">
        <f t="shared" si="13"/>
        <v>411.32363915605634</v>
      </c>
      <c r="CX64" s="62">
        <f t="shared" si="14"/>
        <v>704.65697248938966</v>
      </c>
      <c r="CY64" s="62">
        <f ca="1">AVERAGE(OFFSET($CX$3,0,0,'Données projet'!$E$13+1,1))-AVERAGE(OFFSET($H$3,0,0,'Données projet'!$E$13+1,1))</f>
        <v>312.53381881960331</v>
      </c>
      <c r="CZ64" s="62">
        <f t="shared" si="42"/>
        <v>342.06887933351783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7.2</v>
      </c>
      <c r="DO64" s="13">
        <f>IF('Données projet'!$A$166&gt;35,DO63+DN64-DW63,IF(A64&lt;'Données projet'!$A$166,$DL$205^A64,IF(A64='Données projet'!$A$166,'Données projet'!$B$166,DO63+DN64-DW63)))</f>
        <v>221.19999999999993</v>
      </c>
      <c r="DP64" s="18">
        <f>DO64*VLOOKUP('Données projet'!$B$14,Paramètres!$A$1:$I$89,3,0)*VLOOKUP('Données projet'!$B$14,Paramètres!$A$1:$I$89,5,0)</f>
        <v>238.09967999999989</v>
      </c>
      <c r="DQ64" s="14">
        <f t="shared" si="43"/>
        <v>58.030478404094161</v>
      </c>
      <c r="DR64" s="22">
        <f t="shared" si="16"/>
        <v>515.7600258871305</v>
      </c>
      <c r="DS64" s="62">
        <f t="shared" si="17"/>
        <v>809.09335922046375</v>
      </c>
      <c r="DT64" s="62">
        <f ca="1">AVERAGE(OFFSET($DS$3,0,0,'Données projet'!$E$14+1,1))-AVERAGE(OFFSET($H$3,0,0,'Données projet'!$E$14+1,1))</f>
        <v>503.92230226365683</v>
      </c>
      <c r="DU64" s="62">
        <f t="shared" si="44"/>
        <v>267.2998309535638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7.2</v>
      </c>
      <c r="EJ64" s="13">
        <f>IF('Données projet'!$A$192&gt;35,EJ63+EI64-ER63,IF(A64&lt;'Données projet'!$A$192,$EG$205^A64,IF(A64='Données projet'!$A$192,'Données projet'!$B$192,EJ63+EI64-ER63)))</f>
        <v>221.19999999999993</v>
      </c>
      <c r="EK64" s="18">
        <f>EJ64*VLOOKUP('Données projet'!$B$15,Paramètres!$A$1:$I$89,3,0)*VLOOKUP('Données projet'!$B$15,Paramètres!$A$1:$I$89,5,0)</f>
        <v>213.94463999999994</v>
      </c>
      <c r="EL64" s="14">
        <f t="shared" si="45"/>
        <v>52.796652939972844</v>
      </c>
      <c r="EM64" s="22">
        <f t="shared" si="19"/>
        <v>464.57441853711924</v>
      </c>
      <c r="EN64" s="62">
        <f t="shared" si="20"/>
        <v>757.90775187045256</v>
      </c>
      <c r="EO64" s="62">
        <f ca="1">AVERAGE(OFFSET($EN$3,0,0,'Données projet'!$E$15+1,1))-AVERAGE(OFFSET($H$3,0,0,'Données projet'!$E$15+1,1))</f>
        <v>457.16923206840744</v>
      </c>
      <c r="EP64" s="62">
        <f t="shared" si="46"/>
        <v>244.45149244446094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7</v>
      </c>
      <c r="FE64" s="13">
        <f>IF('Données projet'!$A$218&gt;35,FE63+FD64-FM63,IF(A64&lt;'Données projet'!$A$218,$FB$205^A64,IF(A64='Données projet'!$A$218,'Données projet'!$B$218,FE63+FD64-FM63)))</f>
        <v>282.00000000000023</v>
      </c>
      <c r="FF64" s="18">
        <f>FE64*VLOOKUP('Données projet'!$B$16,Paramètres!$A$1:$I$89,3,0)*VLOOKUP('Données projet'!$B$16,Paramètres!$A$1:$I$89,5,0)</f>
        <v>189.16560000000015</v>
      </c>
      <c r="FG64" s="14">
        <f t="shared" si="47"/>
        <v>47.355431631295311</v>
      </c>
      <c r="FH64" s="22">
        <f t="shared" si="22"/>
        <v>411.94079675783956</v>
      </c>
      <c r="FI64" s="62">
        <f t="shared" si="23"/>
        <v>705.27413009117288</v>
      </c>
      <c r="FJ64" s="62">
        <f ca="1">AVERAGE(OFFSET($FI$3,0,0,'Données projet'!$E$16+1,1))-AVERAGE(OFFSET($H$3,0,0,'Données projet'!$E$16+1,1))</f>
        <v>385.97853124853452</v>
      </c>
      <c r="FK64" s="62">
        <f t="shared" si="48"/>
        <v>300.99118099739695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132.280299502248</v>
      </c>
      <c r="T65" s="62">
        <f t="shared" si="34"/>
        <v>337.98099449405339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33.243373143270446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2.8088171126668536E-5</v>
      </c>
      <c r="AC65" s="24">
        <f t="shared" si="3"/>
        <v>33.243401231441574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228.39999999999992</v>
      </c>
      <c r="AJ65" s="14">
        <f>AI65*VLOOKUP('Données projet'!$B$10,Paramètres!$A$1:$I$89,3,0)*VLOOKUP('Données projet'!$B$10,Paramètres!$A$1:$I$89,5,0)</f>
        <v>206.65631999999994</v>
      </c>
      <c r="AK65" s="14">
        <f t="shared" si="35"/>
        <v>51.20422634371338</v>
      </c>
      <c r="AL65" s="22">
        <f t="shared" si="4"/>
        <v>449.10711821530072</v>
      </c>
      <c r="AM65" s="62">
        <f t="shared" si="5"/>
        <v>742.44045154863397</v>
      </c>
      <c r="AN65" s="62">
        <f ca="1">AVERAGE(OFFSET($AM$3,0,0,'Données projet'!$E$10+1,1))-AVERAGE(OFFSET($H$3,0,0,'Données projet'!$E$10+1,1))</f>
        <v>430.40491895612814</v>
      </c>
      <c r="AO65" s="62">
        <f t="shared" si="36"/>
        <v>231.36959598460686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14.3</v>
      </c>
      <c r="BD65" s="13">
        <f>IF('Données projet'!$A$88&gt;35,BD64+BC65-BL64,IF(A65&lt;'Données projet'!$A$88,$BA$205^A65,IF(A65='Données projet'!$A$88,'Données projet'!$B$88,BD64+BC65-BL64)))</f>
        <v>333.6</v>
      </c>
      <c r="BE65" s="14">
        <f>BD65*VLOOKUP('Données projet'!$B$11,Paramètres!$A$1:$I$89,3,0)*VLOOKUP('Données projet'!$B$11,Paramètres!$A$1:$I$89,5,0)</f>
        <v>199.49280000000002</v>
      </c>
      <c r="BF65" s="14">
        <f t="shared" si="37"/>
        <v>49.632684049228061</v>
      </c>
      <c r="BG65" s="22">
        <f t="shared" si="7"/>
        <v>433.89355138573887</v>
      </c>
      <c r="BH65" s="62">
        <f t="shared" si="8"/>
        <v>727.22688471907213</v>
      </c>
      <c r="BI65" s="62">
        <f ca="1">AVERAGE(OFFSET($BH$3,0,0,'Données projet'!$E$11+1,1))-AVERAGE(OFFSET($H$3,0,0,'Données projet'!$E$11+1,1))</f>
        <v>295.83974441964551</v>
      </c>
      <c r="BJ65" s="62">
        <f t="shared" si="38"/>
        <v>212.24900914818096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11.375</v>
      </c>
      <c r="BY65" s="13">
        <f>IF('Données projet'!$A$114&gt;35,BY64+BX65-CG64,IF(A65&lt;'Données projet'!$A$114,$BV$205^A65,IF(A65='Données projet'!$A$114,'Données projet'!$B$114,BY64+BX65-CG64)))</f>
        <v>369.49999999999994</v>
      </c>
      <c r="BZ65" s="14">
        <f>BY65*VLOOKUP('Données projet'!$B$12,Paramètres!$A$1:$I$89,3,0)*VLOOKUP('Données projet'!$B$12,Paramètres!$A$1:$I$89,5,0)</f>
        <v>211.35399999999998</v>
      </c>
      <c r="CA65" s="14">
        <f t="shared" si="39"/>
        <v>52.23135799939994</v>
      </c>
      <c r="CB65" s="22">
        <f t="shared" si="10"/>
        <v>459.07783184895493</v>
      </c>
      <c r="CC65" s="62">
        <f t="shared" si="11"/>
        <v>752.41116518228819</v>
      </c>
      <c r="CD65" s="62">
        <f ca="1">AVERAGE(OFFSET($CC$3,0,0,'Données projet'!$E$12+1,1))-AVERAGE(OFFSET($H$3,0,0,'Données projet'!$E$12+1,1))</f>
        <v>309.71642374647882</v>
      </c>
      <c r="CE65" s="62">
        <f t="shared" si="40"/>
        <v>266.63880397664315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1.0084111588682694</v>
      </c>
      <c r="CM65" s="23">
        <f>EXP(-LN(2)/2)*CM64+(1-EXP(-LN(2)/2))/(LN(2)/2)*CG65*CJ65*VLOOKUP('Données projet'!$B$12,Paramètres!$A$1:$I$89,3,0)*0.475*44/12</f>
        <v>1.2140151877919514E-4</v>
      </c>
      <c r="CN65" s="24">
        <f t="shared" si="12"/>
        <v>1.0085325603870485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4.4000000000000004</v>
      </c>
      <c r="CT65" s="13">
        <f>IF('Données projet'!$A$140&gt;35,CT64+CS65-DB64,IF(A65&lt;'Données projet'!$A$140,$CQ$205^A65,IF(A65='Données projet'!$A$140,'Données projet'!$B$140,CT64+CS65-DB64)))</f>
        <v>241.79999999999987</v>
      </c>
      <c r="CU65" s="18">
        <f>CT65*VLOOKUP('Données projet'!$B$13,Paramètres!$A$1:$I$89,3,0)*VLOOKUP('Données projet'!$B$13,Paramètres!$A$1:$I$89,5,0)</f>
        <v>192.37607999999992</v>
      </c>
      <c r="CV65" s="14">
        <f t="shared" si="41"/>
        <v>48.064889828485896</v>
      </c>
      <c r="CW65" s="22">
        <f t="shared" si="13"/>
        <v>418.76802245127942</v>
      </c>
      <c r="CX65" s="62">
        <f t="shared" si="14"/>
        <v>712.10135578461268</v>
      </c>
      <c r="CY65" s="62">
        <f ca="1">AVERAGE(OFFSET($CX$3,0,0,'Données projet'!$E$13+1,1))-AVERAGE(OFFSET($H$3,0,0,'Données projet'!$E$13+1,1))</f>
        <v>312.53381881960331</v>
      </c>
      <c r="CZ65" s="62">
        <f t="shared" si="42"/>
        <v>342.06887933351783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7.2</v>
      </c>
      <c r="DO65" s="13">
        <f>IF('Données projet'!$A$166&gt;35,DO64+DN65-DW64,IF(A65&lt;'Données projet'!$A$166,$DL$205^A65,IF(A65='Données projet'!$A$166,'Données projet'!$B$166,DO64+DN65-DW64)))</f>
        <v>228.39999999999992</v>
      </c>
      <c r="DP65" s="18">
        <f>DO65*VLOOKUP('Données projet'!$B$14,Paramètres!$A$1:$I$89,3,0)*VLOOKUP('Données projet'!$B$14,Paramètres!$A$1:$I$89,5,0)</f>
        <v>245.84975999999992</v>
      </c>
      <c r="DQ65" s="14">
        <f t="shared" si="43"/>
        <v>59.696365416984804</v>
      </c>
      <c r="DR65" s="22">
        <f t="shared" si="16"/>
        <v>532.15950176791512</v>
      </c>
      <c r="DS65" s="62">
        <f t="shared" si="17"/>
        <v>825.49283510124837</v>
      </c>
      <c r="DT65" s="62">
        <f ca="1">AVERAGE(OFFSET($DS$3,0,0,'Données projet'!$E$14+1,1))-AVERAGE(OFFSET($H$3,0,0,'Données projet'!$E$14+1,1))</f>
        <v>503.92230226365683</v>
      </c>
      <c r="DU65" s="62">
        <f t="shared" si="44"/>
        <v>267.2998309535638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7.2</v>
      </c>
      <c r="EJ65" s="13">
        <f>IF('Données projet'!$A$192&gt;35,EJ64+EI65-ER64,IF(A65&lt;'Données projet'!$A$192,$EG$205^A65,IF(A65='Données projet'!$A$192,'Données projet'!$B$192,EJ64+EI65-ER64)))</f>
        <v>228.39999999999992</v>
      </c>
      <c r="EK65" s="18">
        <f>EJ65*VLOOKUP('Données projet'!$B$15,Paramètres!$A$1:$I$89,3,0)*VLOOKUP('Données projet'!$B$15,Paramètres!$A$1:$I$89,5,0)</f>
        <v>220.90847999999991</v>
      </c>
      <c r="EL65" s="14">
        <f t="shared" si="45"/>
        <v>54.312291977864817</v>
      </c>
      <c r="EM65" s="22">
        <f t="shared" si="19"/>
        <v>479.34284452811431</v>
      </c>
      <c r="EN65" s="62">
        <f t="shared" si="20"/>
        <v>772.67617786144763</v>
      </c>
      <c r="EO65" s="62">
        <f ca="1">AVERAGE(OFFSET($EN$3,0,0,'Données projet'!$E$15+1,1))-AVERAGE(OFFSET($H$3,0,0,'Données projet'!$E$15+1,1))</f>
        <v>457.16923206840744</v>
      </c>
      <c r="EP65" s="62">
        <f t="shared" si="46"/>
        <v>244.45149244446094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7</v>
      </c>
      <c r="FE65" s="13">
        <f>IF('Données projet'!$A$218&gt;35,FE64+FD65-FM64,IF(A65&lt;'Données projet'!$A$218,$FB$205^A65,IF(A65='Données projet'!$A$218,'Données projet'!$B$218,FE64+FD65-FM64)))</f>
        <v>289.00000000000023</v>
      </c>
      <c r="FF65" s="18">
        <f>FE65*VLOOKUP('Données projet'!$B$16,Paramètres!$A$1:$I$89,3,0)*VLOOKUP('Données projet'!$B$16,Paramètres!$A$1:$I$89,5,0)</f>
        <v>193.86120000000017</v>
      </c>
      <c r="FG65" s="14">
        <f t="shared" si="47"/>
        <v>48.392607244332581</v>
      </c>
      <c r="FH65" s="22">
        <f t="shared" si="22"/>
        <v>421.92538095054618</v>
      </c>
      <c r="FI65" s="62">
        <f t="shared" si="23"/>
        <v>715.2587142838795</v>
      </c>
      <c r="FJ65" s="62">
        <f ca="1">AVERAGE(OFFSET($FI$3,0,0,'Données projet'!$E$16+1,1))-AVERAGE(OFFSET($H$3,0,0,'Données projet'!$E$16+1,1))</f>
        <v>385.97853124853452</v>
      </c>
      <c r="FK65" s="62">
        <f t="shared" si="48"/>
        <v>300.99118099739695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132.280299502248</v>
      </c>
      <c r="T66" s="62">
        <f t="shared" si="34"/>
        <v>337.98099449405339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32.591490872386395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1.986133627479551E-5</v>
      </c>
      <c r="AC66" s="24">
        <f t="shared" si="3"/>
        <v>32.591510733722671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235.59999999999991</v>
      </c>
      <c r="AJ66" s="14">
        <f>AI66*VLOOKUP('Données projet'!$B$10,Paramètres!$A$1:$I$89,3,0)*VLOOKUP('Données projet'!$B$10,Paramètres!$A$1:$I$89,5,0)</f>
        <v>213.17087999999993</v>
      </c>
      <c r="AK66" s="14">
        <f t="shared" si="35"/>
        <v>52.627897224631596</v>
      </c>
      <c r="AL66" s="22">
        <f t="shared" si="4"/>
        <v>462.93287033289988</v>
      </c>
      <c r="AM66" s="62">
        <f t="shared" si="5"/>
        <v>756.2662036662332</v>
      </c>
      <c r="AN66" s="62">
        <f ca="1">AVERAGE(OFFSET($AM$3,0,0,'Données projet'!$E$10+1,1))-AVERAGE(OFFSET($H$3,0,0,'Données projet'!$E$10+1,1))</f>
        <v>430.40491895612814</v>
      </c>
      <c r="AO66" s="62">
        <f t="shared" si="36"/>
        <v>231.36959598460686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14.3</v>
      </c>
      <c r="BD66" s="13">
        <f>IF('Données projet'!$A$88&gt;35,BD65+BC66-BL65,IF(A66&lt;'Données projet'!$A$88,$BA$205^A66,IF(A66='Données projet'!$A$88,'Données projet'!$B$88,BD65+BC66-BL65)))</f>
        <v>347.90000000000003</v>
      </c>
      <c r="BE66" s="14">
        <f>BD66*VLOOKUP('Données projet'!$B$11,Paramètres!$A$1:$I$89,3,0)*VLOOKUP('Données projet'!$B$11,Paramètres!$A$1:$I$89,5,0)</f>
        <v>208.04420000000005</v>
      </c>
      <c r="BF66" s="14">
        <f t="shared" si="37"/>
        <v>51.507961722634242</v>
      </c>
      <c r="BG66" s="22">
        <f t="shared" si="7"/>
        <v>452.05334833358802</v>
      </c>
      <c r="BH66" s="62">
        <f t="shared" si="8"/>
        <v>745.38668166692128</v>
      </c>
      <c r="BI66" s="62">
        <f ca="1">AVERAGE(OFFSET($BH$3,0,0,'Données projet'!$E$11+1,1))-AVERAGE(OFFSET($H$3,0,0,'Données projet'!$E$11+1,1))</f>
        <v>295.83974441964551</v>
      </c>
      <c r="BJ66" s="62">
        <f t="shared" si="38"/>
        <v>212.24900914818096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11.375</v>
      </c>
      <c r="BY66" s="13">
        <f>IF('Données projet'!$A$114&gt;35,BY65+BX66-CG65,IF(A66&lt;'Données projet'!$A$114,$BV$205^A66,IF(A66='Données projet'!$A$114,'Données projet'!$B$114,BY65+BX66-CG65)))</f>
        <v>380.87499999999994</v>
      </c>
      <c r="BZ66" s="14">
        <f>BY66*VLOOKUP('Données projet'!$B$12,Paramètres!$A$1:$I$89,3,0)*VLOOKUP('Données projet'!$B$12,Paramètres!$A$1:$I$89,5,0)</f>
        <v>217.86049999999997</v>
      </c>
      <c r="CA66" s="14">
        <f t="shared" si="39"/>
        <v>53.64961181582801</v>
      </c>
      <c r="CB66" s="22">
        <f t="shared" si="10"/>
        <v>472.88011141256703</v>
      </c>
      <c r="CC66" s="62">
        <f t="shared" si="11"/>
        <v>766.21344474590035</v>
      </c>
      <c r="CD66" s="62">
        <f ca="1">AVERAGE(OFFSET($CC$3,0,0,'Données projet'!$E$12+1,1))-AVERAGE(OFFSET($H$3,0,0,'Données projet'!$E$12+1,1))</f>
        <v>309.71642374647882</v>
      </c>
      <c r="CE66" s="62">
        <f t="shared" si="40"/>
        <v>266.63880397664315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0.98083610269897847</v>
      </c>
      <c r="CM66" s="23">
        <f>EXP(-LN(2)/2)*CM65+(1-EXP(-LN(2)/2))/(LN(2)/2)*CG66*CJ66*VLOOKUP('Données projet'!$B$12,Paramètres!$A$1:$I$89,3,0)*0.475*44/12</f>
        <v>8.5843837175114888E-5</v>
      </c>
      <c r="CN66" s="24">
        <f t="shared" si="12"/>
        <v>0.98092194653615361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4.4000000000000004</v>
      </c>
      <c r="CT66" s="13">
        <f>IF('Données projet'!$A$140&gt;35,CT65+CS66-DB65,IF(A66&lt;'Données projet'!$A$140,$CQ$205^A66,IF(A66='Données projet'!$A$140,'Données projet'!$B$140,CT65+CS66-DB65)))</f>
        <v>246.19999999999987</v>
      </c>
      <c r="CU66" s="18">
        <f>CT66*VLOOKUP('Données projet'!$B$13,Paramètres!$A$1:$I$89,3,0)*VLOOKUP('Données projet'!$B$13,Paramètres!$A$1:$I$89,5,0)</f>
        <v>195.87671999999992</v>
      </c>
      <c r="CV66" s="14">
        <f t="shared" si="41"/>
        <v>48.836899853879942</v>
      </c>
      <c r="CW66" s="22">
        <f t="shared" si="13"/>
        <v>426.20955457884071</v>
      </c>
      <c r="CX66" s="62">
        <f t="shared" si="14"/>
        <v>719.54288791217402</v>
      </c>
      <c r="CY66" s="62">
        <f ca="1">AVERAGE(OFFSET($CX$3,0,0,'Données projet'!$E$13+1,1))-AVERAGE(OFFSET($H$3,0,0,'Données projet'!$E$13+1,1))</f>
        <v>312.53381881960331</v>
      </c>
      <c r="CZ66" s="62">
        <f t="shared" si="42"/>
        <v>342.06887933351783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7.2</v>
      </c>
      <c r="DO66" s="13">
        <f>IF('Données projet'!$A$166&gt;35,DO65+DN66-DW65,IF(A66&lt;'Données projet'!$A$166,$DL$205^A66,IF(A66='Données projet'!$A$166,'Données projet'!$B$166,DO65+DN66-DW65)))</f>
        <v>235.59999999999991</v>
      </c>
      <c r="DP66" s="18">
        <f>DO66*VLOOKUP('Données projet'!$B$14,Paramètres!$A$1:$I$89,3,0)*VLOOKUP('Données projet'!$B$14,Paramètres!$A$1:$I$89,5,0)</f>
        <v>253.59983999999992</v>
      </c>
      <c r="DQ66" s="14">
        <f t="shared" si="43"/>
        <v>61.356149837323883</v>
      </c>
      <c r="DR66" s="22">
        <f t="shared" si="16"/>
        <v>548.54834896667228</v>
      </c>
      <c r="DS66" s="62">
        <f t="shared" si="17"/>
        <v>841.88168230000565</v>
      </c>
      <c r="DT66" s="62">
        <f ca="1">AVERAGE(OFFSET($DS$3,0,0,'Données projet'!$E$14+1,1))-AVERAGE(OFFSET($H$3,0,0,'Données projet'!$E$14+1,1))</f>
        <v>503.92230226365683</v>
      </c>
      <c r="DU66" s="62">
        <f t="shared" si="44"/>
        <v>267.2998309535638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7.2</v>
      </c>
      <c r="EJ66" s="13">
        <f>IF('Données projet'!$A$192&gt;35,EJ65+EI66-ER65,IF(A66&lt;'Données projet'!$A$192,$EG$205^A66,IF(A66='Données projet'!$A$192,'Données projet'!$B$192,EJ65+EI66-ER65)))</f>
        <v>235.59999999999991</v>
      </c>
      <c r="EK66" s="18">
        <f>EJ66*VLOOKUP('Données projet'!$B$15,Paramètres!$A$1:$I$89,3,0)*VLOOKUP('Données projet'!$B$15,Paramètres!$A$1:$I$89,5,0)</f>
        <v>227.87231999999992</v>
      </c>
      <c r="EL66" s="14">
        <f t="shared" si="45"/>
        <v>55.822378821981488</v>
      </c>
      <c r="EM66" s="22">
        <f t="shared" si="19"/>
        <v>494.10160044828439</v>
      </c>
      <c r="EN66" s="62">
        <f t="shared" si="20"/>
        <v>787.4349337816177</v>
      </c>
      <c r="EO66" s="62">
        <f ca="1">AVERAGE(OFFSET($EN$3,0,0,'Données projet'!$E$15+1,1))-AVERAGE(OFFSET($H$3,0,0,'Données projet'!$E$15+1,1))</f>
        <v>457.16923206840744</v>
      </c>
      <c r="EP66" s="62">
        <f t="shared" si="46"/>
        <v>244.45149244446094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7</v>
      </c>
      <c r="FE66" s="13">
        <f>IF('Données projet'!$A$218&gt;35,FE65+FD66-FM65,IF(A66&lt;'Données projet'!$A$218,$FB$205^A66,IF(A66='Données projet'!$A$218,'Données projet'!$B$218,FE65+FD66-FM65)))</f>
        <v>296.00000000000023</v>
      </c>
      <c r="FF66" s="18">
        <f>FE66*VLOOKUP('Données projet'!$B$16,Paramètres!$A$1:$I$89,3,0)*VLOOKUP('Données projet'!$B$16,Paramètres!$A$1:$I$89,5,0)</f>
        <v>198.55680000000015</v>
      </c>
      <c r="FG66" s="14">
        <f t="shared" si="47"/>
        <v>49.426862484667978</v>
      </c>
      <c r="FH66" s="22">
        <f t="shared" si="22"/>
        <v>431.90487882746362</v>
      </c>
      <c r="FI66" s="62">
        <f t="shared" si="23"/>
        <v>725.23821216079693</v>
      </c>
      <c r="FJ66" s="62">
        <f ca="1">AVERAGE(OFFSET($FI$3,0,0,'Données projet'!$E$16+1,1))-AVERAGE(OFFSET($H$3,0,0,'Données projet'!$E$16+1,1))</f>
        <v>385.97853124853452</v>
      </c>
      <c r="FK66" s="62">
        <f t="shared" si="48"/>
        <v>300.99118099739695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132.280299502248</v>
      </c>
      <c r="T67" s="62">
        <f t="shared" si="34"/>
        <v>337.98099449405339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31.952391615225455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1.4044085563334268E-5</v>
      </c>
      <c r="AC67" s="24">
        <f t="shared" si="3"/>
        <v>31.952405659311019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242.7999999999999</v>
      </c>
      <c r="AJ67" s="14">
        <f>AI67*VLOOKUP('Données projet'!$B$10,Paramètres!$A$1:$I$89,3,0)*VLOOKUP('Données projet'!$B$10,Paramètres!$A$1:$I$89,5,0)</f>
        <v>219.68543999999989</v>
      </c>
      <c r="AK67" s="14">
        <f t="shared" si="35"/>
        <v>54.046511966469559</v>
      </c>
      <c r="AL67" s="22">
        <f t="shared" si="4"/>
        <v>476.74981634160099</v>
      </c>
      <c r="AM67" s="62">
        <f t="shared" si="5"/>
        <v>770.08314967493425</v>
      </c>
      <c r="AN67" s="62">
        <f ca="1">AVERAGE(OFFSET($AM$3,0,0,'Données projet'!$E$10+1,1))-AVERAGE(OFFSET($H$3,0,0,'Données projet'!$E$10+1,1))</f>
        <v>430.40491895612814</v>
      </c>
      <c r="AO67" s="62">
        <f t="shared" si="36"/>
        <v>231.36959598460686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14.3</v>
      </c>
      <c r="BD67" s="13">
        <f>IF('Données projet'!$A$88&gt;35,BD66+BC67-BL66,IF(A67&lt;'Données projet'!$A$88,$BA$205^A67,IF(A67='Données projet'!$A$88,'Données projet'!$B$88,BD66+BC67-BL66)))</f>
        <v>362.20000000000005</v>
      </c>
      <c r="BE67" s="14">
        <f>BD67*VLOOKUP('Données projet'!$B$11,Paramètres!$A$1:$I$89,3,0)*VLOOKUP('Données projet'!$B$11,Paramètres!$A$1:$I$89,5,0)</f>
        <v>216.59560000000005</v>
      </c>
      <c r="BF67" s="14">
        <f t="shared" si="37"/>
        <v>53.374285937607603</v>
      </c>
      <c r="BG67" s="22">
        <f t="shared" si="7"/>
        <v>470.19755134133334</v>
      </c>
      <c r="BH67" s="62">
        <f t="shared" si="8"/>
        <v>763.53088467466659</v>
      </c>
      <c r="BI67" s="62">
        <f ca="1">AVERAGE(OFFSET($BH$3,0,0,'Données projet'!$E$11+1,1))-AVERAGE(OFFSET($H$3,0,0,'Données projet'!$E$11+1,1))</f>
        <v>295.83974441964551</v>
      </c>
      <c r="BJ67" s="62">
        <f t="shared" si="38"/>
        <v>212.24900914818096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11.375</v>
      </c>
      <c r="BY67" s="13">
        <f>IF('Données projet'!$A$114&gt;35,BY66+BX67-CG66,IF(A67&lt;'Données projet'!$A$114,$BV$205^A67,IF(A67='Données projet'!$A$114,'Données projet'!$B$114,BY66+BX67-CG66)))</f>
        <v>392.24999999999994</v>
      </c>
      <c r="BZ67" s="14">
        <f>BY67*VLOOKUP('Données projet'!$B$12,Paramètres!$A$1:$I$89,3,0)*VLOOKUP('Données projet'!$B$12,Paramètres!$A$1:$I$89,5,0)</f>
        <v>224.36699999999996</v>
      </c>
      <c r="CA67" s="14">
        <f t="shared" si="39"/>
        <v>55.062943090135803</v>
      </c>
      <c r="CB67" s="22">
        <f t="shared" si="10"/>
        <v>486.67381754865318</v>
      </c>
      <c r="CC67" s="62">
        <f t="shared" si="11"/>
        <v>780.00715088198649</v>
      </c>
      <c r="CD67" s="62">
        <f ca="1">AVERAGE(OFFSET($CC$3,0,0,'Données projet'!$E$12+1,1))-AVERAGE(OFFSET($H$3,0,0,'Données projet'!$E$12+1,1))</f>
        <v>309.71642374647882</v>
      </c>
      <c r="CE67" s="62">
        <f t="shared" si="40"/>
        <v>266.63880397664315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0.95401508789074596</v>
      </c>
      <c r="CM67" s="23">
        <f>EXP(-LN(2)/2)*CM66+(1-EXP(-LN(2)/2))/(LN(2)/2)*CG67*CJ67*VLOOKUP('Données projet'!$B$12,Paramètres!$A$1:$I$89,3,0)*0.475*44/12</f>
        <v>6.0700759389597583E-5</v>
      </c>
      <c r="CN67" s="24">
        <f t="shared" si="12"/>
        <v>0.95407578865013554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4.4000000000000004</v>
      </c>
      <c r="CT67" s="13">
        <f>IF('Données projet'!$A$140&gt;35,CT66+CS67-DB66,IF(A67&lt;'Données projet'!$A$140,$CQ$205^A67,IF(A67='Données projet'!$A$140,'Données projet'!$B$140,CT66+CS67-DB66)))</f>
        <v>250.59999999999988</v>
      </c>
      <c r="CU67" s="18">
        <f>CT67*VLOOKUP('Données projet'!$B$13,Paramètres!$A$1:$I$89,3,0)*VLOOKUP('Données projet'!$B$13,Paramètres!$A$1:$I$89,5,0)</f>
        <v>199.37735999999992</v>
      </c>
      <c r="CV67" s="14">
        <f t="shared" si="41"/>
        <v>49.607305476717762</v>
      </c>
      <c r="CW67" s="22">
        <f t="shared" si="13"/>
        <v>433.64829237194999</v>
      </c>
      <c r="CX67" s="62">
        <f t="shared" si="14"/>
        <v>726.98162570528325</v>
      </c>
      <c r="CY67" s="62">
        <f ca="1">AVERAGE(OFFSET($CX$3,0,0,'Données projet'!$E$13+1,1))-AVERAGE(OFFSET($H$3,0,0,'Données projet'!$E$13+1,1))</f>
        <v>312.53381881960331</v>
      </c>
      <c r="CZ67" s="62">
        <f t="shared" si="42"/>
        <v>342.06887933351783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7.2</v>
      </c>
      <c r="DO67" s="13">
        <f>IF('Données projet'!$A$166&gt;35,DO66+DN67-DW66,IF(A67&lt;'Données projet'!$A$166,$DL$205^A67,IF(A67='Données projet'!$A$166,'Données projet'!$B$166,DO66+DN67-DW66)))</f>
        <v>242.7999999999999</v>
      </c>
      <c r="DP67" s="18">
        <f>DO67*VLOOKUP('Données projet'!$B$14,Paramètres!$A$1:$I$89,3,0)*VLOOKUP('Données projet'!$B$14,Paramètres!$A$1:$I$89,5,0)</f>
        <v>261.34991999999988</v>
      </c>
      <c r="DQ67" s="14">
        <f t="shared" si="43"/>
        <v>63.010039566000117</v>
      </c>
      <c r="DR67" s="22">
        <f t="shared" si="16"/>
        <v>564.92692957744998</v>
      </c>
      <c r="DS67" s="62">
        <f t="shared" si="17"/>
        <v>858.26026291078324</v>
      </c>
      <c r="DT67" s="62">
        <f ca="1">AVERAGE(OFFSET($DS$3,0,0,'Données projet'!$E$14+1,1))-AVERAGE(OFFSET($H$3,0,0,'Données projet'!$E$14+1,1))</f>
        <v>503.92230226365683</v>
      </c>
      <c r="DU67" s="62">
        <f t="shared" si="44"/>
        <v>267.2998309535638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7.2</v>
      </c>
      <c r="EJ67" s="13">
        <f>IF('Données projet'!$A$192&gt;35,EJ66+EI67-ER66,IF(A67&lt;'Données projet'!$A$192,$EG$205^A67,IF(A67='Données projet'!$A$192,'Données projet'!$B$192,EJ66+EI67-ER66)))</f>
        <v>242.7999999999999</v>
      </c>
      <c r="EK67" s="18">
        <f>EJ67*VLOOKUP('Données projet'!$B$15,Paramètres!$A$1:$I$89,3,0)*VLOOKUP('Données projet'!$B$15,Paramètres!$A$1:$I$89,5,0)</f>
        <v>234.83615999999992</v>
      </c>
      <c r="EL67" s="14">
        <f t="shared" si="45"/>
        <v>57.327102622427432</v>
      </c>
      <c r="EM67" s="22">
        <f t="shared" si="19"/>
        <v>508.85101573406092</v>
      </c>
      <c r="EN67" s="62">
        <f t="shared" si="20"/>
        <v>802.18434906739424</v>
      </c>
      <c r="EO67" s="62">
        <f ca="1">AVERAGE(OFFSET($EN$3,0,0,'Données projet'!$E$15+1,1))-AVERAGE(OFFSET($H$3,0,0,'Données projet'!$E$15+1,1))</f>
        <v>457.16923206840744</v>
      </c>
      <c r="EP67" s="62">
        <f t="shared" si="46"/>
        <v>244.45149244446094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7</v>
      </c>
      <c r="FE67" s="13">
        <f>IF('Données projet'!$A$218&gt;35,FE66+FD67-FM66,IF(A67&lt;'Données projet'!$A$218,$FB$205^A67,IF(A67='Données projet'!$A$218,'Données projet'!$B$218,FE66+FD67-FM66)))</f>
        <v>303.00000000000023</v>
      </c>
      <c r="FF67" s="18">
        <f>FE67*VLOOKUP('Données projet'!$B$16,Paramètres!$A$1:$I$89,3,0)*VLOOKUP('Données projet'!$B$16,Paramètres!$A$1:$I$89,5,0)</f>
        <v>203.25240000000016</v>
      </c>
      <c r="FG67" s="14">
        <f t="shared" si="47"/>
        <v>50.458274362577434</v>
      </c>
      <c r="FH67" s="22">
        <f t="shared" si="22"/>
        <v>441.87942451482263</v>
      </c>
      <c r="FI67" s="62">
        <f t="shared" si="23"/>
        <v>735.21275784815589</v>
      </c>
      <c r="FJ67" s="62">
        <f ca="1">AVERAGE(OFFSET($FI$3,0,0,'Données projet'!$E$16+1,1))-AVERAGE(OFFSET($H$3,0,0,'Données projet'!$E$16+1,1))</f>
        <v>385.97853124853452</v>
      </c>
      <c r="FK67" s="62">
        <f t="shared" si="48"/>
        <v>300.99118099739695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132.280299502248</v>
      </c>
      <c r="T68" s="62">
        <f t="shared" si="34"/>
        <v>337.98099449405339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31.325824704685388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9.9306681373977552E-6</v>
      </c>
      <c r="AC68" s="24">
        <f t="shared" ref="AC68:AC131" si="57">SUM(Z68:AB68)</f>
        <v>31.325834635353527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250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249.99999999999989</v>
      </c>
      <c r="AJ68" s="14">
        <f>AI68*VLOOKUP('Données projet'!$B$10,Paramètres!$A$1:$I$89,3,0)*VLOOKUP('Données projet'!$B$10,Paramètres!$A$1:$I$89,5,0)</f>
        <v>226.19999999999987</v>
      </c>
      <c r="AK68" s="14">
        <f t="shared" si="35"/>
        <v>55.460237717698107</v>
      </c>
      <c r="AL68" s="22">
        <f t="shared" ref="AL68:AL131" si="58">(AJ68+AK68)*0.475*44/12</f>
        <v>490.55824735832402</v>
      </c>
      <c r="AM68" s="62">
        <f t="shared" ref="AM68:AM131" si="59">AL68+(AD68+AE68)*44/12</f>
        <v>783.89158069165728</v>
      </c>
      <c r="AN68" s="62">
        <f ca="1">AVERAGE(OFFSET($AM$3,0,0,'Données projet'!$E$10+1,1))-AVERAGE(OFFSET($H$3,0,0,'Données projet'!$E$10+1,1))</f>
        <v>430.40491895612814</v>
      </c>
      <c r="AO68" s="62">
        <f t="shared" si="36"/>
        <v>231.36959598460686</v>
      </c>
      <c r="AP68" s="16">
        <f>IF(ISNA(VLOOKUP(A68,'Données projet'!$A$61:$I$81,3,0)),0,VLOOKUP(A68,'Données projet'!$A$61:$I$81,3,0))</f>
        <v>5</v>
      </c>
      <c r="AQ68" s="16">
        <f>IF(ISNA(VLOOKUP(A68,'Données projet'!$A$61:$I$81,4,0)),0,VLOOKUP(A68,'Données projet'!$A$61:$I$81,4,0))</f>
        <v>42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14.3</v>
      </c>
      <c r="BD68" s="13">
        <f>IF('Données projet'!$A$88&gt;35,BD67+BC68-BL67,IF(A68&lt;'Données projet'!$A$88,$BA$205^A68,IF(A68='Données projet'!$A$88,'Données projet'!$B$88,BD67+BC68-BL67)))</f>
        <v>376.50000000000006</v>
      </c>
      <c r="BE68" s="14">
        <f>BD68*VLOOKUP('Données projet'!$B$11,Paramètres!$A$1:$I$89,3,0)*VLOOKUP('Données projet'!$B$11,Paramètres!$A$1:$I$89,5,0)</f>
        <v>225.14700000000005</v>
      </c>
      <c r="BF68" s="14">
        <f t="shared" si="37"/>
        <v>55.232050634645063</v>
      </c>
      <c r="BG68" s="22">
        <f t="shared" ref="BG68:BG131" si="61">(BE68+BF68)*0.475*44/12</f>
        <v>488.32684652200686</v>
      </c>
      <c r="BH68" s="62">
        <f t="shared" ref="BH68:BH131" si="62">BG68+(AY68+AZ68)*44/12</f>
        <v>781.66017985534017</v>
      </c>
      <c r="BI68" s="62">
        <f ca="1">AVERAGE(OFFSET($BH$3,0,0,'Données projet'!$E$11+1,1))-AVERAGE(OFFSET($H$3,0,0,'Données projet'!$E$11+1,1))</f>
        <v>295.83974441964551</v>
      </c>
      <c r="BJ68" s="62">
        <f t="shared" si="38"/>
        <v>212.24900914818096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11.375</v>
      </c>
      <c r="BY68" s="13">
        <f>IF('Données projet'!$A$114&gt;35,BY67+BX68-CG67,IF(A68&lt;'Données projet'!$A$114,$BV$205^A68,IF(A68='Données projet'!$A$114,'Données projet'!$B$114,BY67+BX68-CG67)))</f>
        <v>403.62499999999994</v>
      </c>
      <c r="BZ68" s="14">
        <f>BY68*VLOOKUP('Données projet'!$B$12,Paramètres!$A$1:$I$89,3,0)*VLOOKUP('Données projet'!$B$12,Paramètres!$A$1:$I$89,5,0)</f>
        <v>230.87349999999998</v>
      </c>
      <c r="CA68" s="14">
        <f t="shared" si="39"/>
        <v>56.471510965615813</v>
      </c>
      <c r="CB68" s="22">
        <f t="shared" ref="CB68:CB131" si="64">(BZ68+CA68)*0.475*44/12</f>
        <v>500.45922743178085</v>
      </c>
      <c r="CC68" s="62">
        <f t="shared" ref="CC68:CC131" si="65">CB68+(BT68+BU68)*44/12</f>
        <v>793.7925607651141</v>
      </c>
      <c r="CD68" s="62">
        <f ca="1">AVERAGE(OFFSET($CC$3,0,0,'Données projet'!$E$12+1,1))-AVERAGE(OFFSET($H$3,0,0,'Données projet'!$E$12+1,1))</f>
        <v>309.71642374647882</v>
      </c>
      <c r="CE68" s="62">
        <f t="shared" si="40"/>
        <v>266.63880397664315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0.92792749514290052</v>
      </c>
      <c r="CM68" s="23">
        <f>EXP(-LN(2)/2)*CM67+(1-EXP(-LN(2)/2))/(LN(2)/2)*CG68*CJ68*VLOOKUP('Données projet'!$B$12,Paramètres!$A$1:$I$89,3,0)*0.475*44/12</f>
        <v>4.2921918587557451E-5</v>
      </c>
      <c r="CN68" s="24">
        <f t="shared" ref="CN68:CN131" si="66">SUM(CK68:CM68)</f>
        <v>0.92797041706148808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255</v>
      </c>
      <c r="CR68" s="13">
        <f>VLOOKUP(A68,'Données projet'!$A$139:$I$159,9,0)</f>
        <v>4.4000000000000004</v>
      </c>
      <c r="CS68" s="13">
        <f t="array" ref="CS68">INDEX(CR:CR,MIN(IF(ISNUMBER(CR68:CR264),ROW(CR68:CR264),"")))</f>
        <v>4.4000000000000004</v>
      </c>
      <c r="CT68" s="13">
        <f>IF('Données projet'!$A$140&gt;35,CT67+CS68-DB67,IF(A68&lt;'Données projet'!$A$140,$CQ$205^A68,IF(A68='Données projet'!$A$140,'Données projet'!$B$140,CT67+CS68-DB67)))</f>
        <v>254.99999999999989</v>
      </c>
      <c r="CU68" s="18">
        <f>CT68*VLOOKUP('Données projet'!$B$13,Paramètres!$A$1:$I$89,3,0)*VLOOKUP('Données projet'!$B$13,Paramètres!$A$1:$I$89,5,0)</f>
        <v>202.87799999999993</v>
      </c>
      <c r="CV68" s="14">
        <f t="shared" si="41"/>
        <v>50.376138116990084</v>
      </c>
      <c r="CW68" s="22">
        <f t="shared" ref="CW68:CW131" si="67">(CU68+CV68)*0.475*44/12</f>
        <v>441.08429055375763</v>
      </c>
      <c r="CX68" s="62">
        <f t="shared" ref="CX68:CX131" si="68">CW68+(CO68+CP68)*44/12</f>
        <v>734.41762388709094</v>
      </c>
      <c r="CY68" s="62">
        <f ca="1">AVERAGE(OFFSET($CX$3,0,0,'Données projet'!$E$13+1,1))-AVERAGE(OFFSET($H$3,0,0,'Données projet'!$E$13+1,1))</f>
        <v>312.53381881960331</v>
      </c>
      <c r="CZ68" s="62">
        <f t="shared" si="42"/>
        <v>342.06887933351783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250</v>
      </c>
      <c r="DM68" s="13">
        <f>VLOOKUP(A68,'Données projet'!$A$165:$I$185,9,0)</f>
        <v>7.2</v>
      </c>
      <c r="DN68" s="13">
        <f t="array" ref="DN68">INDEX(DM:DM,MIN(IF(ISNUMBER(DM68:DM264),ROW(DM68:DM264),"")))</f>
        <v>7.2</v>
      </c>
      <c r="DO68" s="13">
        <f>IF('Données projet'!$A$166&gt;35,DO67+DN68-DW67,IF(A68&lt;'Données projet'!$A$166,$DL$205^A68,IF(A68='Données projet'!$A$166,'Données projet'!$B$166,DO67+DN68-DW67)))</f>
        <v>249.99999999999989</v>
      </c>
      <c r="DP68" s="18">
        <f>DO68*VLOOKUP('Données projet'!$B$14,Paramètres!$A$1:$I$89,3,0)*VLOOKUP('Données projet'!$B$14,Paramètres!$A$1:$I$89,5,0)</f>
        <v>269.09999999999985</v>
      </c>
      <c r="DQ68" s="14">
        <f t="shared" si="43"/>
        <v>64.658229472790936</v>
      </c>
      <c r="DR68" s="22">
        <f t="shared" ref="DR68:DR131" si="70">(DP68+DQ68)*0.475*44/12</f>
        <v>581.29558299844393</v>
      </c>
      <c r="DS68" s="62">
        <f t="shared" ref="DS68:DS131" si="71">DR68+(DJ68+DK68)*44/12</f>
        <v>874.62891633177719</v>
      </c>
      <c r="DT68" s="62">
        <f ca="1">AVERAGE(OFFSET($DS$3,0,0,'Données projet'!$E$14+1,1))-AVERAGE(OFFSET($H$3,0,0,'Données projet'!$E$14+1,1))</f>
        <v>503.92230226365683</v>
      </c>
      <c r="DU68" s="62">
        <f t="shared" si="44"/>
        <v>267.2998309535638</v>
      </c>
      <c r="DV68" s="16">
        <f>IF(ISNA(VLOOKUP(A68,'Données projet'!$A$165:$I$185,3,0)),0,VLOOKUP(A68,'Données projet'!$A$165:$I$185,3,0))</f>
        <v>5</v>
      </c>
      <c r="DW68" s="16">
        <f>IF(ISNA(VLOOKUP(A68,'Données projet'!$A$165:$I$185,4,0)),0,VLOOKUP(A68,'Données projet'!$A$165:$I$185,4,0))</f>
        <v>42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250</v>
      </c>
      <c r="EH68" s="13">
        <f>VLOOKUP(A68,'Données projet'!$A$191:$I$211,9,0)</f>
        <v>7.2</v>
      </c>
      <c r="EI68" s="13">
        <f t="array" ref="EI68">INDEX(EH:EH,MIN(IF(ISNUMBER(EH68:EH264),ROW(EH68:EH264),"")))</f>
        <v>7.2</v>
      </c>
      <c r="EJ68" s="13">
        <f>IF('Données projet'!$A$192&gt;35,EJ67+EI68-ER67,IF(A68&lt;'Données projet'!$A$192,$EG$205^A68,IF(A68='Données projet'!$A$192,'Données projet'!$B$192,EJ67+EI68-ER67)))</f>
        <v>249.99999999999989</v>
      </c>
      <c r="EK68" s="18">
        <f>EJ68*VLOOKUP('Données projet'!$B$15,Paramètres!$A$1:$I$89,3,0)*VLOOKUP('Données projet'!$B$15,Paramètres!$A$1:$I$89,5,0)</f>
        <v>241.79999999999987</v>
      </c>
      <c r="EL68" s="14">
        <f t="shared" si="45"/>
        <v>58.826640673484839</v>
      </c>
      <c r="EM68" s="22">
        <f t="shared" ref="EM68:EM131" si="73">(EK68+EL68)*0.475*44/12</f>
        <v>523.59139917298592</v>
      </c>
      <c r="EN68" s="62">
        <f t="shared" ref="EN68:EN131" si="74">EM68+(EE68+EF68)*44/12</f>
        <v>816.92473250631929</v>
      </c>
      <c r="EO68" s="62">
        <f ca="1">AVERAGE(OFFSET($EN$3,0,0,'Données projet'!$E$15+1,1))-AVERAGE(OFFSET($H$3,0,0,'Données projet'!$E$15+1,1))</f>
        <v>457.16923206840744</v>
      </c>
      <c r="EP68" s="62">
        <f t="shared" si="46"/>
        <v>244.45149244446094</v>
      </c>
      <c r="EQ68" s="16">
        <f>IF(ISNA(VLOOKUP(A68,'Données projet'!$A$191:$I$211,3,0)),0,VLOOKUP(A68,'Données projet'!$A$191:$I$211,3,0))</f>
        <v>5</v>
      </c>
      <c r="ER68" s="16">
        <f>IF(ISNA(VLOOKUP(A68,'Données projet'!$A$191:$I$211,4,0)),0,VLOOKUP(A68,'Données projet'!$A$191:$I$211,4,0))</f>
        <v>42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310</v>
      </c>
      <c r="FC68" s="13">
        <f>VLOOKUP(A68,'Données projet'!$A$217:$I$237,9,0)</f>
        <v>7</v>
      </c>
      <c r="FD68" s="13">
        <f t="array" ref="FD68">INDEX(FC:FC,MIN(IF(ISNUMBER(FC68:FC264),ROW(FC68:FC264),"")))</f>
        <v>7</v>
      </c>
      <c r="FE68" s="13">
        <f>IF('Données projet'!$A$218&gt;35,FE67+FD68-FM67,IF(A68&lt;'Données projet'!$A$218,$FB$205^A68,IF(A68='Données projet'!$A$218,'Données projet'!$B$218,FE67+FD68-FM67)))</f>
        <v>310.00000000000023</v>
      </c>
      <c r="FF68" s="18">
        <f>FE68*VLOOKUP('Données projet'!$B$16,Paramètres!$A$1:$I$89,3,0)*VLOOKUP('Données projet'!$B$16,Paramètres!$A$1:$I$89,5,0)</f>
        <v>207.94800000000015</v>
      </c>
      <c r="FG68" s="14">
        <f t="shared" si="47"/>
        <v>51.486916127068881</v>
      </c>
      <c r="FH68" s="22">
        <f t="shared" ref="FH68:FH131" si="76">(FF68+FG68)*0.475*44/12</f>
        <v>451.84914558797851</v>
      </c>
      <c r="FI68" s="62">
        <f t="shared" ref="FI68:FI131" si="77">FH68+(EZ68+FA68)*44/12</f>
        <v>745.18247892131183</v>
      </c>
      <c r="FJ68" s="62">
        <f ca="1">AVERAGE(OFFSET($FI$3,0,0,'Données projet'!$E$16+1,1))-AVERAGE(OFFSET($H$3,0,0,'Données projet'!$E$16+1,1))</f>
        <v>385.97853124853452</v>
      </c>
      <c r="FK68" s="62">
        <f t="shared" si="48"/>
        <v>300.99118099739695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132.280299502248</v>
      </c>
      <c r="T69" s="62">
        <f t="shared" ref="T69:T132" si="88">$T$3</f>
        <v>337.98099449405339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30.711544389092932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7.0220427816671341E-6</v>
      </c>
      <c r="AC69" s="24">
        <f t="shared" si="57"/>
        <v>30.711551411135712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214.7999999999999</v>
      </c>
      <c r="AJ69" s="14">
        <f>AI69*VLOOKUP('Données projet'!$B$10,Paramètres!$A$1:$I$89,3,0)*VLOOKUP('Données projet'!$B$10,Paramètres!$A$1:$I$89,5,0)</f>
        <v>194.3510399999999</v>
      </c>
      <c r="AK69" s="14">
        <f t="shared" ref="AK69:AK132" si="89">EXP(-1.0587+0.8836*LN(AJ69)+0.284)</f>
        <v>48.500634729810116</v>
      </c>
      <c r="AL69" s="22">
        <f t="shared" si="58"/>
        <v>422.96666682108577</v>
      </c>
      <c r="AM69" s="62">
        <f t="shared" si="59"/>
        <v>716.30000015441908</v>
      </c>
      <c r="AN69" s="62">
        <f ca="1">AVERAGE(OFFSET($AM$3,0,0,'Données projet'!$E$10+1,1))-AVERAGE(OFFSET($H$3,0,0,'Données projet'!$E$10+1,1))</f>
        <v>430.40491895612814</v>
      </c>
      <c r="AO69" s="62">
        <f t="shared" ref="AO69:AO132" si="90">$AO$3</f>
        <v>231.36959598460686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14.3</v>
      </c>
      <c r="BD69" s="13">
        <f>IF('Données projet'!$A$88&gt;35,BD68+BC69-BL68,IF(A69&lt;'Données projet'!$A$88,$BA$205^A69,IF(A69='Données projet'!$A$88,'Données projet'!$B$88,BD68+BC69-BL68)))</f>
        <v>390.80000000000007</v>
      </c>
      <c r="BE69" s="14">
        <f>BD69*VLOOKUP('Données projet'!$B$11,Paramètres!$A$1:$I$89,3,0)*VLOOKUP('Données projet'!$B$11,Paramètres!$A$1:$I$89,5,0)</f>
        <v>233.69840000000005</v>
      </c>
      <c r="BF69" s="14">
        <f t="shared" ref="BF69:BF132" si="91">EXP(-1.0587+0.8836*LN(BE69)+0.284)</f>
        <v>57.081618134454175</v>
      </c>
      <c r="BG69" s="22">
        <f t="shared" si="61"/>
        <v>506.44186491750776</v>
      </c>
      <c r="BH69" s="62">
        <f t="shared" si="62"/>
        <v>799.77519825084107</v>
      </c>
      <c r="BI69" s="62">
        <f ca="1">AVERAGE(OFFSET($BH$3,0,0,'Données projet'!$E$11+1,1))-AVERAGE(OFFSET($H$3,0,0,'Données projet'!$E$11+1,1))</f>
        <v>295.83974441964551</v>
      </c>
      <c r="BJ69" s="62">
        <f t="shared" ref="BJ69:BJ132" si="92">$BJ$3</f>
        <v>212.24900914818096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>
        <f>VLOOKUP(A69,'Données projet'!$A$113:$I$133,2,0)</f>
        <v>415</v>
      </c>
      <c r="BW69" s="13">
        <f>VLOOKUP(A69,'Données projet'!$A$113:$I$133,9,0)</f>
        <v>11.375</v>
      </c>
      <c r="BX69" s="13">
        <f t="array" ref="BX69">INDEX(BW:BW,MIN(IF(ISNUMBER(BW69:BW265),ROW(BW69:BW265),"")))</f>
        <v>11.375</v>
      </c>
      <c r="BY69" s="13">
        <f>IF('Données projet'!$A$114&gt;35,BY68+BX69-CG68,IF(A69&lt;'Données projet'!$A$114,$BV$205^A69,IF(A69='Données projet'!$A$114,'Données projet'!$B$114,BY68+BX69-CG68)))</f>
        <v>414.99999999999994</v>
      </c>
      <c r="BZ69" s="14">
        <f>BY69*VLOOKUP('Données projet'!$B$12,Paramètres!$A$1:$I$89,3,0)*VLOOKUP('Données projet'!$B$12,Paramètres!$A$1:$I$89,5,0)</f>
        <v>237.37999999999997</v>
      </c>
      <c r="CA69" s="14">
        <f t="shared" ref="CA69:CA132" si="93">EXP(-1.0587+0.8836*LN(BZ69)+0.284)</f>
        <v>57.875465105279041</v>
      </c>
      <c r="CB69" s="22">
        <f t="shared" si="64"/>
        <v>514.23660172502764</v>
      </c>
      <c r="CC69" s="62">
        <f t="shared" si="65"/>
        <v>807.5699350583609</v>
      </c>
      <c r="CD69" s="62">
        <f ca="1">AVERAGE(OFFSET($CC$3,0,0,'Données projet'!$E$12+1,1))-AVERAGE(OFFSET($H$3,0,0,'Données projet'!$E$12+1,1))</f>
        <v>309.71642374647882</v>
      </c>
      <c r="CE69" s="62">
        <f t="shared" ref="CE69:CE132" si="94">$CE$3</f>
        <v>266.63880397664315</v>
      </c>
      <c r="CF69" s="16">
        <f>IF(ISNA(VLOOKUP(A69,'Données projet'!$A$113:$I$133,3,0)),0,VLOOKUP(A69,'Données projet'!$A$113:$I$133,3,0))</f>
        <v>9</v>
      </c>
      <c r="CG69" s="16">
        <f>IF(ISNA(VLOOKUP(A69,'Données projet'!$A$113:$I$133,4,0)),0,VLOOKUP(A69,'Données projet'!$A$113:$I$133,4,0))</f>
        <v>50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0.90255326899063171</v>
      </c>
      <c r="CM69" s="23">
        <f>EXP(-LN(2)/2)*CM68+(1-EXP(-LN(2)/2))/(LN(2)/2)*CG69*CJ69*VLOOKUP('Données projet'!$B$12,Paramètres!$A$1:$I$89,3,0)*0.475*44/12</f>
        <v>3.0350379694798795E-5</v>
      </c>
      <c r="CN69" s="24">
        <f t="shared" si="66"/>
        <v>0.9025836193703265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3.8</v>
      </c>
      <c r="CT69" s="13">
        <f>IF('Données projet'!$A$140&gt;35,CT68+CS69-DB68,IF(A69&lt;'Données projet'!$A$140,$CQ$205^A69,IF(A69='Données projet'!$A$140,'Données projet'!$B$140,CT68+CS69-DB68)))</f>
        <v>258.7999999999999</v>
      </c>
      <c r="CU69" s="18">
        <f>CT69*VLOOKUP('Données projet'!$B$13,Paramètres!$A$1:$I$89,3,0)*VLOOKUP('Données projet'!$B$13,Paramètres!$A$1:$I$89,5,0)</f>
        <v>205.90127999999993</v>
      </c>
      <c r="CV69" s="14">
        <f t="shared" ref="CV69:CV132" si="95">EXP(-1.0587+0.8836*LN(CU69)+0.284)</f>
        <v>51.038887365811213</v>
      </c>
      <c r="CW69" s="22">
        <f t="shared" si="67"/>
        <v>447.50412482878772</v>
      </c>
      <c r="CX69" s="62">
        <f t="shared" si="68"/>
        <v>740.83745816212104</v>
      </c>
      <c r="CY69" s="62">
        <f ca="1">AVERAGE(OFFSET($CX$3,0,0,'Données projet'!$E$13+1,1))-AVERAGE(OFFSET($H$3,0,0,'Données projet'!$E$13+1,1))</f>
        <v>312.53381881960331</v>
      </c>
      <c r="CZ69" s="62">
        <f t="shared" ref="CZ69:CZ132" si="96">$CZ$3</f>
        <v>342.06887933351783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6.8</v>
      </c>
      <c r="DO69" s="13">
        <f>IF('Données projet'!$A$166&gt;35,DO68+DN69-DW68,IF(A69&lt;'Données projet'!$A$166,$DL$205^A69,IF(A69='Données projet'!$A$166,'Données projet'!$B$166,DO68+DN69-DW68)))</f>
        <v>214.7999999999999</v>
      </c>
      <c r="DP69" s="18">
        <f>DO69*VLOOKUP('Données projet'!$B$14,Paramètres!$A$1:$I$89,3,0)*VLOOKUP('Données projet'!$B$14,Paramètres!$A$1:$I$89,5,0)</f>
        <v>231.21071999999987</v>
      </c>
      <c r="DQ69" s="14">
        <f t="shared" ref="DQ69:DQ132" si="97">EXP(-1.0587+0.8836*LN(DP69)+0.284)</f>
        <v>56.544387456445222</v>
      </c>
      <c r="DR69" s="22">
        <f t="shared" si="70"/>
        <v>501.17347881997517</v>
      </c>
      <c r="DS69" s="62">
        <f t="shared" si="71"/>
        <v>794.50681215330849</v>
      </c>
      <c r="DT69" s="62">
        <f ca="1">AVERAGE(OFFSET($DS$3,0,0,'Données projet'!$E$14+1,1))-AVERAGE(OFFSET($H$3,0,0,'Données projet'!$E$14+1,1))</f>
        <v>503.92230226365683</v>
      </c>
      <c r="DU69" s="62">
        <f t="shared" ref="DU69:DU132" si="98">$DU$3</f>
        <v>267.2998309535638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6.8</v>
      </c>
      <c r="EJ69" s="13">
        <f>IF('Données projet'!$A$192&gt;35,EJ68+EI69-ER68,IF(A69&lt;'Données projet'!$A$192,$EG$205^A69,IF(A69='Données projet'!$A$192,'Données projet'!$B$192,EJ68+EI69-ER68)))</f>
        <v>214.7999999999999</v>
      </c>
      <c r="EK69" s="18">
        <f>EJ69*VLOOKUP('Données projet'!$B$15,Paramètres!$A$1:$I$89,3,0)*VLOOKUP('Données projet'!$B$15,Paramètres!$A$1:$I$89,5,0)</f>
        <v>207.75455999999991</v>
      </c>
      <c r="EL69" s="14">
        <f t="shared" ref="EL69:EL132" si="99">EXP(-1.0587+0.8836*LN(EK69)+0.284)</f>
        <v>51.444593984782131</v>
      </c>
      <c r="EM69" s="22">
        <f t="shared" si="73"/>
        <v>451.43852652349534</v>
      </c>
      <c r="EN69" s="62">
        <f t="shared" si="74"/>
        <v>744.77185985682866</v>
      </c>
      <c r="EO69" s="62">
        <f ca="1">AVERAGE(OFFSET($EN$3,0,0,'Données projet'!$E$15+1,1))-AVERAGE(OFFSET($H$3,0,0,'Données projet'!$E$15+1,1))</f>
        <v>457.16923206840744</v>
      </c>
      <c r="EP69" s="62">
        <f t="shared" ref="EP69:EP132" si="100">$EP$3</f>
        <v>244.45149244446094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6.8</v>
      </c>
      <c r="FE69" s="13">
        <f>IF('Données projet'!$A$218&gt;35,FE68+FD69-FM68,IF(A69&lt;'Données projet'!$A$218,$FB$205^A69,IF(A69='Données projet'!$A$218,'Données projet'!$B$218,FE68+FD69-FM68)))</f>
        <v>316.80000000000024</v>
      </c>
      <c r="FF69" s="18">
        <f>FE69*VLOOKUP('Données projet'!$B$16,Paramètres!$A$1:$I$89,3,0)*VLOOKUP('Données projet'!$B$16,Paramètres!$A$1:$I$89,5,0)</f>
        <v>212.50944000000015</v>
      </c>
      <c r="FG69" s="14">
        <f t="shared" ref="FG69:FG132" si="101">EXP(-1.0587+0.8836*LN(FF69)+0.284)</f>
        <v>52.483581779454781</v>
      </c>
      <c r="FH69" s="22">
        <f t="shared" si="76"/>
        <v>461.52951293255063</v>
      </c>
      <c r="FI69" s="62">
        <f t="shared" si="77"/>
        <v>754.86284626588395</v>
      </c>
      <c r="FJ69" s="62">
        <f ca="1">AVERAGE(OFFSET($FI$3,0,0,'Données projet'!$E$16+1,1))-AVERAGE(OFFSET($H$3,0,0,'Données projet'!$E$16+1,1))</f>
        <v>385.97853124853452</v>
      </c>
      <c r="FK69" s="62">
        <f t="shared" ref="FK69:FK132" si="102">$FK$3</f>
        <v>300.99118099739695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132.280299502248</v>
      </c>
      <c r="T70" s="62">
        <f t="shared" si="88"/>
        <v>337.98099449405339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30.109309735815248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4.9653340686988776E-6</v>
      </c>
      <c r="AC70" s="24">
        <f t="shared" si="57"/>
        <v>30.109314701149316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221.59999999999991</v>
      </c>
      <c r="AJ70" s="14">
        <f>AI70*VLOOKUP('Données projet'!$B$10,Paramètres!$A$1:$I$89,3,0)*VLOOKUP('Données projet'!$B$10,Paramètres!$A$1:$I$89,5,0)</f>
        <v>200.50367999999992</v>
      </c>
      <c r="AK70" s="14">
        <f t="shared" si="89"/>
        <v>49.854845135229887</v>
      </c>
      <c r="AL70" s="22">
        <f t="shared" si="58"/>
        <v>436.04109794385857</v>
      </c>
      <c r="AM70" s="62">
        <f t="shared" si="59"/>
        <v>729.37443127719189</v>
      </c>
      <c r="AN70" s="62">
        <f ca="1">AVERAGE(OFFSET($AM$3,0,0,'Données projet'!$E$10+1,1))-AVERAGE(OFFSET($H$3,0,0,'Données projet'!$E$10+1,1))</f>
        <v>430.40491895612814</v>
      </c>
      <c r="AO70" s="62">
        <f t="shared" si="90"/>
        <v>231.36959598460686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14.3</v>
      </c>
      <c r="BD70" s="13">
        <f>IF('Données projet'!$A$88&gt;35,BD69+BC70-BL69,IF(A70&lt;'Données projet'!$A$88,$BA$205^A70,IF(A70='Données projet'!$A$88,'Données projet'!$B$88,BD69+BC70-BL69)))</f>
        <v>405.10000000000008</v>
      </c>
      <c r="BE70" s="14">
        <f>BD70*VLOOKUP('Données projet'!$B$11,Paramètres!$A$1:$I$89,3,0)*VLOOKUP('Données projet'!$B$11,Paramètres!$A$1:$I$89,5,0)</f>
        <v>242.24980000000005</v>
      </c>
      <c r="BF70" s="14">
        <f t="shared" si="91"/>
        <v>58.923322739321947</v>
      </c>
      <c r="BG70" s="22">
        <f t="shared" si="61"/>
        <v>524.54318877098581</v>
      </c>
      <c r="BH70" s="62">
        <f t="shared" si="62"/>
        <v>817.87652210431906</v>
      </c>
      <c r="BI70" s="62">
        <f ca="1">AVERAGE(OFFSET($BH$3,0,0,'Données projet'!$E$11+1,1))-AVERAGE(OFFSET($H$3,0,0,'Données projet'!$E$11+1,1))</f>
        <v>295.83974441964551</v>
      </c>
      <c r="BJ70" s="62">
        <f t="shared" si="92"/>
        <v>212.24900914818096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6.75</v>
      </c>
      <c r="BY70" s="13">
        <f>IF('Données projet'!$A$114&gt;35,BY69+BX70-CG69,IF(A70&lt;'Données projet'!$A$114,$BV$205^A70,IF(A70='Données projet'!$A$114,'Données projet'!$B$114,BY69+BX70-CG69)))</f>
        <v>371.74999999999994</v>
      </c>
      <c r="BZ70" s="14">
        <f>BY70*VLOOKUP('Données projet'!$B$12,Paramètres!$A$1:$I$89,3,0)*VLOOKUP('Données projet'!$B$12,Paramètres!$A$1:$I$89,5,0)</f>
        <v>212.64099999999996</v>
      </c>
      <c r="CA70" s="14">
        <f t="shared" si="93"/>
        <v>52.512290191227322</v>
      </c>
      <c r="CB70" s="22">
        <f t="shared" si="64"/>
        <v>461.80864708305415</v>
      </c>
      <c r="CC70" s="62">
        <f t="shared" si="65"/>
        <v>755.14198041638747</v>
      </c>
      <c r="CD70" s="62">
        <f ca="1">AVERAGE(OFFSET($CC$3,0,0,'Données projet'!$E$12+1,1))-AVERAGE(OFFSET($H$3,0,0,'Données projet'!$E$12+1,1))</f>
        <v>309.71642374647882</v>
      </c>
      <c r="CE70" s="62">
        <f t="shared" si="94"/>
        <v>266.63880397664315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0.87787290238686932</v>
      </c>
      <c r="CM70" s="23">
        <f>EXP(-LN(2)/2)*CM69+(1-EXP(-LN(2)/2))/(LN(2)/2)*CG70*CJ70*VLOOKUP('Données projet'!$B$12,Paramètres!$A$1:$I$89,3,0)*0.475*44/12</f>
        <v>2.1460959293778729E-5</v>
      </c>
      <c r="CN70" s="24">
        <f t="shared" si="66"/>
        <v>0.87789436334616311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3.8</v>
      </c>
      <c r="CT70" s="13">
        <f>IF('Données projet'!$A$140&gt;35,CT69+CS70-DB69,IF(A70&lt;'Données projet'!$A$140,$CQ$205^A70,IF(A70='Données projet'!$A$140,'Données projet'!$B$140,CT69+CS70-DB69)))</f>
        <v>262.59999999999991</v>
      </c>
      <c r="CU70" s="18">
        <f>CT70*VLOOKUP('Données projet'!$B$13,Paramètres!$A$1:$I$89,3,0)*VLOOKUP('Données projet'!$B$13,Paramètres!$A$1:$I$89,5,0)</f>
        <v>208.92455999999996</v>
      </c>
      <c r="CV70" s="14">
        <f t="shared" si="95"/>
        <v>51.700504821714368</v>
      </c>
      <c r="CW70" s="22">
        <f t="shared" si="67"/>
        <v>453.92198789781906</v>
      </c>
      <c r="CX70" s="62">
        <f t="shared" si="68"/>
        <v>747.25532123115238</v>
      </c>
      <c r="CY70" s="62">
        <f ca="1">AVERAGE(OFFSET($CX$3,0,0,'Données projet'!$E$13+1,1))-AVERAGE(OFFSET($H$3,0,0,'Données projet'!$E$13+1,1))</f>
        <v>312.53381881960331</v>
      </c>
      <c r="CZ70" s="62">
        <f t="shared" si="96"/>
        <v>342.06887933351783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6.8</v>
      </c>
      <c r="DO70" s="13">
        <f>IF('Données projet'!$A$166&gt;35,DO69+DN70-DW69,IF(A70&lt;'Données projet'!$A$166,$DL$205^A70,IF(A70='Données projet'!$A$166,'Données projet'!$B$166,DO69+DN70-DW69)))</f>
        <v>221.59999999999991</v>
      </c>
      <c r="DP70" s="18">
        <f>DO70*VLOOKUP('Données projet'!$B$14,Paramètres!$A$1:$I$89,3,0)*VLOOKUP('Données projet'!$B$14,Paramètres!$A$1:$I$89,5,0)</f>
        <v>238.53023999999991</v>
      </c>
      <c r="DQ70" s="14">
        <f t="shared" si="97"/>
        <v>58.123191492478547</v>
      </c>
      <c r="DR70" s="22">
        <f t="shared" si="70"/>
        <v>516.67139318273325</v>
      </c>
      <c r="DS70" s="62">
        <f t="shared" si="71"/>
        <v>810.00472651606651</v>
      </c>
      <c r="DT70" s="62">
        <f ca="1">AVERAGE(OFFSET($DS$3,0,0,'Données projet'!$E$14+1,1))-AVERAGE(OFFSET($H$3,0,0,'Données projet'!$E$14+1,1))</f>
        <v>503.92230226365683</v>
      </c>
      <c r="DU70" s="62">
        <f t="shared" si="98"/>
        <v>267.2998309535638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6.8</v>
      </c>
      <c r="EJ70" s="13">
        <f>IF('Données projet'!$A$192&gt;35,EJ69+EI70-ER69,IF(A70&lt;'Données projet'!$A$192,$EG$205^A70,IF(A70='Données projet'!$A$192,'Données projet'!$B$192,EJ69+EI70-ER69)))</f>
        <v>221.59999999999991</v>
      </c>
      <c r="EK70" s="18">
        <f>EJ70*VLOOKUP('Données projet'!$B$15,Paramètres!$A$1:$I$89,3,0)*VLOOKUP('Données projet'!$B$15,Paramètres!$A$1:$I$89,5,0)</f>
        <v>214.3315199999999</v>
      </c>
      <c r="EL70" s="14">
        <f t="shared" si="99"/>
        <v>52.881004144461244</v>
      </c>
      <c r="EM70" s="22">
        <f t="shared" si="73"/>
        <v>465.39514621826976</v>
      </c>
      <c r="EN70" s="62">
        <f t="shared" si="74"/>
        <v>758.72847955160307</v>
      </c>
      <c r="EO70" s="62">
        <f ca="1">AVERAGE(OFFSET($EN$3,0,0,'Données projet'!$E$15+1,1))-AVERAGE(OFFSET($H$3,0,0,'Données projet'!$E$15+1,1))</f>
        <v>457.16923206840744</v>
      </c>
      <c r="EP70" s="62">
        <f t="shared" si="100"/>
        <v>244.45149244446094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6.8</v>
      </c>
      <c r="FE70" s="13">
        <f>IF('Données projet'!$A$218&gt;35,FE69+FD70-FM69,IF(A70&lt;'Données projet'!$A$218,$FB$205^A70,IF(A70='Données projet'!$A$218,'Données projet'!$B$218,FE69+FD70-FM69)))</f>
        <v>323.60000000000025</v>
      </c>
      <c r="FF70" s="18">
        <f>FE70*VLOOKUP('Données projet'!$B$16,Paramètres!$A$1:$I$89,3,0)*VLOOKUP('Données projet'!$B$16,Paramètres!$A$1:$I$89,5,0)</f>
        <v>217.07088000000019</v>
      </c>
      <c r="FG70" s="14">
        <f t="shared" si="101"/>
        <v>53.477760184148195</v>
      </c>
      <c r="FH70" s="22">
        <f t="shared" si="76"/>
        <v>471.20554832072509</v>
      </c>
      <c r="FI70" s="62">
        <f t="shared" si="77"/>
        <v>764.5388816540584</v>
      </c>
      <c r="FJ70" s="62">
        <f ca="1">AVERAGE(OFFSET($FI$3,0,0,'Données projet'!$E$16+1,1))-AVERAGE(OFFSET($H$3,0,0,'Données projet'!$E$16+1,1))</f>
        <v>385.97853124853452</v>
      </c>
      <c r="FK70" s="62">
        <f t="shared" si="102"/>
        <v>300.99118099739695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132.280299502248</v>
      </c>
      <c r="T71" s="62">
        <f t="shared" si="88"/>
        <v>337.98099449405339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29.518884536761469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3.511021390833567E-6</v>
      </c>
      <c r="AC71" s="24">
        <f t="shared" si="57"/>
        <v>29.518888047782859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228.39999999999992</v>
      </c>
      <c r="AJ71" s="14">
        <f>AI71*VLOOKUP('Données projet'!$B$10,Paramètres!$A$1:$I$89,3,0)*VLOOKUP('Données projet'!$B$10,Paramètres!$A$1:$I$89,5,0)</f>
        <v>206.65631999999994</v>
      </c>
      <c r="AK71" s="14">
        <f t="shared" si="89"/>
        <v>51.20422634371338</v>
      </c>
      <c r="AL71" s="22">
        <f t="shared" si="58"/>
        <v>449.10711821530072</v>
      </c>
      <c r="AM71" s="62">
        <f t="shared" si="59"/>
        <v>742.44045154863397</v>
      </c>
      <c r="AN71" s="62">
        <f ca="1">AVERAGE(OFFSET($AM$3,0,0,'Données projet'!$E$10+1,1))-AVERAGE(OFFSET($H$3,0,0,'Données projet'!$E$10+1,1))</f>
        <v>430.40491895612814</v>
      </c>
      <c r="AO71" s="62">
        <f t="shared" si="90"/>
        <v>231.36959598460686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14.3</v>
      </c>
      <c r="BD71" s="13">
        <f>IF('Données projet'!$A$88&gt;35,BD70+BC71-BL70,IF(A71&lt;'Données projet'!$A$88,$BA$205^A71,IF(A71='Données projet'!$A$88,'Données projet'!$B$88,BD70+BC71-BL70)))</f>
        <v>419.40000000000009</v>
      </c>
      <c r="BE71" s="14">
        <f>BD71*VLOOKUP('Données projet'!$B$11,Paramètres!$A$1:$I$89,3,0)*VLOOKUP('Données projet'!$B$11,Paramètres!$A$1:$I$89,5,0)</f>
        <v>250.80120000000008</v>
      </c>
      <c r="BF71" s="14">
        <f t="shared" si="91"/>
        <v>60.757473811682686</v>
      </c>
      <c r="BG71" s="22">
        <f t="shared" si="61"/>
        <v>542.63135688868078</v>
      </c>
      <c r="BH71" s="62">
        <f t="shared" si="62"/>
        <v>835.96469022201404</v>
      </c>
      <c r="BI71" s="62">
        <f ca="1">AVERAGE(OFFSET($BH$3,0,0,'Données projet'!$E$11+1,1))-AVERAGE(OFFSET($H$3,0,0,'Données projet'!$E$11+1,1))</f>
        <v>295.83974441964551</v>
      </c>
      <c r="BJ71" s="62">
        <f t="shared" si="92"/>
        <v>212.24900914818096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6.75</v>
      </c>
      <c r="BY71" s="13">
        <f>IF('Données projet'!$A$114&gt;35,BY70+BX71-CG70,IF(A71&lt;'Données projet'!$A$114,$BV$205^A71,IF(A71='Données projet'!$A$114,'Données projet'!$B$114,BY70+BX71-CG70)))</f>
        <v>378.49999999999994</v>
      </c>
      <c r="BZ71" s="14">
        <f>BY71*VLOOKUP('Données projet'!$B$12,Paramètres!$A$1:$I$89,3,0)*VLOOKUP('Données projet'!$B$12,Paramètres!$A$1:$I$89,5,0)</f>
        <v>216.50199999999995</v>
      </c>
      <c r="CA71" s="14">
        <f t="shared" si="93"/>
        <v>53.353904963920556</v>
      </c>
      <c r="CB71" s="22">
        <f t="shared" si="64"/>
        <v>469.99903447882821</v>
      </c>
      <c r="CC71" s="62">
        <f t="shared" si="65"/>
        <v>763.33236781216146</v>
      </c>
      <c r="CD71" s="62">
        <f ca="1">AVERAGE(OFFSET($CC$3,0,0,'Données projet'!$E$12+1,1))-AVERAGE(OFFSET($H$3,0,0,'Données projet'!$E$12+1,1))</f>
        <v>309.71642374647882</v>
      </c>
      <c r="CE71" s="62">
        <f t="shared" si="94"/>
        <v>266.63880397664315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0.8538674217057709</v>
      </c>
      <c r="CM71" s="23">
        <f>EXP(-LN(2)/2)*CM70+(1-EXP(-LN(2)/2))/(LN(2)/2)*CG71*CJ71*VLOOKUP('Données projet'!$B$12,Paramètres!$A$1:$I$89,3,0)*0.475*44/12</f>
        <v>1.5175189847399401E-5</v>
      </c>
      <c r="CN71" s="24">
        <f t="shared" si="66"/>
        <v>0.8538825968956183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3.8</v>
      </c>
      <c r="CT71" s="13">
        <f>IF('Données projet'!$A$140&gt;35,CT70+CS71-DB70,IF(A71&lt;'Données projet'!$A$140,$CQ$205^A71,IF(A71='Données projet'!$A$140,'Données projet'!$B$140,CT70+CS71-DB70)))</f>
        <v>266.39999999999992</v>
      </c>
      <c r="CU71" s="18">
        <f>CT71*VLOOKUP('Données projet'!$B$13,Paramètres!$A$1:$I$89,3,0)*VLOOKUP('Données projet'!$B$13,Paramètres!$A$1:$I$89,5,0)</f>
        <v>211.94783999999996</v>
      </c>
      <c r="CV71" s="14">
        <f t="shared" si="95"/>
        <v>52.361008754780862</v>
      </c>
      <c r="CW71" s="22">
        <f t="shared" si="67"/>
        <v>460.33791158124319</v>
      </c>
      <c r="CX71" s="62">
        <f t="shared" si="68"/>
        <v>753.6712449145765</v>
      </c>
      <c r="CY71" s="62">
        <f ca="1">AVERAGE(OFFSET($CX$3,0,0,'Données projet'!$E$13+1,1))-AVERAGE(OFFSET($H$3,0,0,'Données projet'!$E$13+1,1))</f>
        <v>312.53381881960331</v>
      </c>
      <c r="CZ71" s="62">
        <f t="shared" si="96"/>
        <v>342.06887933351783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6.8</v>
      </c>
      <c r="DO71" s="13">
        <f>IF('Données projet'!$A$166&gt;35,DO70+DN71-DW70,IF(A71&lt;'Données projet'!$A$166,$DL$205^A71,IF(A71='Données projet'!$A$166,'Données projet'!$B$166,DO70+DN71-DW70)))</f>
        <v>228.39999999999992</v>
      </c>
      <c r="DP71" s="18">
        <f>DO71*VLOOKUP('Données projet'!$B$14,Paramètres!$A$1:$I$89,3,0)*VLOOKUP('Données projet'!$B$14,Paramètres!$A$1:$I$89,5,0)</f>
        <v>245.84975999999992</v>
      </c>
      <c r="DQ71" s="14">
        <f t="shared" si="97"/>
        <v>59.696365416984804</v>
      </c>
      <c r="DR71" s="22">
        <f t="shared" si="70"/>
        <v>532.15950176791512</v>
      </c>
      <c r="DS71" s="62">
        <f t="shared" si="71"/>
        <v>825.49283510124837</v>
      </c>
      <c r="DT71" s="62">
        <f ca="1">AVERAGE(OFFSET($DS$3,0,0,'Données projet'!$E$14+1,1))-AVERAGE(OFFSET($H$3,0,0,'Données projet'!$E$14+1,1))</f>
        <v>503.92230226365683</v>
      </c>
      <c r="DU71" s="62">
        <f t="shared" si="98"/>
        <v>267.2998309535638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6.8</v>
      </c>
      <c r="EJ71" s="13">
        <f>IF('Données projet'!$A$192&gt;35,EJ70+EI71-ER70,IF(A71&lt;'Données projet'!$A$192,$EG$205^A71,IF(A71='Données projet'!$A$192,'Données projet'!$B$192,EJ70+EI71-ER70)))</f>
        <v>228.39999999999992</v>
      </c>
      <c r="EK71" s="18">
        <f>EJ71*VLOOKUP('Données projet'!$B$15,Paramètres!$A$1:$I$89,3,0)*VLOOKUP('Données projet'!$B$15,Paramètres!$A$1:$I$89,5,0)</f>
        <v>220.90847999999991</v>
      </c>
      <c r="EL71" s="14">
        <f t="shared" si="99"/>
        <v>54.312291977864817</v>
      </c>
      <c r="EM71" s="22">
        <f t="shared" si="73"/>
        <v>479.34284452811431</v>
      </c>
      <c r="EN71" s="62">
        <f t="shared" si="74"/>
        <v>772.67617786144763</v>
      </c>
      <c r="EO71" s="62">
        <f ca="1">AVERAGE(OFFSET($EN$3,0,0,'Données projet'!$E$15+1,1))-AVERAGE(OFFSET($H$3,0,0,'Données projet'!$E$15+1,1))</f>
        <v>457.16923206840744</v>
      </c>
      <c r="EP71" s="62">
        <f t="shared" si="100"/>
        <v>244.45149244446094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6.8</v>
      </c>
      <c r="FE71" s="13">
        <f>IF('Données projet'!$A$218&gt;35,FE70+FD71-FM70,IF(A71&lt;'Données projet'!$A$218,$FB$205^A71,IF(A71='Données projet'!$A$218,'Données projet'!$B$218,FE70+FD71-FM70)))</f>
        <v>330.40000000000026</v>
      </c>
      <c r="FF71" s="18">
        <f>FE71*VLOOKUP('Données projet'!$B$16,Paramètres!$A$1:$I$89,3,0)*VLOOKUP('Données projet'!$B$16,Paramètres!$A$1:$I$89,5,0)</f>
        <v>221.63232000000019</v>
      </c>
      <c r="FG71" s="14">
        <f t="shared" si="101"/>
        <v>54.469509628293125</v>
      </c>
      <c r="FH71" s="22">
        <f t="shared" si="76"/>
        <v>480.87735326927742</v>
      </c>
      <c r="FI71" s="62">
        <f t="shared" si="77"/>
        <v>774.21068660261074</v>
      </c>
      <c r="FJ71" s="62">
        <f ca="1">AVERAGE(OFFSET($FI$3,0,0,'Données projet'!$E$16+1,1))-AVERAGE(OFFSET($H$3,0,0,'Données projet'!$E$16+1,1))</f>
        <v>385.97853124853452</v>
      </c>
      <c r="FK71" s="62">
        <f t="shared" si="102"/>
        <v>300.99118099739695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132.280299502248</v>
      </c>
      <c r="T72" s="62">
        <f t="shared" si="88"/>
        <v>337.98099449405339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28.940037215737323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2.4826670343494388E-6</v>
      </c>
      <c r="AC72" s="24">
        <f t="shared" si="57"/>
        <v>28.940039698404359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235.19999999999993</v>
      </c>
      <c r="AJ72" s="14">
        <f>AI72*VLOOKUP('Données projet'!$B$10,Paramètres!$A$1:$I$89,3,0)*VLOOKUP('Données projet'!$B$10,Paramètres!$A$1:$I$89,5,0)</f>
        <v>212.8089599999999</v>
      </c>
      <c r="AK72" s="14">
        <f t="shared" si="89"/>
        <v>52.548938637485847</v>
      </c>
      <c r="AL72" s="22">
        <f t="shared" si="58"/>
        <v>462.16500679362093</v>
      </c>
      <c r="AM72" s="62">
        <f t="shared" si="59"/>
        <v>755.49834012695419</v>
      </c>
      <c r="AN72" s="62">
        <f ca="1">AVERAGE(OFFSET($AM$3,0,0,'Données projet'!$E$10+1,1))-AVERAGE(OFFSET($H$3,0,0,'Données projet'!$E$10+1,1))</f>
        <v>430.40491895612814</v>
      </c>
      <c r="AO72" s="62">
        <f t="shared" si="90"/>
        <v>231.36959598460686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14.3</v>
      </c>
      <c r="BD72" s="13">
        <f>IF('Données projet'!$A$88&gt;35,BD71+BC72-BL71,IF(A72&lt;'Données projet'!$A$88,$BA$205^A72,IF(A72='Données projet'!$A$88,'Données projet'!$B$88,BD71+BC72-BL71)))</f>
        <v>433.7000000000001</v>
      </c>
      <c r="BE72" s="14">
        <f>BD72*VLOOKUP('Données projet'!$B$11,Paramètres!$A$1:$I$89,3,0)*VLOOKUP('Données projet'!$B$11,Paramètres!$A$1:$I$89,5,0)</f>
        <v>259.35260000000011</v>
      </c>
      <c r="BF72" s="14">
        <f t="shared" si="91"/>
        <v>62.58435842101963</v>
      </c>
      <c r="BG72" s="22">
        <f t="shared" si="61"/>
        <v>560.70686924994277</v>
      </c>
      <c r="BH72" s="62">
        <f t="shared" si="62"/>
        <v>854.04020258327614</v>
      </c>
      <c r="BI72" s="62">
        <f ca="1">AVERAGE(OFFSET($BH$3,0,0,'Données projet'!$E$11+1,1))-AVERAGE(OFFSET($H$3,0,0,'Données projet'!$E$11+1,1))</f>
        <v>295.83974441964551</v>
      </c>
      <c r="BJ72" s="62">
        <f t="shared" si="92"/>
        <v>212.24900914818096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6.75</v>
      </c>
      <c r="BY72" s="13">
        <f>IF('Données projet'!$A$114&gt;35,BY71+BX72-CG71,IF(A72&lt;'Données projet'!$A$114,$BV$205^A72,IF(A72='Données projet'!$A$114,'Données projet'!$B$114,BY71+BX72-CG71)))</f>
        <v>385.24999999999994</v>
      </c>
      <c r="BZ72" s="14">
        <f>BY72*VLOOKUP('Données projet'!$B$12,Paramètres!$A$1:$I$89,3,0)*VLOOKUP('Données projet'!$B$12,Paramètres!$A$1:$I$89,5,0)</f>
        <v>220.36299999999997</v>
      </c>
      <c r="CA72" s="14">
        <f t="shared" si="93"/>
        <v>54.193774405323978</v>
      </c>
      <c r="CB72" s="22">
        <f t="shared" si="64"/>
        <v>478.18638208927251</v>
      </c>
      <c r="CC72" s="62">
        <f t="shared" si="65"/>
        <v>771.51971542260583</v>
      </c>
      <c r="CD72" s="62">
        <f ca="1">AVERAGE(OFFSET($CC$3,0,0,'Données projet'!$E$12+1,1))-AVERAGE(OFFSET($H$3,0,0,'Données projet'!$E$12+1,1))</f>
        <v>309.71642374647882</v>
      </c>
      <c r="CE72" s="62">
        <f t="shared" si="94"/>
        <v>266.63880397664315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0.83051837215629043</v>
      </c>
      <c r="CM72" s="23">
        <f>EXP(-LN(2)/2)*CM71+(1-EXP(-LN(2)/2))/(LN(2)/2)*CG72*CJ72*VLOOKUP('Données projet'!$B$12,Paramètres!$A$1:$I$89,3,0)*0.475*44/12</f>
        <v>1.0730479646889366E-5</v>
      </c>
      <c r="CN72" s="24">
        <f t="shared" si="66"/>
        <v>0.83052910263593727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3.8</v>
      </c>
      <c r="CT72" s="13">
        <f>IF('Données projet'!$A$140&gt;35,CT71+CS72-DB71,IF(A72&lt;'Données projet'!$A$140,$CQ$205^A72,IF(A72='Données projet'!$A$140,'Données projet'!$B$140,CT71+CS72-DB71)))</f>
        <v>270.19999999999993</v>
      </c>
      <c r="CU72" s="18">
        <f>CT72*VLOOKUP('Données projet'!$B$13,Paramètres!$A$1:$I$89,3,0)*VLOOKUP('Données projet'!$B$13,Paramètres!$A$1:$I$89,5,0)</f>
        <v>214.97111999999996</v>
      </c>
      <c r="CV72" s="14">
        <f t="shared" si="95"/>
        <v>53.020416883940428</v>
      </c>
      <c r="CW72" s="22">
        <f t="shared" si="67"/>
        <v>466.75192673952944</v>
      </c>
      <c r="CX72" s="62">
        <f t="shared" si="68"/>
        <v>760.08526007286275</v>
      </c>
      <c r="CY72" s="62">
        <f ca="1">AVERAGE(OFFSET($CX$3,0,0,'Données projet'!$E$13+1,1))-AVERAGE(OFFSET($H$3,0,0,'Données projet'!$E$13+1,1))</f>
        <v>312.53381881960331</v>
      </c>
      <c r="CZ72" s="62">
        <f t="shared" si="96"/>
        <v>342.06887933351783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6.8</v>
      </c>
      <c r="DO72" s="13">
        <f>IF('Données projet'!$A$166&gt;35,DO71+DN72-DW71,IF(A72&lt;'Données projet'!$A$166,$DL$205^A72,IF(A72='Données projet'!$A$166,'Données projet'!$B$166,DO71+DN72-DW71)))</f>
        <v>235.19999999999993</v>
      </c>
      <c r="DP72" s="18">
        <f>DO72*VLOOKUP('Données projet'!$B$14,Paramètres!$A$1:$I$89,3,0)*VLOOKUP('Données projet'!$B$14,Paramètres!$A$1:$I$89,5,0)</f>
        <v>253.16927999999993</v>
      </c>
      <c r="DQ72" s="14">
        <f t="shared" si="97"/>
        <v>61.264096094739799</v>
      </c>
      <c r="DR72" s="22">
        <f t="shared" si="70"/>
        <v>547.63813003167172</v>
      </c>
      <c r="DS72" s="62">
        <f t="shared" si="71"/>
        <v>840.97146336500509</v>
      </c>
      <c r="DT72" s="62">
        <f ca="1">AVERAGE(OFFSET($DS$3,0,0,'Données projet'!$E$14+1,1))-AVERAGE(OFFSET($H$3,0,0,'Données projet'!$E$14+1,1))</f>
        <v>503.92230226365683</v>
      </c>
      <c r="DU72" s="62">
        <f t="shared" si="98"/>
        <v>267.2998309535638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6.8</v>
      </c>
      <c r="EJ72" s="13">
        <f>IF('Données projet'!$A$192&gt;35,EJ71+EI72-ER71,IF(A72&lt;'Données projet'!$A$192,$EG$205^A72,IF(A72='Données projet'!$A$192,'Données projet'!$B$192,EJ71+EI72-ER71)))</f>
        <v>235.19999999999993</v>
      </c>
      <c r="EK72" s="18">
        <f>EJ72*VLOOKUP('Données projet'!$B$15,Paramètres!$A$1:$I$89,3,0)*VLOOKUP('Données projet'!$B$15,Paramètres!$A$1:$I$89,5,0)</f>
        <v>227.48543999999993</v>
      </c>
      <c r="EL72" s="14">
        <f t="shared" si="99"/>
        <v>55.738627496252377</v>
      </c>
      <c r="EM72" s="22">
        <f t="shared" si="73"/>
        <v>493.28191755597277</v>
      </c>
      <c r="EN72" s="62">
        <f t="shared" si="74"/>
        <v>786.61525088930603</v>
      </c>
      <c r="EO72" s="62">
        <f ca="1">AVERAGE(OFFSET($EN$3,0,0,'Données projet'!$E$15+1,1))-AVERAGE(OFFSET($H$3,0,0,'Données projet'!$E$15+1,1))</f>
        <v>457.16923206840744</v>
      </c>
      <c r="EP72" s="62">
        <f t="shared" si="100"/>
        <v>244.45149244446094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6.8</v>
      </c>
      <c r="FE72" s="13">
        <f>IF('Données projet'!$A$218&gt;35,FE71+FD72-FM71,IF(A72&lt;'Données projet'!$A$218,$FB$205^A72,IF(A72='Données projet'!$A$218,'Données projet'!$B$218,FE71+FD72-FM71)))</f>
        <v>337.20000000000027</v>
      </c>
      <c r="FF72" s="18">
        <f>FE72*VLOOKUP('Données projet'!$B$16,Paramètres!$A$1:$I$89,3,0)*VLOOKUP('Données projet'!$B$16,Paramètres!$A$1:$I$89,5,0)</f>
        <v>226.1937600000002</v>
      </c>
      <c r="FG72" s="14">
        <f t="shared" si="101"/>
        <v>55.458885862671281</v>
      </c>
      <c r="FH72" s="22">
        <f t="shared" si="76"/>
        <v>490.54502487748613</v>
      </c>
      <c r="FI72" s="62">
        <f t="shared" si="77"/>
        <v>783.87835821081944</v>
      </c>
      <c r="FJ72" s="62">
        <f ca="1">AVERAGE(OFFSET($FI$3,0,0,'Données projet'!$E$16+1,1))-AVERAGE(OFFSET($H$3,0,0,'Données projet'!$E$16+1,1))</f>
        <v>385.97853124853452</v>
      </c>
      <c r="FK72" s="62">
        <f t="shared" si="102"/>
        <v>300.99118099739695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132.280299502248</v>
      </c>
      <c r="T73" s="62">
        <f t="shared" si="88"/>
        <v>337.98099449405339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28.372540737616458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1.7555106954167835E-6</v>
      </c>
      <c r="AC73" s="24">
        <f t="shared" si="57"/>
        <v>28.372542493127153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241.99999999999994</v>
      </c>
      <c r="AJ73" s="14">
        <f>AI73*VLOOKUP('Données projet'!$B$10,Paramètres!$A$1:$I$89,3,0)*VLOOKUP('Données projet'!$B$10,Paramètres!$A$1:$I$89,5,0)</f>
        <v>218.96159999999995</v>
      </c>
      <c r="AK73" s="14">
        <f t="shared" si="89"/>
        <v>53.88913250370743</v>
      </c>
      <c r="AL73" s="22">
        <f t="shared" si="58"/>
        <v>475.21502577729035</v>
      </c>
      <c r="AM73" s="62">
        <f t="shared" si="59"/>
        <v>768.54835911062366</v>
      </c>
      <c r="AN73" s="62">
        <f ca="1">AVERAGE(OFFSET($AM$3,0,0,'Données projet'!$E$10+1,1))-AVERAGE(OFFSET($H$3,0,0,'Données projet'!$E$10+1,1))</f>
        <v>430.40491895612814</v>
      </c>
      <c r="AO73" s="62">
        <f t="shared" si="90"/>
        <v>231.36959598460686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448</v>
      </c>
      <c r="BB73" s="13">
        <f>VLOOKUP(A73,'Données projet'!$A$87:$I$107,9,0)</f>
        <v>14.3</v>
      </c>
      <c r="BC73" s="13">
        <f t="array" ref="BC73">INDEX(BB:BB,MIN(IF(ISNUMBER(BB73:BB269),ROW(BB73:BB269),"")))</f>
        <v>14.3</v>
      </c>
      <c r="BD73" s="13">
        <f>IF('Données projet'!$A$88&gt;35,BD72+BC73-BL72,IF(A73&lt;'Données projet'!$A$88,$BA$205^A73,IF(A73='Données projet'!$A$88,'Données projet'!$B$88,BD72+BC73-BL72)))</f>
        <v>448.00000000000011</v>
      </c>
      <c r="BE73" s="14">
        <f>BD73*VLOOKUP('Données projet'!$B$11,Paramètres!$A$1:$I$89,3,0)*VLOOKUP('Données projet'!$B$11,Paramètres!$A$1:$I$89,5,0)</f>
        <v>267.90400000000011</v>
      </c>
      <c r="BF73" s="14">
        <f t="shared" si="91"/>
        <v>64.404243631863267</v>
      </c>
      <c r="BG73" s="22">
        <f t="shared" si="61"/>
        <v>578.77019099216204</v>
      </c>
      <c r="BH73" s="62">
        <f t="shared" si="62"/>
        <v>872.1035243254953</v>
      </c>
      <c r="BI73" s="62">
        <f ca="1">AVERAGE(OFFSET($BH$3,0,0,'Données projet'!$E$11+1,1))-AVERAGE(OFFSET($H$3,0,0,'Données projet'!$E$11+1,1))</f>
        <v>295.83974441964551</v>
      </c>
      <c r="BJ73" s="62">
        <f t="shared" si="92"/>
        <v>212.24900914818096</v>
      </c>
      <c r="BK73" s="16">
        <f>IF(ISNA(VLOOKUP(A73,'Données projet'!$A$87:$I$107,3,0)),0,VLOOKUP(A73,'Données projet'!$A$87:$I$107,3,0))</f>
        <v>7</v>
      </c>
      <c r="BL73" s="16">
        <f>IF(ISNA(VLOOKUP(A73,'Données projet'!$A$87:$I$107,4,0)),0,VLOOKUP(A73,'Données projet'!$A$87:$I$107,4,0))</f>
        <v>78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6.75</v>
      </c>
      <c r="BY73" s="13">
        <f>IF('Données projet'!$A$114&gt;35,BY72+BX73-CG72,IF(A73&lt;'Données projet'!$A$114,$BV$205^A73,IF(A73='Données projet'!$A$114,'Données projet'!$B$114,BY72+BX73-CG72)))</f>
        <v>391.99999999999994</v>
      </c>
      <c r="BZ73" s="14">
        <f>BY73*VLOOKUP('Données projet'!$B$12,Paramètres!$A$1:$I$89,3,0)*VLOOKUP('Données projet'!$B$12,Paramètres!$A$1:$I$89,5,0)</f>
        <v>224.22399999999999</v>
      </c>
      <c r="CA73" s="14">
        <f t="shared" si="93"/>
        <v>55.031932623797523</v>
      </c>
      <c r="CB73" s="22">
        <f t="shared" si="64"/>
        <v>486.3707493197806</v>
      </c>
      <c r="CC73" s="62">
        <f t="shared" si="65"/>
        <v>779.70408265311391</v>
      </c>
      <c r="CD73" s="62">
        <f ca="1">AVERAGE(OFFSET($CC$3,0,0,'Données projet'!$E$12+1,1))-AVERAGE(OFFSET($H$3,0,0,'Données projet'!$E$12+1,1))</f>
        <v>309.71642374647882</v>
      </c>
      <c r="CE73" s="62">
        <f t="shared" si="94"/>
        <v>266.63880397664315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0.80780780359461368</v>
      </c>
      <c r="CM73" s="23">
        <f>EXP(-LN(2)/2)*CM72+(1-EXP(-LN(2)/2))/(LN(2)/2)*CG73*CJ73*VLOOKUP('Données projet'!$B$12,Paramètres!$A$1:$I$89,3,0)*0.475*44/12</f>
        <v>7.5875949236997012E-6</v>
      </c>
      <c r="CN73" s="24">
        <f t="shared" si="66"/>
        <v>0.80781539118953738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274</v>
      </c>
      <c r="CR73" s="13">
        <f>VLOOKUP(A73,'Données projet'!$A$139:$I$159,9,0)</f>
        <v>3.8</v>
      </c>
      <c r="CS73" s="13">
        <f t="array" ref="CS73">INDEX(CR:CR,MIN(IF(ISNUMBER(CR73:CR269),ROW(CR73:CR269),"")))</f>
        <v>3.8</v>
      </c>
      <c r="CT73" s="13">
        <f>IF('Données projet'!$A$140&gt;35,CT72+CS73-DB72,IF(A73&lt;'Données projet'!$A$140,$CQ$205^A73,IF(A73='Données projet'!$A$140,'Données projet'!$B$140,CT72+CS73-DB72)))</f>
        <v>273.99999999999994</v>
      </c>
      <c r="CU73" s="18">
        <f>CT73*VLOOKUP('Données projet'!$B$13,Paramètres!$A$1:$I$89,3,0)*VLOOKUP('Données projet'!$B$13,Paramètres!$A$1:$I$89,5,0)</f>
        <v>217.99439999999998</v>
      </c>
      <c r="CV73" s="14">
        <f t="shared" si="95"/>
        <v>53.678746401110374</v>
      </c>
      <c r="CW73" s="22">
        <f t="shared" si="67"/>
        <v>473.16406331526713</v>
      </c>
      <c r="CX73" s="62">
        <f t="shared" si="68"/>
        <v>766.49739664860044</v>
      </c>
      <c r="CY73" s="62">
        <f ca="1">AVERAGE(OFFSET($CX$3,0,0,'Données projet'!$E$13+1,1))-AVERAGE(OFFSET($H$3,0,0,'Données projet'!$E$13+1,1))</f>
        <v>312.53381881960331</v>
      </c>
      <c r="CZ73" s="62">
        <f t="shared" si="96"/>
        <v>342.06887933351783</v>
      </c>
      <c r="DA73" s="16">
        <f>IF(ISNA(VLOOKUP(A73,'Données projet'!$A$139:$I$159,3,0)),0,VLOOKUP(A73,'Données projet'!$A$139:$I$159,3,0))</f>
        <v>6</v>
      </c>
      <c r="DB73" s="16">
        <f>IF(ISNA(VLOOKUP(A73,'Données projet'!$A$139:$I$159,4,0)),0,VLOOKUP(A73,'Données projet'!$A$139:$I$159,4,0))</f>
        <v>21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242</v>
      </c>
      <c r="DM73" s="13">
        <f>VLOOKUP(A73,'Données projet'!$A$165:$I$185,9,0)</f>
        <v>6.8</v>
      </c>
      <c r="DN73" s="13">
        <f t="array" ref="DN73">INDEX(DM:DM,MIN(IF(ISNUMBER(DM73:DM269),ROW(DM73:DM269),"")))</f>
        <v>6.8</v>
      </c>
      <c r="DO73" s="13">
        <f>IF('Données projet'!$A$166&gt;35,DO72+DN73-DW72,IF(A73&lt;'Données projet'!$A$166,$DL$205^A73,IF(A73='Données projet'!$A$166,'Données projet'!$B$166,DO72+DN73-DW72)))</f>
        <v>241.99999999999994</v>
      </c>
      <c r="DP73" s="18">
        <f>DO73*VLOOKUP('Données projet'!$B$14,Paramètres!$A$1:$I$89,3,0)*VLOOKUP('Données projet'!$B$14,Paramètres!$A$1:$I$89,5,0)</f>
        <v>260.48879999999997</v>
      </c>
      <c r="DQ73" s="14">
        <f t="shared" si="97"/>
        <v>62.826558970958821</v>
      </c>
      <c r="DR73" s="22">
        <f t="shared" si="70"/>
        <v>563.10758354108657</v>
      </c>
      <c r="DS73" s="62">
        <f t="shared" si="71"/>
        <v>856.44091687441983</v>
      </c>
      <c r="DT73" s="62">
        <f ca="1">AVERAGE(OFFSET($DS$3,0,0,'Données projet'!$E$14+1,1))-AVERAGE(OFFSET($H$3,0,0,'Données projet'!$E$14+1,1))</f>
        <v>503.92230226365683</v>
      </c>
      <c r="DU73" s="62">
        <f t="shared" si="98"/>
        <v>267.2998309535638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242</v>
      </c>
      <c r="EH73" s="13">
        <f>VLOOKUP(A73,'Données projet'!$A$191:$I$211,9,0)</f>
        <v>6.8</v>
      </c>
      <c r="EI73" s="13">
        <f t="array" ref="EI73">INDEX(EH:EH,MIN(IF(ISNUMBER(EH73:EH269),ROW(EH73:EH269),"")))</f>
        <v>6.8</v>
      </c>
      <c r="EJ73" s="13">
        <f>IF('Données projet'!$A$192&gt;35,EJ72+EI73-ER72,IF(A73&lt;'Données projet'!$A$192,$EG$205^A73,IF(A73='Données projet'!$A$192,'Données projet'!$B$192,EJ72+EI73-ER72)))</f>
        <v>241.99999999999994</v>
      </c>
      <c r="EK73" s="18">
        <f>EJ73*VLOOKUP('Données projet'!$B$15,Paramètres!$A$1:$I$89,3,0)*VLOOKUP('Données projet'!$B$15,Paramètres!$A$1:$I$89,5,0)</f>
        <v>234.06239999999994</v>
      </c>
      <c r="EL73" s="14">
        <f t="shared" si="99"/>
        <v>57.16017032126387</v>
      </c>
      <c r="EM73" s="22">
        <f t="shared" si="73"/>
        <v>507.21264330953437</v>
      </c>
      <c r="EN73" s="62">
        <f t="shared" si="74"/>
        <v>800.54597664286769</v>
      </c>
      <c r="EO73" s="62">
        <f ca="1">AVERAGE(OFFSET($EN$3,0,0,'Données projet'!$E$15+1,1))-AVERAGE(OFFSET($H$3,0,0,'Données projet'!$E$15+1,1))</f>
        <v>457.16923206840744</v>
      </c>
      <c r="EP73" s="62">
        <f t="shared" si="100"/>
        <v>244.45149244446094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344</v>
      </c>
      <c r="FC73" s="13">
        <f>VLOOKUP(A73,'Données projet'!$A$217:$I$237,9,0)</f>
        <v>6.8</v>
      </c>
      <c r="FD73" s="13">
        <f t="array" ref="FD73">INDEX(FC:FC,MIN(IF(ISNUMBER(FC73:FC269),ROW(FC73:FC269),"")))</f>
        <v>6.8</v>
      </c>
      <c r="FE73" s="13">
        <f>IF('Données projet'!$A$218&gt;35,FE72+FD73-FM72,IF(A73&lt;'Données projet'!$A$218,$FB$205^A73,IF(A73='Données projet'!$A$218,'Données projet'!$B$218,FE72+FD73-FM72)))</f>
        <v>344.00000000000028</v>
      </c>
      <c r="FF73" s="18">
        <f>FE73*VLOOKUP('Données projet'!$B$16,Paramètres!$A$1:$I$89,3,0)*VLOOKUP('Données projet'!$B$16,Paramètres!$A$1:$I$89,5,0)</f>
        <v>230.7552000000002</v>
      </c>
      <c r="FG73" s="14">
        <f t="shared" si="101"/>
        <v>56.445942260957025</v>
      </c>
      <c r="FH73" s="22">
        <f t="shared" si="76"/>
        <v>500.20865610450045</v>
      </c>
      <c r="FI73" s="62">
        <f t="shared" si="77"/>
        <v>793.54198943783376</v>
      </c>
      <c r="FJ73" s="62">
        <f ca="1">AVERAGE(OFFSET($FI$3,0,0,'Données projet'!$E$16+1,1))-AVERAGE(OFFSET($H$3,0,0,'Données projet'!$E$16+1,1))</f>
        <v>385.97853124853452</v>
      </c>
      <c r="FK73" s="62">
        <f t="shared" si="102"/>
        <v>300.99118099739695</v>
      </c>
      <c r="FL73" s="16">
        <f>IF(ISNA(VLOOKUP(A73,'Données projet'!$A$217:$I$237,3,0)),0,VLOOKUP(A73,'Données projet'!$A$217:$I$237,3,0))</f>
        <v>6</v>
      </c>
      <c r="FM73" s="16">
        <f>IF(ISNA(VLOOKUP(A73,'Données projet'!$A$217:$I$237,4,0)),0,VLOOKUP(A73,'Données projet'!$A$217:$I$237,4,0))</f>
        <v>39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132.280299502248</v>
      </c>
      <c r="T74" s="62">
        <f t="shared" si="88"/>
        <v>337.98099449405339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27.81617251929287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1.2413335171747194E-6</v>
      </c>
      <c r="AC74" s="24">
        <f t="shared" si="57"/>
        <v>27.816173760626388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248.19999999999993</v>
      </c>
      <c r="AJ74" s="14">
        <f>AI74*VLOOKUP('Données projet'!$B$10,Paramètres!$A$1:$I$89,3,0)*VLOOKUP('Données projet'!$B$10,Paramètres!$A$1:$I$89,5,0)</f>
        <v>224.57135999999994</v>
      </c>
      <c r="AK74" s="14">
        <f t="shared" si="89"/>
        <v>55.107255873104265</v>
      </c>
      <c r="AL74" s="22">
        <f t="shared" si="58"/>
        <v>487.10692264565643</v>
      </c>
      <c r="AM74" s="62">
        <f t="shared" si="59"/>
        <v>780.44025597898974</v>
      </c>
      <c r="AN74" s="62">
        <f ca="1">AVERAGE(OFFSET($AM$3,0,0,'Données projet'!$E$10+1,1))-AVERAGE(OFFSET($H$3,0,0,'Données projet'!$E$10+1,1))</f>
        <v>430.40491895612814</v>
      </c>
      <c r="AO74" s="62">
        <f t="shared" si="90"/>
        <v>231.36959598460686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9</v>
      </c>
      <c r="BD74" s="13">
        <f>IF('Données projet'!$A$88&gt;35,BD73+BC74-BL73,IF(A74&lt;'Données projet'!$A$88,$BA$205^A74,IF(A74='Données projet'!$A$88,'Données projet'!$B$88,BD73+BC74-BL73)))</f>
        <v>379.00000000000011</v>
      </c>
      <c r="BE74" s="14">
        <f>BD74*VLOOKUP('Données projet'!$B$11,Paramètres!$A$1:$I$89,3,0)*VLOOKUP('Données projet'!$B$11,Paramètres!$A$1:$I$89,5,0)</f>
        <v>226.64200000000008</v>
      </c>
      <c r="BF74" s="14">
        <f t="shared" si="91"/>
        <v>55.555983079812862</v>
      </c>
      <c r="BG74" s="22">
        <f t="shared" si="61"/>
        <v>491.49482053067413</v>
      </c>
      <c r="BH74" s="62">
        <f t="shared" si="62"/>
        <v>784.82815386400739</v>
      </c>
      <c r="BI74" s="62">
        <f ca="1">AVERAGE(OFFSET($BH$3,0,0,'Données projet'!$E$11+1,1))-AVERAGE(OFFSET($H$3,0,0,'Données projet'!$E$11+1,1))</f>
        <v>295.83974441964551</v>
      </c>
      <c r="BJ74" s="62">
        <f t="shared" si="92"/>
        <v>212.24900914818096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6.75</v>
      </c>
      <c r="BY74" s="13">
        <f>IF('Données projet'!$A$114&gt;35,BY73+BX74-CG73,IF(A74&lt;'Données projet'!$A$114,$BV$205^A74,IF(A74='Données projet'!$A$114,'Données projet'!$B$114,BY73+BX74-CG73)))</f>
        <v>398.74999999999994</v>
      </c>
      <c r="BZ74" s="14">
        <f>BY74*VLOOKUP('Données projet'!$B$12,Paramètres!$A$1:$I$89,3,0)*VLOOKUP('Données projet'!$B$12,Paramètres!$A$1:$I$89,5,0)</f>
        <v>228.08499999999998</v>
      </c>
      <c r="CA74" s="14">
        <f t="shared" si="93"/>
        <v>55.868412485747712</v>
      </c>
      <c r="CB74" s="22">
        <f t="shared" si="64"/>
        <v>494.55219341267713</v>
      </c>
      <c r="CC74" s="62">
        <f t="shared" si="65"/>
        <v>787.88552674601044</v>
      </c>
      <c r="CD74" s="62">
        <f ca="1">AVERAGE(OFFSET($CC$3,0,0,'Données projet'!$E$12+1,1))-AVERAGE(OFFSET($H$3,0,0,'Données projet'!$E$12+1,1))</f>
        <v>309.71642374647882</v>
      </c>
      <c r="CE74" s="62">
        <f t="shared" si="94"/>
        <v>266.63880397664315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0.78571825672455287</v>
      </c>
      <c r="CM74" s="23">
        <f>EXP(-LN(2)/2)*CM73+(1-EXP(-LN(2)/2))/(LN(2)/2)*CG74*CJ74*VLOOKUP('Données projet'!$B$12,Paramètres!$A$1:$I$89,3,0)*0.475*44/12</f>
        <v>5.3652398234446839E-6</v>
      </c>
      <c r="CN74" s="24">
        <f t="shared" si="66"/>
        <v>0.78572362196437628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3.4</v>
      </c>
      <c r="CT74" s="13">
        <f>IF('Données projet'!$A$140&gt;35,CT73+CS74-DB73,IF(A74&lt;'Données projet'!$A$140,$CQ$205^A74,IF(A74='Données projet'!$A$140,'Données projet'!$B$140,CT73+CS74-DB73)))</f>
        <v>256.39999999999992</v>
      </c>
      <c r="CU74" s="18">
        <f>CT74*VLOOKUP('Données projet'!$B$13,Paramètres!$A$1:$I$89,3,0)*VLOOKUP('Données projet'!$B$13,Paramètres!$A$1:$I$89,5,0)</f>
        <v>203.99183999999994</v>
      </c>
      <c r="CV74" s="14">
        <f t="shared" si="95"/>
        <v>50.620441749347997</v>
      </c>
      <c r="CW74" s="22">
        <f t="shared" si="67"/>
        <v>443.449724046781</v>
      </c>
      <c r="CX74" s="62">
        <f t="shared" si="68"/>
        <v>736.78305738011431</v>
      </c>
      <c r="CY74" s="62">
        <f ca="1">AVERAGE(OFFSET($CX$3,0,0,'Données projet'!$E$13+1,1))-AVERAGE(OFFSET($H$3,0,0,'Données projet'!$E$13+1,1))</f>
        <v>312.53381881960331</v>
      </c>
      <c r="CZ74" s="62">
        <f t="shared" si="96"/>
        <v>342.06887933351783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6.2</v>
      </c>
      <c r="DO74" s="13">
        <f>IF('Données projet'!$A$166&gt;35,DO73+DN74-DW73,IF(A74&lt;'Données projet'!$A$166,$DL$205^A74,IF(A74='Données projet'!$A$166,'Données projet'!$B$166,DO73+DN74-DW73)))</f>
        <v>248.19999999999993</v>
      </c>
      <c r="DP74" s="18">
        <f>DO74*VLOOKUP('Données projet'!$B$14,Paramètres!$A$1:$I$89,3,0)*VLOOKUP('Données projet'!$B$14,Paramètres!$A$1:$I$89,5,0)</f>
        <v>267.16247999999996</v>
      </c>
      <c r="DQ74" s="14">
        <f t="shared" si="97"/>
        <v>64.246706153622185</v>
      </c>
      <c r="DR74" s="22">
        <f t="shared" si="70"/>
        <v>577.20433255089188</v>
      </c>
      <c r="DS74" s="62">
        <f t="shared" si="71"/>
        <v>870.53766588422513</v>
      </c>
      <c r="DT74" s="62">
        <f ca="1">AVERAGE(OFFSET($DS$3,0,0,'Données projet'!$E$14+1,1))-AVERAGE(OFFSET($H$3,0,0,'Données projet'!$E$14+1,1))</f>
        <v>503.92230226365683</v>
      </c>
      <c r="DU74" s="62">
        <f t="shared" si="98"/>
        <v>267.2998309535638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6.2</v>
      </c>
      <c r="EJ74" s="13">
        <f>IF('Données projet'!$A$192&gt;35,EJ73+EI74-ER73,IF(A74&lt;'Données projet'!$A$192,$EG$205^A74,IF(A74='Données projet'!$A$192,'Données projet'!$B$192,EJ73+EI74-ER73)))</f>
        <v>248.19999999999993</v>
      </c>
      <c r="EK74" s="18">
        <f>EJ74*VLOOKUP('Données projet'!$B$15,Paramètres!$A$1:$I$89,3,0)*VLOOKUP('Données projet'!$B$15,Paramètres!$A$1:$I$89,5,0)</f>
        <v>240.05903999999995</v>
      </c>
      <c r="EL74" s="14">
        <f t="shared" si="99"/>
        <v>58.452233043970431</v>
      </c>
      <c r="EM74" s="22">
        <f t="shared" si="73"/>
        <v>519.90713388491497</v>
      </c>
      <c r="EN74" s="62">
        <f t="shared" si="74"/>
        <v>813.24046721824834</v>
      </c>
      <c r="EO74" s="62">
        <f ca="1">AVERAGE(OFFSET($EN$3,0,0,'Données projet'!$E$15+1,1))-AVERAGE(OFFSET($H$3,0,0,'Données projet'!$E$15+1,1))</f>
        <v>457.16923206840744</v>
      </c>
      <c r="EP74" s="62">
        <f t="shared" si="100"/>
        <v>244.45149244446094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6.2</v>
      </c>
      <c r="FE74" s="13">
        <f>IF('Données projet'!$A$218&gt;35,FE73+FD74-FM73,IF(A74&lt;'Données projet'!$A$218,$FB$205^A74,IF(A74='Données projet'!$A$218,'Données projet'!$B$218,FE73+FD74-FM73)))</f>
        <v>311.20000000000027</v>
      </c>
      <c r="FF74" s="18">
        <f>FE74*VLOOKUP('Données projet'!$B$16,Paramètres!$A$1:$I$89,3,0)*VLOOKUP('Données projet'!$B$16,Paramètres!$A$1:$I$89,5,0)</f>
        <v>208.7529600000002</v>
      </c>
      <c r="FG74" s="14">
        <f t="shared" si="101"/>
        <v>51.662981692884436</v>
      </c>
      <c r="FH74" s="22">
        <f t="shared" si="76"/>
        <v>453.55776511510743</v>
      </c>
      <c r="FI74" s="62">
        <f t="shared" si="77"/>
        <v>746.89109844844074</v>
      </c>
      <c r="FJ74" s="62">
        <f ca="1">AVERAGE(OFFSET($FI$3,0,0,'Données projet'!$E$16+1,1))-AVERAGE(OFFSET($H$3,0,0,'Données projet'!$E$16+1,1))</f>
        <v>385.97853124853452</v>
      </c>
      <c r="FK74" s="62">
        <f t="shared" si="102"/>
        <v>300.99118099739695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132.280299502248</v>
      </c>
      <c r="T75" s="62">
        <f t="shared" si="88"/>
        <v>337.98099449405339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27.270714342379502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8.7775534770839176E-7</v>
      </c>
      <c r="AC75" s="24">
        <f t="shared" si="57"/>
        <v>27.27071522013485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254.39999999999992</v>
      </c>
      <c r="AJ75" s="14">
        <f>AI75*VLOOKUP('Données projet'!$B$10,Paramètres!$A$1:$I$89,3,0)*VLOOKUP('Données projet'!$B$10,Paramètres!$A$1:$I$89,5,0)</f>
        <v>230.18111999999991</v>
      </c>
      <c r="AK75" s="14">
        <f t="shared" si="89"/>
        <v>56.321842115392933</v>
      </c>
      <c r="AL75" s="22">
        <f t="shared" si="58"/>
        <v>498.99265901764255</v>
      </c>
      <c r="AM75" s="62">
        <f t="shared" si="59"/>
        <v>792.32599235097587</v>
      </c>
      <c r="AN75" s="62">
        <f ca="1">AVERAGE(OFFSET($AM$3,0,0,'Données projet'!$E$10+1,1))-AVERAGE(OFFSET($H$3,0,0,'Données projet'!$E$10+1,1))</f>
        <v>430.40491895612814</v>
      </c>
      <c r="AO75" s="62">
        <f t="shared" si="90"/>
        <v>231.36959598460686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9</v>
      </c>
      <c r="BD75" s="13">
        <f>IF('Données projet'!$A$88&gt;35,BD74+BC75-BL74,IF(A75&lt;'Données projet'!$A$88,$BA$205^A75,IF(A75='Données projet'!$A$88,'Données projet'!$B$88,BD74+BC75-BL74)))</f>
        <v>388.00000000000011</v>
      </c>
      <c r="BE75" s="14">
        <f>BD75*VLOOKUP('Données projet'!$B$11,Paramètres!$A$1:$I$89,3,0)*VLOOKUP('Données projet'!$B$11,Paramètres!$A$1:$I$89,5,0)</f>
        <v>232.02400000000006</v>
      </c>
      <c r="BF75" s="14">
        <f t="shared" si="91"/>
        <v>56.720094243161071</v>
      </c>
      <c r="BG75" s="22">
        <f t="shared" si="61"/>
        <v>502.89596414017234</v>
      </c>
      <c r="BH75" s="62">
        <f t="shared" si="62"/>
        <v>796.22929747350565</v>
      </c>
      <c r="BI75" s="62">
        <f ca="1">AVERAGE(OFFSET($BH$3,0,0,'Données projet'!$E$11+1,1))-AVERAGE(OFFSET($H$3,0,0,'Données projet'!$E$11+1,1))</f>
        <v>295.83974441964551</v>
      </c>
      <c r="BJ75" s="62">
        <f t="shared" si="92"/>
        <v>212.24900914818096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6.75</v>
      </c>
      <c r="BY75" s="13">
        <f>IF('Données projet'!$A$114&gt;35,BY74+BX75-CG74,IF(A75&lt;'Données projet'!$A$114,$BV$205^A75,IF(A75='Données projet'!$A$114,'Données projet'!$B$114,BY74+BX75-CG74)))</f>
        <v>405.49999999999994</v>
      </c>
      <c r="BZ75" s="14">
        <f>BY75*VLOOKUP('Données projet'!$B$12,Paramètres!$A$1:$I$89,3,0)*VLOOKUP('Données projet'!$B$12,Paramètres!$A$1:$I$89,5,0)</f>
        <v>231.946</v>
      </c>
      <c r="CA75" s="14">
        <f t="shared" si="93"/>
        <v>56.703245681093705</v>
      </c>
      <c r="CB75" s="22">
        <f t="shared" si="64"/>
        <v>502.73076956123822</v>
      </c>
      <c r="CC75" s="62">
        <f t="shared" si="65"/>
        <v>796.06410289457153</v>
      </c>
      <c r="CD75" s="62">
        <f ca="1">AVERAGE(OFFSET($CC$3,0,0,'Données projet'!$E$12+1,1))-AVERAGE(OFFSET($H$3,0,0,'Données projet'!$E$12+1,1))</f>
        <v>309.71642374647882</v>
      </c>
      <c r="CE75" s="62">
        <f t="shared" si="94"/>
        <v>266.63880397664315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0.76423274967529264</v>
      </c>
      <c r="CM75" s="23">
        <f>EXP(-LN(2)/2)*CM74+(1-EXP(-LN(2)/2))/(LN(2)/2)*CG75*CJ75*VLOOKUP('Données projet'!$B$12,Paramètres!$A$1:$I$89,3,0)*0.475*44/12</f>
        <v>3.793797461849851E-6</v>
      </c>
      <c r="CN75" s="24">
        <f t="shared" si="66"/>
        <v>0.76423654347275449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3.4</v>
      </c>
      <c r="CT75" s="13">
        <f>IF('Données projet'!$A$140&gt;35,CT74+CS75-DB74,IF(A75&lt;'Données projet'!$A$140,$CQ$205^A75,IF(A75='Données projet'!$A$140,'Données projet'!$B$140,CT74+CS75-DB74)))</f>
        <v>259.7999999999999</v>
      </c>
      <c r="CU75" s="18">
        <f>CT75*VLOOKUP('Données projet'!$B$13,Paramètres!$A$1:$I$89,3,0)*VLOOKUP('Données projet'!$B$13,Paramètres!$A$1:$I$89,5,0)</f>
        <v>206.69687999999994</v>
      </c>
      <c r="CV75" s="14">
        <f t="shared" si="95"/>
        <v>51.213106197404436</v>
      </c>
      <c r="CW75" s="22">
        <f t="shared" si="67"/>
        <v>449.1932259604792</v>
      </c>
      <c r="CX75" s="62">
        <f t="shared" si="68"/>
        <v>742.52655929381251</v>
      </c>
      <c r="CY75" s="62">
        <f ca="1">AVERAGE(OFFSET($CX$3,0,0,'Données projet'!$E$13+1,1))-AVERAGE(OFFSET($H$3,0,0,'Données projet'!$E$13+1,1))</f>
        <v>312.53381881960331</v>
      </c>
      <c r="CZ75" s="62">
        <f t="shared" si="96"/>
        <v>342.06887933351783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6.2</v>
      </c>
      <c r="DO75" s="13">
        <f>IF('Données projet'!$A$166&gt;35,DO74+DN75-DW74,IF(A75&lt;'Données projet'!$A$166,$DL$205^A75,IF(A75='Données projet'!$A$166,'Données projet'!$B$166,DO74+DN75-DW74)))</f>
        <v>254.39999999999992</v>
      </c>
      <c r="DP75" s="18">
        <f>DO75*VLOOKUP('Données projet'!$B$14,Paramètres!$A$1:$I$89,3,0)*VLOOKUP('Données projet'!$B$14,Paramètres!$A$1:$I$89,5,0)</f>
        <v>273.83615999999995</v>
      </c>
      <c r="DQ75" s="14">
        <f t="shared" si="97"/>
        <v>65.662729582301651</v>
      </c>
      <c r="DR75" s="22">
        <f t="shared" si="70"/>
        <v>591.29389935584197</v>
      </c>
      <c r="DS75" s="62">
        <f t="shared" si="71"/>
        <v>884.62723268917534</v>
      </c>
      <c r="DT75" s="62">
        <f ca="1">AVERAGE(OFFSET($DS$3,0,0,'Données projet'!$E$14+1,1))-AVERAGE(OFFSET($H$3,0,0,'Données projet'!$E$14+1,1))</f>
        <v>503.92230226365683</v>
      </c>
      <c r="DU75" s="62">
        <f t="shared" si="98"/>
        <v>267.2998309535638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6.2</v>
      </c>
      <c r="EJ75" s="13">
        <f>IF('Données projet'!$A$192&gt;35,EJ74+EI75-ER74,IF(A75&lt;'Données projet'!$A$192,$EG$205^A75,IF(A75='Données projet'!$A$192,'Données projet'!$B$192,EJ74+EI75-ER74)))</f>
        <v>254.39999999999992</v>
      </c>
      <c r="EK75" s="18">
        <f>EJ75*VLOOKUP('Données projet'!$B$15,Paramètres!$A$1:$I$89,3,0)*VLOOKUP('Données projet'!$B$15,Paramètres!$A$1:$I$89,5,0)</f>
        <v>246.05567999999994</v>
      </c>
      <c r="EL75" s="14">
        <f t="shared" si="99"/>
        <v>59.740543938088187</v>
      </c>
      <c r="EM75" s="22">
        <f t="shared" si="73"/>
        <v>532.59509002550351</v>
      </c>
      <c r="EN75" s="62">
        <f t="shared" si="74"/>
        <v>825.92842335883688</v>
      </c>
      <c r="EO75" s="62">
        <f ca="1">AVERAGE(OFFSET($EN$3,0,0,'Données projet'!$E$15+1,1))-AVERAGE(OFFSET($H$3,0,0,'Données projet'!$E$15+1,1))</f>
        <v>457.16923206840744</v>
      </c>
      <c r="EP75" s="62">
        <f t="shared" si="100"/>
        <v>244.45149244446094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6.2</v>
      </c>
      <c r="FE75" s="13">
        <f>IF('Données projet'!$A$218&gt;35,FE74+FD75-FM74,IF(A75&lt;'Données projet'!$A$218,$FB$205^A75,IF(A75='Données projet'!$A$218,'Données projet'!$B$218,FE74+FD75-FM74)))</f>
        <v>317.40000000000026</v>
      </c>
      <c r="FF75" s="18">
        <f>FE75*VLOOKUP('Données projet'!$B$16,Paramètres!$A$1:$I$89,3,0)*VLOOKUP('Données projet'!$B$16,Paramètres!$A$1:$I$89,5,0)</f>
        <v>212.91192000000018</v>
      </c>
      <c r="FG75" s="14">
        <f t="shared" si="101"/>
        <v>52.571402583859317</v>
      </c>
      <c r="FH75" s="22">
        <f t="shared" si="76"/>
        <v>462.38345350022195</v>
      </c>
      <c r="FI75" s="62">
        <f t="shared" si="77"/>
        <v>755.71678683355526</v>
      </c>
      <c r="FJ75" s="62">
        <f ca="1">AVERAGE(OFFSET($FI$3,0,0,'Données projet'!$E$16+1,1))-AVERAGE(OFFSET($H$3,0,0,'Données projet'!$E$16+1,1))</f>
        <v>385.97853124853452</v>
      </c>
      <c r="FK75" s="62">
        <f t="shared" si="102"/>
        <v>300.99118099739695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132.280299502248</v>
      </c>
      <c r="T76" s="62">
        <f t="shared" si="88"/>
        <v>337.98099449405339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26.735952267618767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6.206667585873597E-7</v>
      </c>
      <c r="AC76" s="24">
        <f t="shared" si="57"/>
        <v>26.735952888285524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260.59999999999991</v>
      </c>
      <c r="AJ76" s="14">
        <f>AI76*VLOOKUP('Données projet'!$B$10,Paramètres!$A$1:$I$89,3,0)*VLOOKUP('Données projet'!$B$10,Paramètres!$A$1:$I$89,5,0)</f>
        <v>235.7908799999999</v>
      </c>
      <c r="AK76" s="14">
        <f t="shared" si="89"/>
        <v>57.532987351107714</v>
      </c>
      <c r="AL76" s="22">
        <f t="shared" si="58"/>
        <v>510.87240230317911</v>
      </c>
      <c r="AM76" s="62">
        <f t="shared" si="59"/>
        <v>804.20573563651237</v>
      </c>
      <c r="AN76" s="62">
        <f ca="1">AVERAGE(OFFSET($AM$3,0,0,'Données projet'!$E$10+1,1))-AVERAGE(OFFSET($H$3,0,0,'Données projet'!$E$10+1,1))</f>
        <v>430.40491895612814</v>
      </c>
      <c r="AO76" s="62">
        <f t="shared" si="90"/>
        <v>231.36959598460686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9</v>
      </c>
      <c r="BD76" s="13">
        <f>IF('Données projet'!$A$88&gt;35,BD75+BC76-BL75,IF(A76&lt;'Données projet'!$A$88,$BA$205^A76,IF(A76='Données projet'!$A$88,'Données projet'!$B$88,BD75+BC76-BL75)))</f>
        <v>397.00000000000011</v>
      </c>
      <c r="BE76" s="14">
        <f>BD76*VLOOKUP('Données projet'!$B$11,Paramètres!$A$1:$I$89,3,0)*VLOOKUP('Données projet'!$B$11,Paramètres!$A$1:$I$89,5,0)</f>
        <v>237.40600000000009</v>
      </c>
      <c r="BF76" s="14">
        <f t="shared" si="91"/>
        <v>57.881066248213493</v>
      </c>
      <c r="BG76" s="22">
        <f t="shared" si="61"/>
        <v>514.29164038230522</v>
      </c>
      <c r="BH76" s="62">
        <f t="shared" si="62"/>
        <v>807.62497371563859</v>
      </c>
      <c r="BI76" s="62">
        <f ca="1">AVERAGE(OFFSET($BH$3,0,0,'Données projet'!$E$11+1,1))-AVERAGE(OFFSET($H$3,0,0,'Données projet'!$E$11+1,1))</f>
        <v>295.83974441964551</v>
      </c>
      <c r="BJ76" s="62">
        <f t="shared" si="92"/>
        <v>212.24900914818096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6.75</v>
      </c>
      <c r="BY76" s="13">
        <f>IF('Données projet'!$A$114&gt;35,BY75+BX76-CG75,IF(A76&lt;'Données projet'!$A$114,$BV$205^A76,IF(A76='Données projet'!$A$114,'Données projet'!$B$114,BY75+BX76-CG75)))</f>
        <v>412.24999999999994</v>
      </c>
      <c r="BZ76" s="14">
        <f>BY76*VLOOKUP('Données projet'!$B$12,Paramètres!$A$1:$I$89,3,0)*VLOOKUP('Données projet'!$B$12,Paramètres!$A$1:$I$89,5,0)</f>
        <v>235.80699999999999</v>
      </c>
      <c r="CA76" s="14">
        <f t="shared" si="93"/>
        <v>57.536462784250709</v>
      </c>
      <c r="CB76" s="22">
        <f t="shared" si="64"/>
        <v>510.90653101590328</v>
      </c>
      <c r="CC76" s="62">
        <f t="shared" si="65"/>
        <v>804.23986434923654</v>
      </c>
      <c r="CD76" s="62">
        <f ca="1">AVERAGE(OFFSET($CC$3,0,0,'Données projet'!$E$12+1,1))-AVERAGE(OFFSET($H$3,0,0,'Données projet'!$E$12+1,1))</f>
        <v>309.71642374647882</v>
      </c>
      <c r="CE76" s="62">
        <f t="shared" si="94"/>
        <v>266.63880397664315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0.74333476494616813</v>
      </c>
      <c r="CM76" s="23">
        <f>EXP(-LN(2)/2)*CM75+(1-EXP(-LN(2)/2))/(LN(2)/2)*CG76*CJ76*VLOOKUP('Données projet'!$B$12,Paramètres!$A$1:$I$89,3,0)*0.475*44/12</f>
        <v>2.6826199117223424E-6</v>
      </c>
      <c r="CN76" s="24">
        <f t="shared" si="66"/>
        <v>0.74333744756607989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3.4</v>
      </c>
      <c r="CT76" s="13">
        <f>IF('Données projet'!$A$140&gt;35,CT75+CS76-DB75,IF(A76&lt;'Données projet'!$A$140,$CQ$205^A76,IF(A76='Données projet'!$A$140,'Données projet'!$B$140,CT75+CS76-DB75)))</f>
        <v>263.19999999999987</v>
      </c>
      <c r="CU76" s="18">
        <f>CT76*VLOOKUP('Données projet'!$B$13,Paramètres!$A$1:$I$89,3,0)*VLOOKUP('Données projet'!$B$13,Paramètres!$A$1:$I$89,5,0)</f>
        <v>209.4019199999999</v>
      </c>
      <c r="CV76" s="14">
        <f t="shared" si="95"/>
        <v>51.804868484579039</v>
      </c>
      <c r="CW76" s="22">
        <f t="shared" si="67"/>
        <v>454.93515661064163</v>
      </c>
      <c r="CX76" s="62">
        <f t="shared" si="68"/>
        <v>748.26848994397494</v>
      </c>
      <c r="CY76" s="62">
        <f ca="1">AVERAGE(OFFSET($CX$3,0,0,'Données projet'!$E$13+1,1))-AVERAGE(OFFSET($H$3,0,0,'Données projet'!$E$13+1,1))</f>
        <v>312.53381881960331</v>
      </c>
      <c r="CZ76" s="62">
        <f t="shared" si="96"/>
        <v>342.06887933351783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6.2</v>
      </c>
      <c r="DO76" s="13">
        <f>IF('Données projet'!$A$166&gt;35,DO75+DN76-DW75,IF(A76&lt;'Données projet'!$A$166,$DL$205^A76,IF(A76='Données projet'!$A$166,'Données projet'!$B$166,DO75+DN76-DW75)))</f>
        <v>260.59999999999991</v>
      </c>
      <c r="DP76" s="18">
        <f>DO76*VLOOKUP('Données projet'!$B$14,Paramètres!$A$1:$I$89,3,0)*VLOOKUP('Données projet'!$B$14,Paramètres!$A$1:$I$89,5,0)</f>
        <v>280.50983999999988</v>
      </c>
      <c r="DQ76" s="14">
        <f t="shared" si="97"/>
        <v>67.074741318968506</v>
      </c>
      <c r="DR76" s="22">
        <f t="shared" si="70"/>
        <v>605.37647913053661</v>
      </c>
      <c r="DS76" s="62">
        <f t="shared" si="71"/>
        <v>898.70981246386987</v>
      </c>
      <c r="DT76" s="62">
        <f ca="1">AVERAGE(OFFSET($DS$3,0,0,'Données projet'!$E$14+1,1))-AVERAGE(OFFSET($H$3,0,0,'Données projet'!$E$14+1,1))</f>
        <v>503.92230226365683</v>
      </c>
      <c r="DU76" s="62">
        <f t="shared" si="98"/>
        <v>267.2998309535638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6.2</v>
      </c>
      <c r="EJ76" s="13">
        <f>IF('Données projet'!$A$192&gt;35,EJ75+EI76-ER75,IF(A76&lt;'Données projet'!$A$192,$EG$205^A76,IF(A76='Données projet'!$A$192,'Données projet'!$B$192,EJ75+EI76-ER75)))</f>
        <v>260.59999999999991</v>
      </c>
      <c r="EK76" s="18">
        <f>EJ76*VLOOKUP('Données projet'!$B$15,Paramètres!$A$1:$I$89,3,0)*VLOOKUP('Données projet'!$B$15,Paramètres!$A$1:$I$89,5,0)</f>
        <v>252.05231999999992</v>
      </c>
      <c r="EL76" s="14">
        <f t="shared" si="99"/>
        <v>61.025204958609983</v>
      </c>
      <c r="EM76" s="22">
        <f t="shared" si="73"/>
        <v>545.27668930291225</v>
      </c>
      <c r="EN76" s="62">
        <f t="shared" si="74"/>
        <v>838.6100226362455</v>
      </c>
      <c r="EO76" s="62">
        <f ca="1">AVERAGE(OFFSET($EN$3,0,0,'Données projet'!$E$15+1,1))-AVERAGE(OFFSET($H$3,0,0,'Données projet'!$E$15+1,1))</f>
        <v>457.16923206840744</v>
      </c>
      <c r="EP76" s="62">
        <f t="shared" si="100"/>
        <v>244.45149244446094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6.2</v>
      </c>
      <c r="FE76" s="13">
        <f>IF('Données projet'!$A$218&gt;35,FE75+FD76-FM75,IF(A76&lt;'Données projet'!$A$218,$FB$205^A76,IF(A76='Données projet'!$A$218,'Données projet'!$B$218,FE75+FD76-FM75)))</f>
        <v>323.60000000000025</v>
      </c>
      <c r="FF76" s="18">
        <f>FE76*VLOOKUP('Données projet'!$B$16,Paramètres!$A$1:$I$89,3,0)*VLOOKUP('Données projet'!$B$16,Paramètres!$A$1:$I$89,5,0)</f>
        <v>217.07088000000019</v>
      </c>
      <c r="FG76" s="14">
        <f t="shared" si="101"/>
        <v>53.477760184148195</v>
      </c>
      <c r="FH76" s="22">
        <f t="shared" si="76"/>
        <v>471.20554832072509</v>
      </c>
      <c r="FI76" s="62">
        <f t="shared" si="77"/>
        <v>764.5388816540584</v>
      </c>
      <c r="FJ76" s="62">
        <f ca="1">AVERAGE(OFFSET($FI$3,0,0,'Données projet'!$E$16+1,1))-AVERAGE(OFFSET($H$3,0,0,'Données projet'!$E$16+1,1))</f>
        <v>385.97853124853452</v>
      </c>
      <c r="FK76" s="62">
        <f t="shared" si="102"/>
        <v>300.99118099739695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132.280299502248</v>
      </c>
      <c r="T77" s="62">
        <f t="shared" si="88"/>
        <v>337.98099449405339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26.211676550971433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4.3887767385419588E-7</v>
      </c>
      <c r="AC77" s="24">
        <f t="shared" si="57"/>
        <v>26.211676989849106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266.7999999999999</v>
      </c>
      <c r="AJ77" s="14">
        <f>AI77*VLOOKUP('Données projet'!$B$10,Paramètres!$A$1:$I$89,3,0)*VLOOKUP('Données projet'!$B$10,Paramètres!$A$1:$I$89,5,0)</f>
        <v>241.40063999999992</v>
      </c>
      <c r="AK77" s="14">
        <f t="shared" si="89"/>
        <v>58.740782866262698</v>
      </c>
      <c r="AL77" s="22">
        <f t="shared" si="58"/>
        <v>522.74631149207403</v>
      </c>
      <c r="AM77" s="62">
        <f t="shared" si="59"/>
        <v>816.07964482540729</v>
      </c>
      <c r="AN77" s="62">
        <f ca="1">AVERAGE(OFFSET($AM$3,0,0,'Données projet'!$E$10+1,1))-AVERAGE(OFFSET($H$3,0,0,'Données projet'!$E$10+1,1))</f>
        <v>430.40491895612814</v>
      </c>
      <c r="AO77" s="62">
        <f t="shared" si="90"/>
        <v>231.36959598460686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9</v>
      </c>
      <c r="BD77" s="13">
        <f>IF('Données projet'!$A$88&gt;35,BD76+BC77-BL76,IF(A77&lt;'Données projet'!$A$88,$BA$205^A77,IF(A77='Données projet'!$A$88,'Données projet'!$B$88,BD76+BC77-BL76)))</f>
        <v>406.00000000000011</v>
      </c>
      <c r="BE77" s="14">
        <f>BD77*VLOOKUP('Données projet'!$B$11,Paramètres!$A$1:$I$89,3,0)*VLOOKUP('Données projet'!$B$11,Paramètres!$A$1:$I$89,5,0)</f>
        <v>242.78800000000007</v>
      </c>
      <c r="BF77" s="14">
        <f t="shared" si="91"/>
        <v>59.038978452354563</v>
      </c>
      <c r="BG77" s="22">
        <f t="shared" si="61"/>
        <v>525.68198747118436</v>
      </c>
      <c r="BH77" s="62">
        <f t="shared" si="62"/>
        <v>819.01532080451761</v>
      </c>
      <c r="BI77" s="62">
        <f ca="1">AVERAGE(OFFSET($BH$3,0,0,'Données projet'!$E$11+1,1))-AVERAGE(OFFSET($H$3,0,0,'Données projet'!$E$11+1,1))</f>
        <v>295.83974441964551</v>
      </c>
      <c r="BJ77" s="62">
        <f t="shared" si="92"/>
        <v>212.24900914818096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>
        <f>VLOOKUP(A77,'Données projet'!$A$113:$I$133,2,0)</f>
        <v>419</v>
      </c>
      <c r="BW77" s="13">
        <f>VLOOKUP(A77,'Données projet'!$A$113:$I$133,9,0)</f>
        <v>6.75</v>
      </c>
      <c r="BX77" s="13">
        <f t="array" ref="BX77">INDEX(BW:BW,MIN(IF(ISNUMBER(BW77:BW273),ROW(BW77:BW273),"")))</f>
        <v>6.75</v>
      </c>
      <c r="BY77" s="13">
        <f>IF('Données projet'!$A$114&gt;35,BY76+BX77-CG76,IF(A77&lt;'Données projet'!$A$114,$BV$205^A77,IF(A77='Données projet'!$A$114,'Données projet'!$B$114,BY76+BX77-CG76)))</f>
        <v>418.99999999999994</v>
      </c>
      <c r="BZ77" s="14">
        <f>BY77*VLOOKUP('Données projet'!$B$12,Paramètres!$A$1:$I$89,3,0)*VLOOKUP('Données projet'!$B$12,Paramètres!$A$1:$I$89,5,0)</f>
        <v>239.66799999999998</v>
      </c>
      <c r="CA77" s="14">
        <f t="shared" si="93"/>
        <v>58.368093311006277</v>
      </c>
      <c r="CB77" s="22">
        <f t="shared" si="64"/>
        <v>519.07952918333581</v>
      </c>
      <c r="CC77" s="62">
        <f t="shared" si="65"/>
        <v>812.41286251666907</v>
      </c>
      <c r="CD77" s="62">
        <f ca="1">AVERAGE(OFFSET($CC$3,0,0,'Données projet'!$E$12+1,1))-AVERAGE(OFFSET($H$3,0,0,'Données projet'!$E$12+1,1))</f>
        <v>309.71642374647882</v>
      </c>
      <c r="CE77" s="62">
        <f t="shared" si="94"/>
        <v>266.63880397664315</v>
      </c>
      <c r="CF77" s="16">
        <f>IF(ISNA(VLOOKUP(A77,'Données projet'!$A$113:$I$133,3,0)),0,VLOOKUP(A77,'Données projet'!$A$113:$I$133,3,0))</f>
        <v>10</v>
      </c>
      <c r="CG77" s="16">
        <f>IF(ISNA(VLOOKUP(A77,'Données projet'!$A$113:$I$133,4,0)),0,VLOOKUP(A77,'Données projet'!$A$113:$I$133,4,0))</f>
        <v>20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0.72300823670843883</v>
      </c>
      <c r="CM77" s="23">
        <f>EXP(-LN(2)/2)*CM76+(1-EXP(-LN(2)/2))/(LN(2)/2)*CG77*CJ77*VLOOKUP('Données projet'!$B$12,Paramètres!$A$1:$I$89,3,0)*0.475*44/12</f>
        <v>1.8968987309249259E-6</v>
      </c>
      <c r="CN77" s="24">
        <f t="shared" si="66"/>
        <v>0.72301013360716981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3.4</v>
      </c>
      <c r="CT77" s="13">
        <f>IF('Données projet'!$A$140&gt;35,CT76+CS77-DB76,IF(A77&lt;'Données projet'!$A$140,$CQ$205^A77,IF(A77='Données projet'!$A$140,'Données projet'!$B$140,CT76+CS77-DB76)))</f>
        <v>266.59999999999985</v>
      </c>
      <c r="CU77" s="18">
        <f>CT77*VLOOKUP('Données projet'!$B$13,Paramètres!$A$1:$I$89,3,0)*VLOOKUP('Données projet'!$B$13,Paramètres!$A$1:$I$89,5,0)</f>
        <v>212.10695999999987</v>
      </c>
      <c r="CV77" s="14">
        <f t="shared" si="95"/>
        <v>52.395741612408194</v>
      </c>
      <c r="CW77" s="22">
        <f t="shared" si="67"/>
        <v>460.67553864161073</v>
      </c>
      <c r="CX77" s="62">
        <f t="shared" si="68"/>
        <v>754.00887197494399</v>
      </c>
      <c r="CY77" s="62">
        <f ca="1">AVERAGE(OFFSET($CX$3,0,0,'Données projet'!$E$13+1,1))-AVERAGE(OFFSET($H$3,0,0,'Données projet'!$E$13+1,1))</f>
        <v>312.53381881960331</v>
      </c>
      <c r="CZ77" s="62">
        <f t="shared" si="96"/>
        <v>342.06887933351783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6.2</v>
      </c>
      <c r="DO77" s="13">
        <f>IF('Données projet'!$A$166&gt;35,DO76+DN77-DW76,IF(A77&lt;'Données projet'!$A$166,$DL$205^A77,IF(A77='Données projet'!$A$166,'Données projet'!$B$166,DO76+DN77-DW76)))</f>
        <v>266.7999999999999</v>
      </c>
      <c r="DP77" s="18">
        <f>DO77*VLOOKUP('Données projet'!$B$14,Paramètres!$A$1:$I$89,3,0)*VLOOKUP('Données projet'!$B$14,Paramètres!$A$1:$I$89,5,0)</f>
        <v>287.18351999999987</v>
      </c>
      <c r="DQ77" s="14">
        <f t="shared" si="97"/>
        <v>68.482847789276349</v>
      </c>
      <c r="DR77" s="22">
        <f t="shared" si="70"/>
        <v>619.45225723298938</v>
      </c>
      <c r="DS77" s="62">
        <f t="shared" si="71"/>
        <v>912.78559056632275</v>
      </c>
      <c r="DT77" s="62">
        <f ca="1">AVERAGE(OFFSET($DS$3,0,0,'Données projet'!$E$14+1,1))-AVERAGE(OFFSET($H$3,0,0,'Données projet'!$E$14+1,1))</f>
        <v>503.92230226365683</v>
      </c>
      <c r="DU77" s="62">
        <f t="shared" si="98"/>
        <v>267.2998309535638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6.2</v>
      </c>
      <c r="EJ77" s="13">
        <f>IF('Données projet'!$A$192&gt;35,EJ76+EI77-ER76,IF(A77&lt;'Données projet'!$A$192,$EG$205^A77,IF(A77='Données projet'!$A$192,'Données projet'!$B$192,EJ76+EI77-ER76)))</f>
        <v>266.7999999999999</v>
      </c>
      <c r="EK77" s="18">
        <f>EJ77*VLOOKUP('Données projet'!$B$15,Paramètres!$A$1:$I$89,3,0)*VLOOKUP('Données projet'!$B$15,Paramètres!$A$1:$I$89,5,0)</f>
        <v>258.04895999999991</v>
      </c>
      <c r="EL77" s="14">
        <f t="shared" si="99"/>
        <v>62.306312932555763</v>
      </c>
      <c r="EM77" s="22">
        <f t="shared" si="73"/>
        <v>557.95210035753439</v>
      </c>
      <c r="EN77" s="62">
        <f t="shared" si="74"/>
        <v>851.28543369086765</v>
      </c>
      <c r="EO77" s="62">
        <f ca="1">AVERAGE(OFFSET($EN$3,0,0,'Données projet'!$E$15+1,1))-AVERAGE(OFFSET($H$3,0,0,'Données projet'!$E$15+1,1))</f>
        <v>457.16923206840744</v>
      </c>
      <c r="EP77" s="62">
        <f t="shared" si="100"/>
        <v>244.45149244446094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6.2</v>
      </c>
      <c r="FE77" s="13">
        <f>IF('Données projet'!$A$218&gt;35,FE76+FD77-FM76,IF(A77&lt;'Données projet'!$A$218,$FB$205^A77,IF(A77='Données projet'!$A$218,'Données projet'!$B$218,FE76+FD77-FM76)))</f>
        <v>329.80000000000024</v>
      </c>
      <c r="FF77" s="18">
        <f>FE77*VLOOKUP('Données projet'!$B$16,Paramètres!$A$1:$I$89,3,0)*VLOOKUP('Données projet'!$B$16,Paramètres!$A$1:$I$89,5,0)</f>
        <v>221.22984000000017</v>
      </c>
      <c r="FG77" s="14">
        <f t="shared" si="101"/>
        <v>54.382098583014702</v>
      </c>
      <c r="FH77" s="22">
        <f t="shared" si="76"/>
        <v>480.02412636541754</v>
      </c>
      <c r="FI77" s="62">
        <f t="shared" si="77"/>
        <v>773.35745969875086</v>
      </c>
      <c r="FJ77" s="62">
        <f ca="1">AVERAGE(OFFSET($FI$3,0,0,'Données projet'!$E$16+1,1))-AVERAGE(OFFSET($H$3,0,0,'Données projet'!$E$16+1,1))</f>
        <v>385.97853124853452</v>
      </c>
      <c r="FK77" s="62">
        <f t="shared" si="102"/>
        <v>300.99118099739695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132.280299502248</v>
      </c>
      <c r="T78" s="62">
        <f t="shared" si="88"/>
        <v>337.98099449405339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25.69768156135094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3.1033337929367985E-7</v>
      </c>
      <c r="AC78" s="24">
        <f t="shared" si="57"/>
        <v>25.69768187168432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273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272.99999999999989</v>
      </c>
      <c r="AJ78" s="14">
        <f>AI78*VLOOKUP('Données projet'!$B$10,Paramètres!$A$1:$I$89,3,0)*VLOOKUP('Données projet'!$B$10,Paramètres!$A$1:$I$89,5,0)</f>
        <v>247.01039999999989</v>
      </c>
      <c r="AK78" s="14">
        <f t="shared" si="89"/>
        <v>59.945315462121812</v>
      </c>
      <c r="AL78" s="22">
        <f t="shared" si="58"/>
        <v>534.61453776319524</v>
      </c>
      <c r="AM78" s="62">
        <f t="shared" si="59"/>
        <v>827.94787109652862</v>
      </c>
      <c r="AN78" s="62">
        <f ca="1">AVERAGE(OFFSET($AM$3,0,0,'Données projet'!$E$10+1,1))-AVERAGE(OFFSET($H$3,0,0,'Données projet'!$E$10+1,1))</f>
        <v>430.40491895612814</v>
      </c>
      <c r="AO78" s="62">
        <f t="shared" si="90"/>
        <v>231.36959598460686</v>
      </c>
      <c r="AP78" s="16">
        <f>IF(ISNA(VLOOKUP(A78,'Données projet'!$A$61:$I$81,3,0)),0,VLOOKUP(A78,'Données projet'!$A$61:$I$81,3,0))</f>
        <v>6</v>
      </c>
      <c r="AQ78" s="16">
        <f>IF(ISNA(VLOOKUP(A78,'Données projet'!$A$61:$I$81,4,0)),0,VLOOKUP(A78,'Données projet'!$A$61:$I$81,4,0))</f>
        <v>42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9</v>
      </c>
      <c r="BD78" s="13">
        <f>IF('Données projet'!$A$88&gt;35,BD77+BC78-BL77,IF(A78&lt;'Données projet'!$A$88,$BA$205^A78,IF(A78='Données projet'!$A$88,'Données projet'!$B$88,BD77+BC78-BL77)))</f>
        <v>415.00000000000011</v>
      </c>
      <c r="BE78" s="14">
        <f>BD78*VLOOKUP('Données projet'!$B$11,Paramètres!$A$1:$I$89,3,0)*VLOOKUP('Données projet'!$B$11,Paramètres!$A$1:$I$89,5,0)</f>
        <v>248.1700000000001</v>
      </c>
      <c r="BF78" s="14">
        <f t="shared" si="91"/>
        <v>60.193906493778854</v>
      </c>
      <c r="BG78" s="22">
        <f t="shared" si="61"/>
        <v>537.06713714333159</v>
      </c>
      <c r="BH78" s="62">
        <f t="shared" si="62"/>
        <v>830.40047047666485</v>
      </c>
      <c r="BI78" s="62">
        <f ca="1">AVERAGE(OFFSET($BH$3,0,0,'Données projet'!$E$11+1,1))-AVERAGE(OFFSET($H$3,0,0,'Données projet'!$E$11+1,1))</f>
        <v>295.83974441964551</v>
      </c>
      <c r="BJ78" s="62">
        <f t="shared" si="92"/>
        <v>212.24900914818096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5.625</v>
      </c>
      <c r="BY78" s="13">
        <f>IF('Données projet'!$A$114&gt;35,BY77+BX78-CG77,IF(A78&lt;'Données projet'!$A$114,$BV$205^A78,IF(A78='Données projet'!$A$114,'Données projet'!$B$114,BY77+BX78-CG77)))</f>
        <v>404.62499999999994</v>
      </c>
      <c r="BZ78" s="14">
        <f>BY78*VLOOKUP('Données projet'!$B$12,Paramètres!$A$1:$I$89,3,0)*VLOOKUP('Données projet'!$B$12,Paramètres!$A$1:$I$89,5,0)</f>
        <v>231.44549999999995</v>
      </c>
      <c r="CA78" s="14">
        <f t="shared" si="93"/>
        <v>56.595118370327334</v>
      </c>
      <c r="CB78" s="22">
        <f t="shared" si="64"/>
        <v>501.67074366165338</v>
      </c>
      <c r="CC78" s="62">
        <f t="shared" si="65"/>
        <v>795.00407699498669</v>
      </c>
      <c r="CD78" s="62">
        <f ca="1">AVERAGE(OFFSET($CC$3,0,0,'Données projet'!$E$12+1,1))-AVERAGE(OFFSET($H$3,0,0,'Données projet'!$E$12+1,1))</f>
        <v>309.71642374647882</v>
      </c>
      <c r="CE78" s="62">
        <f t="shared" si="94"/>
        <v>266.63880397664315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0.70323753845429582</v>
      </c>
      <c r="CM78" s="23">
        <f>EXP(-LN(2)/2)*CM77+(1-EXP(-LN(2)/2))/(LN(2)/2)*CG78*CJ78*VLOOKUP('Données projet'!$B$12,Paramètres!$A$1:$I$89,3,0)*0.475*44/12</f>
        <v>1.3413099558611714E-6</v>
      </c>
      <c r="CN78" s="24">
        <f t="shared" si="66"/>
        <v>0.7032388797642517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270</v>
      </c>
      <c r="CR78" s="13">
        <f>VLOOKUP(A78,'Données projet'!$A$139:$I$159,9,0)</f>
        <v>3.4</v>
      </c>
      <c r="CS78" s="13">
        <f t="array" ref="CS78">INDEX(CR:CR,MIN(IF(ISNUMBER(CR78:CR274),ROW(CR78:CR274),"")))</f>
        <v>3.4</v>
      </c>
      <c r="CT78" s="13">
        <f>IF('Données projet'!$A$140&gt;35,CT77+CS78-DB77,IF(A78&lt;'Données projet'!$A$140,$CQ$205^A78,IF(A78='Données projet'!$A$140,'Données projet'!$B$140,CT77+CS78-DB77)))</f>
        <v>269.99999999999983</v>
      </c>
      <c r="CU78" s="18">
        <f>CT78*VLOOKUP('Données projet'!$B$13,Paramètres!$A$1:$I$89,3,0)*VLOOKUP('Données projet'!$B$13,Paramètres!$A$1:$I$89,5,0)</f>
        <v>214.81199999999987</v>
      </c>
      <c r="CV78" s="14">
        <f t="shared" si="95"/>
        <v>52.985738231738011</v>
      </c>
      <c r="CW78" s="22">
        <f t="shared" si="67"/>
        <v>466.41439408694345</v>
      </c>
      <c r="CX78" s="62">
        <f t="shared" si="68"/>
        <v>759.74772742027676</v>
      </c>
      <c r="CY78" s="62">
        <f ca="1">AVERAGE(OFFSET($CX$3,0,0,'Données projet'!$E$13+1,1))-AVERAGE(OFFSET($H$3,0,0,'Données projet'!$E$13+1,1))</f>
        <v>312.53381881960331</v>
      </c>
      <c r="CZ78" s="62">
        <f t="shared" si="96"/>
        <v>342.06887933351783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273</v>
      </c>
      <c r="DM78" s="13">
        <f>VLOOKUP(A78,'Données projet'!$A$165:$I$185,9,0)</f>
        <v>6.2</v>
      </c>
      <c r="DN78" s="13">
        <f t="array" ref="DN78">INDEX(DM:DM,MIN(IF(ISNUMBER(DM78:DM274),ROW(DM78:DM274),"")))</f>
        <v>6.2</v>
      </c>
      <c r="DO78" s="13">
        <f>IF('Données projet'!$A$166&gt;35,DO77+DN78-DW77,IF(A78&lt;'Données projet'!$A$166,$DL$205^A78,IF(A78='Données projet'!$A$166,'Données projet'!$B$166,DO77+DN78-DW77)))</f>
        <v>272.99999999999989</v>
      </c>
      <c r="DP78" s="18">
        <f>DO78*VLOOKUP('Données projet'!$B$14,Paramètres!$A$1:$I$89,3,0)*VLOOKUP('Données projet'!$B$14,Paramètres!$A$1:$I$89,5,0)</f>
        <v>293.85719999999986</v>
      </c>
      <c r="DQ78" s="14">
        <f t="shared" si="97"/>
        <v>69.887150190339781</v>
      </c>
      <c r="DR78" s="22">
        <f t="shared" si="70"/>
        <v>633.52140991484157</v>
      </c>
      <c r="DS78" s="62">
        <f t="shared" si="71"/>
        <v>926.85474324817483</v>
      </c>
      <c r="DT78" s="62">
        <f ca="1">AVERAGE(OFFSET($DS$3,0,0,'Données projet'!$E$14+1,1))-AVERAGE(OFFSET($H$3,0,0,'Données projet'!$E$14+1,1))</f>
        <v>503.92230226365683</v>
      </c>
      <c r="DU78" s="62">
        <f t="shared" si="98"/>
        <v>267.2998309535638</v>
      </c>
      <c r="DV78" s="16">
        <f>IF(ISNA(VLOOKUP(A78,'Données projet'!$A$165:$I$185,3,0)),0,VLOOKUP(A78,'Données projet'!$A$165:$I$185,3,0))</f>
        <v>6</v>
      </c>
      <c r="DW78" s="16">
        <f>IF(ISNA(VLOOKUP(A78,'Données projet'!$A$165:$I$185,4,0)),0,VLOOKUP(A78,'Données projet'!$A$165:$I$185,4,0))</f>
        <v>42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273</v>
      </c>
      <c r="EH78" s="13">
        <f>VLOOKUP(A78,'Données projet'!$A$191:$I$211,9,0)</f>
        <v>6.2</v>
      </c>
      <c r="EI78" s="13">
        <f t="array" ref="EI78">INDEX(EH:EH,MIN(IF(ISNUMBER(EH78:EH274),ROW(EH78:EH274),"")))</f>
        <v>6.2</v>
      </c>
      <c r="EJ78" s="13">
        <f>IF('Données projet'!$A$192&gt;35,EJ77+EI78-ER77,IF(A78&lt;'Données projet'!$A$192,$EG$205^A78,IF(A78='Données projet'!$A$192,'Données projet'!$B$192,EJ77+EI78-ER77)))</f>
        <v>272.99999999999989</v>
      </c>
      <c r="EK78" s="18">
        <f>EJ78*VLOOKUP('Données projet'!$B$15,Paramètres!$A$1:$I$89,3,0)*VLOOKUP('Données projet'!$B$15,Paramètres!$A$1:$I$89,5,0)</f>
        <v>264.04559999999992</v>
      </c>
      <c r="EL78" s="14">
        <f t="shared" si="99"/>
        <v>63.58395992997368</v>
      </c>
      <c r="EM78" s="22">
        <f t="shared" si="73"/>
        <v>570.62148354470401</v>
      </c>
      <c r="EN78" s="62">
        <f t="shared" si="74"/>
        <v>863.95481687803726</v>
      </c>
      <c r="EO78" s="62">
        <f ca="1">AVERAGE(OFFSET($EN$3,0,0,'Données projet'!$E$15+1,1))-AVERAGE(OFFSET($H$3,0,0,'Données projet'!$E$15+1,1))</f>
        <v>457.16923206840744</v>
      </c>
      <c r="EP78" s="62">
        <f t="shared" si="100"/>
        <v>244.45149244446094</v>
      </c>
      <c r="EQ78" s="16">
        <f>IF(ISNA(VLOOKUP(A78,'Données projet'!$A$191:$I$211,3,0)),0,VLOOKUP(A78,'Données projet'!$A$191:$I$211,3,0))</f>
        <v>6</v>
      </c>
      <c r="ER78" s="16">
        <f>IF(ISNA(VLOOKUP(A78,'Données projet'!$A$191:$I$211,4,0)),0,VLOOKUP(A78,'Données projet'!$A$191:$I$211,4,0))</f>
        <v>42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336</v>
      </c>
      <c r="FC78" s="13">
        <f>VLOOKUP(A78,'Données projet'!$A$217:$I$237,9,0)</f>
        <v>6.2</v>
      </c>
      <c r="FD78" s="13">
        <f t="array" ref="FD78">INDEX(FC:FC,MIN(IF(ISNUMBER(FC78:FC274),ROW(FC78:FC274),"")))</f>
        <v>6.2</v>
      </c>
      <c r="FE78" s="13">
        <f>IF('Données projet'!$A$218&gt;35,FE77+FD78-FM77,IF(A78&lt;'Données projet'!$A$218,$FB$205^A78,IF(A78='Données projet'!$A$218,'Données projet'!$B$218,FE77+FD78-FM77)))</f>
        <v>336.00000000000023</v>
      </c>
      <c r="FF78" s="18">
        <f>FE78*VLOOKUP('Données projet'!$B$16,Paramètres!$A$1:$I$89,3,0)*VLOOKUP('Données projet'!$B$16,Paramètres!$A$1:$I$89,5,0)</f>
        <v>225.38880000000017</v>
      </c>
      <c r="FG78" s="14">
        <f t="shared" si="101"/>
        <v>55.284460117161593</v>
      </c>
      <c r="FH78" s="22">
        <f t="shared" si="76"/>
        <v>488.83926137072336</v>
      </c>
      <c r="FI78" s="62">
        <f t="shared" si="77"/>
        <v>782.17259470405668</v>
      </c>
      <c r="FJ78" s="62">
        <f ca="1">AVERAGE(OFFSET($FI$3,0,0,'Données projet'!$E$16+1,1))-AVERAGE(OFFSET($H$3,0,0,'Données projet'!$E$16+1,1))</f>
        <v>385.97853124853452</v>
      </c>
      <c r="FK78" s="62">
        <f t="shared" si="102"/>
        <v>300.99118099739695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132.280299502248</v>
      </c>
      <c r="T79" s="62">
        <f t="shared" si="88"/>
        <v>337.98099449405339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25.193765699970918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2.1943883692709794E-7</v>
      </c>
      <c r="AC79" s="24">
        <f t="shared" si="57"/>
        <v>25.193765919409756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5.9</v>
      </c>
      <c r="AI79" s="14">
        <f>IF('Données projet'!$A$62&gt;35,AI78+AH79-AQ78,IF(A79&lt;'Données projet'!$A$62,$AF$205^A79,IF(A79='Données projet'!$A$62,'Données projet'!$B$62,AI78+AH79-AQ78)))</f>
        <v>236.89999999999986</v>
      </c>
      <c r="AJ79" s="14">
        <f>AI79*VLOOKUP('Données projet'!$B$10,Paramètres!$A$1:$I$89,3,0)*VLOOKUP('Données projet'!$B$10,Paramètres!$A$1:$I$89,5,0)</f>
        <v>214.34711999999985</v>
      </c>
      <c r="AK79" s="14">
        <f t="shared" si="89"/>
        <v>52.884405030781778</v>
      </c>
      <c r="AL79" s="22">
        <f t="shared" si="58"/>
        <v>465.42823942861133</v>
      </c>
      <c r="AM79" s="62">
        <f t="shared" si="59"/>
        <v>758.76157276194465</v>
      </c>
      <c r="AN79" s="62">
        <f ca="1">AVERAGE(OFFSET($AM$3,0,0,'Données projet'!$E$10+1,1))-AVERAGE(OFFSET($H$3,0,0,'Données projet'!$E$10+1,1))</f>
        <v>430.40491895612814</v>
      </c>
      <c r="AO79" s="62">
        <f t="shared" si="90"/>
        <v>231.36959598460686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9</v>
      </c>
      <c r="BD79" s="13">
        <f>IF('Données projet'!$A$88&gt;35,BD78+BC79-BL78,IF(A79&lt;'Données projet'!$A$88,$BA$205^A79,IF(A79='Données projet'!$A$88,'Données projet'!$B$88,BD78+BC79-BL78)))</f>
        <v>424.00000000000011</v>
      </c>
      <c r="BE79" s="14">
        <f>BD79*VLOOKUP('Données projet'!$B$11,Paramètres!$A$1:$I$89,3,0)*VLOOKUP('Données projet'!$B$11,Paramètres!$A$1:$I$89,5,0)</f>
        <v>253.55200000000008</v>
      </c>
      <c r="BF79" s="14">
        <f t="shared" si="91"/>
        <v>61.345922542613536</v>
      </c>
      <c r="BG79" s="22">
        <f t="shared" si="61"/>
        <v>548.447215095052</v>
      </c>
      <c r="BH79" s="62">
        <f t="shared" si="62"/>
        <v>841.78054842838537</v>
      </c>
      <c r="BI79" s="62">
        <f ca="1">AVERAGE(OFFSET($BH$3,0,0,'Données projet'!$E$11+1,1))-AVERAGE(OFFSET($H$3,0,0,'Données projet'!$E$11+1,1))</f>
        <v>295.83974441964551</v>
      </c>
      <c r="BJ79" s="62">
        <f t="shared" si="92"/>
        <v>212.24900914818096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5.625</v>
      </c>
      <c r="BY79" s="13">
        <f>IF('Données projet'!$A$114&gt;35,BY78+BX79-CG78,IF(A79&lt;'Données projet'!$A$114,$BV$205^A79,IF(A79='Données projet'!$A$114,'Données projet'!$B$114,BY78+BX79-CG78)))</f>
        <v>410.24999999999994</v>
      </c>
      <c r="BZ79" s="14">
        <f>BY79*VLOOKUP('Données projet'!$B$12,Paramètres!$A$1:$I$89,3,0)*VLOOKUP('Données projet'!$B$12,Paramètres!$A$1:$I$89,5,0)</f>
        <v>234.66299999999995</v>
      </c>
      <c r="CA79" s="14">
        <f t="shared" si="93"/>
        <v>57.289750356834169</v>
      </c>
      <c r="CB79" s="22">
        <f t="shared" si="64"/>
        <v>508.48437353815274</v>
      </c>
      <c r="CC79" s="62">
        <f t="shared" si="65"/>
        <v>801.81770687148605</v>
      </c>
      <c r="CD79" s="62">
        <f ca="1">AVERAGE(OFFSET($CC$3,0,0,'Données projet'!$E$12+1,1))-AVERAGE(OFFSET($H$3,0,0,'Données projet'!$E$12+1,1))</f>
        <v>309.71642374647882</v>
      </c>
      <c r="CE79" s="62">
        <f t="shared" si="94"/>
        <v>266.63880397664315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0.68400747098360826</v>
      </c>
      <c r="CM79" s="23">
        <f>EXP(-LN(2)/2)*CM78+(1-EXP(-LN(2)/2))/(LN(2)/2)*CG79*CJ79*VLOOKUP('Données projet'!$B$12,Paramètres!$A$1:$I$89,3,0)*0.475*44/12</f>
        <v>9.4844936546246307E-7</v>
      </c>
      <c r="CN79" s="24">
        <f t="shared" si="66"/>
        <v>0.68400841943297375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3</v>
      </c>
      <c r="CT79" s="13">
        <f>IF('Données projet'!$A$140&gt;35,CT78+CS79-DB78,IF(A79&lt;'Données projet'!$A$140,$CQ$205^A79,IF(A79='Données projet'!$A$140,'Données projet'!$B$140,CT78+CS79-DB78)))</f>
        <v>272.99999999999983</v>
      </c>
      <c r="CU79" s="18">
        <f>CT79*VLOOKUP('Données projet'!$B$13,Paramètres!$A$1:$I$89,3,0)*VLOOKUP('Données projet'!$B$13,Paramètres!$A$1:$I$89,5,0)</f>
        <v>217.19879999999986</v>
      </c>
      <c r="CV79" s="14">
        <f t="shared" si="95"/>
        <v>53.505605420483995</v>
      </c>
      <c r="CW79" s="22">
        <f t="shared" si="67"/>
        <v>471.47683944067597</v>
      </c>
      <c r="CX79" s="62">
        <f t="shared" si="68"/>
        <v>764.81017277400929</v>
      </c>
      <c r="CY79" s="62">
        <f ca="1">AVERAGE(OFFSET($CX$3,0,0,'Données projet'!$E$13+1,1))-AVERAGE(OFFSET($H$3,0,0,'Données projet'!$E$13+1,1))</f>
        <v>312.53381881960331</v>
      </c>
      <c r="CZ79" s="62">
        <f t="shared" si="96"/>
        <v>342.06887933351783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5.9</v>
      </c>
      <c r="DO79" s="13">
        <f>IF('Données projet'!$A$166&gt;35,DO78+DN79-DW78,IF(A79&lt;'Données projet'!$A$166,$DL$205^A79,IF(A79='Données projet'!$A$166,'Données projet'!$B$166,DO78+DN79-DW78)))</f>
        <v>236.89999999999986</v>
      </c>
      <c r="DP79" s="18">
        <f>DO79*VLOOKUP('Données projet'!$B$14,Paramètres!$A$1:$I$89,3,0)*VLOOKUP('Données projet'!$B$14,Paramètres!$A$1:$I$89,5,0)</f>
        <v>254.99915999999985</v>
      </c>
      <c r="DQ79" s="14">
        <f t="shared" si="97"/>
        <v>61.655199053016801</v>
      </c>
      <c r="DR79" s="22">
        <f t="shared" si="70"/>
        <v>551.50634201733726</v>
      </c>
      <c r="DS79" s="62">
        <f t="shared" si="71"/>
        <v>844.83967535067063</v>
      </c>
      <c r="DT79" s="62">
        <f ca="1">AVERAGE(OFFSET($DS$3,0,0,'Données projet'!$E$14+1,1))-AVERAGE(OFFSET($H$3,0,0,'Données projet'!$E$14+1,1))</f>
        <v>503.92230226365683</v>
      </c>
      <c r="DU79" s="62">
        <f t="shared" si="98"/>
        <v>267.2998309535638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5.9</v>
      </c>
      <c r="EJ79" s="13">
        <f>IF('Données projet'!$A$192&gt;35,EJ78+EI79-ER78,IF(A79&lt;'Données projet'!$A$192,$EG$205^A79,IF(A79='Données projet'!$A$192,'Données projet'!$B$192,EJ78+EI79-ER78)))</f>
        <v>236.89999999999986</v>
      </c>
      <c r="EK79" s="18">
        <f>EJ79*VLOOKUP('Données projet'!$B$15,Paramètres!$A$1:$I$89,3,0)*VLOOKUP('Données projet'!$B$15,Paramètres!$A$1:$I$89,5,0)</f>
        <v>229.12967999999987</v>
      </c>
      <c r="EL79" s="14">
        <f t="shared" si="99"/>
        <v>56.094456497146638</v>
      </c>
      <c r="EM79" s="22">
        <f t="shared" si="73"/>
        <v>496.76537106586352</v>
      </c>
      <c r="EN79" s="62">
        <f t="shared" si="74"/>
        <v>790.09870439919678</v>
      </c>
      <c r="EO79" s="62">
        <f ca="1">AVERAGE(OFFSET($EN$3,0,0,'Données projet'!$E$15+1,1))-AVERAGE(OFFSET($H$3,0,0,'Données projet'!$E$15+1,1))</f>
        <v>457.16923206840744</v>
      </c>
      <c r="EP79" s="62">
        <f t="shared" si="100"/>
        <v>244.45149244446094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5.8</v>
      </c>
      <c r="FE79" s="13">
        <f>IF('Données projet'!$A$218&gt;35,FE78+FD79-FM78,IF(A79&lt;'Données projet'!$A$218,$FB$205^A79,IF(A79='Données projet'!$A$218,'Données projet'!$B$218,FE78+FD79-FM78)))</f>
        <v>341.80000000000024</v>
      </c>
      <c r="FF79" s="18">
        <f>FE79*VLOOKUP('Données projet'!$B$16,Paramètres!$A$1:$I$89,3,0)*VLOOKUP('Données projet'!$B$16,Paramètres!$A$1:$I$89,5,0)</f>
        <v>229.27944000000016</v>
      </c>
      <c r="FG79" s="14">
        <f t="shared" si="101"/>
        <v>56.126851171438666</v>
      </c>
      <c r="FH79" s="22">
        <f t="shared" si="76"/>
        <v>497.08262379025592</v>
      </c>
      <c r="FI79" s="62">
        <f t="shared" si="77"/>
        <v>790.41595712358924</v>
      </c>
      <c r="FJ79" s="62">
        <f ca="1">AVERAGE(OFFSET($FI$3,0,0,'Données projet'!$E$16+1,1))-AVERAGE(OFFSET($H$3,0,0,'Données projet'!$E$16+1,1))</f>
        <v>385.97853124853452</v>
      </c>
      <c r="FK79" s="62">
        <f t="shared" si="102"/>
        <v>300.99118099739695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132.280299502248</v>
      </c>
      <c r="T80" s="62">
        <f t="shared" si="88"/>
        <v>337.98099449405339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24.699731321274232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1.5516668964683993E-7</v>
      </c>
      <c r="AC80" s="24">
        <f t="shared" si="57"/>
        <v>24.69973147644092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5.9</v>
      </c>
      <c r="AI80" s="14">
        <f>IF('Données projet'!$A$62&gt;35,AI79+AH80-AQ79,IF(A80&lt;'Données projet'!$A$62,$AF$205^A80,IF(A80='Données projet'!$A$62,'Données projet'!$B$62,AI79+AH80-AQ79)))</f>
        <v>242.79999999999987</v>
      </c>
      <c r="AJ80" s="14">
        <f>AI80*VLOOKUP('Données projet'!$B$10,Paramètres!$A$1:$I$89,3,0)*VLOOKUP('Données projet'!$B$10,Paramètres!$A$1:$I$89,5,0)</f>
        <v>219.68543999999989</v>
      </c>
      <c r="AK80" s="14">
        <f t="shared" si="89"/>
        <v>54.046511966469559</v>
      </c>
      <c r="AL80" s="22">
        <f t="shared" si="58"/>
        <v>476.74981634160099</v>
      </c>
      <c r="AM80" s="62">
        <f t="shared" si="59"/>
        <v>770.08314967493425</v>
      </c>
      <c r="AN80" s="62">
        <f ca="1">AVERAGE(OFFSET($AM$3,0,0,'Données projet'!$E$10+1,1))-AVERAGE(OFFSET($H$3,0,0,'Données projet'!$E$10+1,1))</f>
        <v>430.40491895612814</v>
      </c>
      <c r="AO80" s="62">
        <f t="shared" si="90"/>
        <v>231.36959598460686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9</v>
      </c>
      <c r="BD80" s="13">
        <f>IF('Données projet'!$A$88&gt;35,BD79+BC80-BL79,IF(A80&lt;'Données projet'!$A$88,$BA$205^A80,IF(A80='Données projet'!$A$88,'Données projet'!$B$88,BD79+BC80-BL79)))</f>
        <v>433.00000000000011</v>
      </c>
      <c r="BE80" s="14">
        <f>BD80*VLOOKUP('Données projet'!$B$11,Paramètres!$A$1:$I$89,3,0)*VLOOKUP('Données projet'!$B$11,Paramètres!$A$1:$I$89,5,0)</f>
        <v>258.93400000000008</v>
      </c>
      <c r="BF80" s="14">
        <f t="shared" si="91"/>
        <v>62.495095530116075</v>
      </c>
      <c r="BG80" s="22">
        <f t="shared" si="61"/>
        <v>559.82234138161891</v>
      </c>
      <c r="BH80" s="62">
        <f t="shared" si="62"/>
        <v>853.15567471495228</v>
      </c>
      <c r="BI80" s="62">
        <f ca="1">AVERAGE(OFFSET($BH$3,0,0,'Données projet'!$E$11+1,1))-AVERAGE(OFFSET($H$3,0,0,'Données projet'!$E$11+1,1))</f>
        <v>295.83974441964551</v>
      </c>
      <c r="BJ80" s="62">
        <f t="shared" si="92"/>
        <v>212.24900914818096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5.625</v>
      </c>
      <c r="BY80" s="13">
        <f>IF('Données projet'!$A$114&gt;35,BY79+BX80-CG79,IF(A80&lt;'Données projet'!$A$114,$BV$205^A80,IF(A80='Données projet'!$A$114,'Données projet'!$B$114,BY79+BX80-CG79)))</f>
        <v>415.87499999999994</v>
      </c>
      <c r="BZ80" s="14">
        <f>BY80*VLOOKUP('Données projet'!$B$12,Paramètres!$A$1:$I$89,3,0)*VLOOKUP('Données projet'!$B$12,Paramètres!$A$1:$I$89,5,0)</f>
        <v>237.88049999999998</v>
      </c>
      <c r="CA80" s="14">
        <f t="shared" si="93"/>
        <v>57.983274573421546</v>
      </c>
      <c r="CB80" s="22">
        <f t="shared" si="64"/>
        <v>515.2960740487091</v>
      </c>
      <c r="CC80" s="62">
        <f t="shared" si="65"/>
        <v>808.62940738204247</v>
      </c>
      <c r="CD80" s="62">
        <f ca="1">AVERAGE(OFFSET($CC$3,0,0,'Données projet'!$E$12+1,1))-AVERAGE(OFFSET($H$3,0,0,'Données projet'!$E$12+1,1))</f>
        <v>309.71642374647882</v>
      </c>
      <c r="CE80" s="62">
        <f t="shared" si="94"/>
        <v>266.63880397664315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0.66530325071917196</v>
      </c>
      <c r="CM80" s="23">
        <f>EXP(-LN(2)/2)*CM79+(1-EXP(-LN(2)/2))/(LN(2)/2)*CG80*CJ80*VLOOKUP('Données projet'!$B$12,Paramètres!$A$1:$I$89,3,0)*0.475*44/12</f>
        <v>6.706549779305858E-7</v>
      </c>
      <c r="CN80" s="24">
        <f t="shared" si="66"/>
        <v>0.66530392137414984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3</v>
      </c>
      <c r="CT80" s="13">
        <f>IF('Données projet'!$A$140&gt;35,CT79+CS80-DB79,IF(A80&lt;'Données projet'!$A$140,$CQ$205^A80,IF(A80='Données projet'!$A$140,'Données projet'!$B$140,CT79+CS80-DB79)))</f>
        <v>275.99999999999983</v>
      </c>
      <c r="CU80" s="18">
        <f>CT80*VLOOKUP('Données projet'!$B$13,Paramètres!$A$1:$I$89,3,0)*VLOOKUP('Données projet'!$B$13,Paramètres!$A$1:$I$89,5,0)</f>
        <v>219.58559999999986</v>
      </c>
      <c r="CV80" s="14">
        <f t="shared" si="95"/>
        <v>54.024808047218499</v>
      </c>
      <c r="CW80" s="22">
        <f t="shared" si="67"/>
        <v>476.53812734890533</v>
      </c>
      <c r="CX80" s="62">
        <f t="shared" si="68"/>
        <v>769.87146068223865</v>
      </c>
      <c r="CY80" s="62">
        <f ca="1">AVERAGE(OFFSET($CX$3,0,0,'Données projet'!$E$13+1,1))-AVERAGE(OFFSET($H$3,0,0,'Données projet'!$E$13+1,1))</f>
        <v>312.53381881960331</v>
      </c>
      <c r="CZ80" s="62">
        <f t="shared" si="96"/>
        <v>342.06887933351783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5.9</v>
      </c>
      <c r="DO80" s="13">
        <f>IF('Données projet'!$A$166&gt;35,DO79+DN80-DW79,IF(A80&lt;'Données projet'!$A$166,$DL$205^A80,IF(A80='Données projet'!$A$166,'Données projet'!$B$166,DO79+DN80-DW79)))</f>
        <v>242.79999999999987</v>
      </c>
      <c r="DP80" s="18">
        <f>DO80*VLOOKUP('Données projet'!$B$14,Paramètres!$A$1:$I$89,3,0)*VLOOKUP('Données projet'!$B$14,Paramètres!$A$1:$I$89,5,0)</f>
        <v>261.34991999999983</v>
      </c>
      <c r="DQ80" s="14">
        <f t="shared" si="97"/>
        <v>63.010039566000117</v>
      </c>
      <c r="DR80" s="22">
        <f t="shared" si="70"/>
        <v>564.92692957744987</v>
      </c>
      <c r="DS80" s="62">
        <f t="shared" si="71"/>
        <v>858.26026291078324</v>
      </c>
      <c r="DT80" s="62">
        <f ca="1">AVERAGE(OFFSET($DS$3,0,0,'Données projet'!$E$14+1,1))-AVERAGE(OFFSET($H$3,0,0,'Données projet'!$E$14+1,1))</f>
        <v>503.92230226365683</v>
      </c>
      <c r="DU80" s="62">
        <f t="shared" si="98"/>
        <v>267.2998309535638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5.9</v>
      </c>
      <c r="EJ80" s="13">
        <f>IF('Données projet'!$A$192&gt;35,EJ79+EI80-ER79,IF(A80&lt;'Données projet'!$A$192,$EG$205^A80,IF(A80='Données projet'!$A$192,'Données projet'!$B$192,EJ79+EI80-ER79)))</f>
        <v>242.79999999999987</v>
      </c>
      <c r="EK80" s="18">
        <f>EJ80*VLOOKUP('Données projet'!$B$15,Paramètres!$A$1:$I$89,3,0)*VLOOKUP('Données projet'!$B$15,Paramètres!$A$1:$I$89,5,0)</f>
        <v>234.83615999999986</v>
      </c>
      <c r="EL80" s="14">
        <f t="shared" si="99"/>
        <v>57.327102622427432</v>
      </c>
      <c r="EM80" s="22">
        <f t="shared" si="73"/>
        <v>508.85101573406081</v>
      </c>
      <c r="EN80" s="62">
        <f t="shared" si="74"/>
        <v>802.18434906739412</v>
      </c>
      <c r="EO80" s="62">
        <f ca="1">AVERAGE(OFFSET($EN$3,0,0,'Données projet'!$E$15+1,1))-AVERAGE(OFFSET($H$3,0,0,'Données projet'!$E$15+1,1))</f>
        <v>457.16923206840744</v>
      </c>
      <c r="EP80" s="62">
        <f t="shared" si="100"/>
        <v>244.45149244446094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5.8</v>
      </c>
      <c r="FE80" s="13">
        <f>IF('Données projet'!$A$218&gt;35,FE79+FD80-FM79,IF(A80&lt;'Données projet'!$A$218,$FB$205^A80,IF(A80='Données projet'!$A$218,'Données projet'!$B$218,FE79+FD80-FM79)))</f>
        <v>347.60000000000025</v>
      </c>
      <c r="FF80" s="18">
        <f>FE80*VLOOKUP('Données projet'!$B$16,Paramètres!$A$1:$I$89,3,0)*VLOOKUP('Données projet'!$B$16,Paramètres!$A$1:$I$89,5,0)</f>
        <v>233.17008000000015</v>
      </c>
      <c r="FG80" s="14">
        <f t="shared" si="101"/>
        <v>56.96757990100474</v>
      </c>
      <c r="FH80" s="22">
        <f t="shared" si="76"/>
        <v>505.32309099425015</v>
      </c>
      <c r="FI80" s="62">
        <f t="shared" si="77"/>
        <v>798.65642432758341</v>
      </c>
      <c r="FJ80" s="62">
        <f ca="1">AVERAGE(OFFSET($FI$3,0,0,'Données projet'!$E$16+1,1))-AVERAGE(OFFSET($H$3,0,0,'Données projet'!$E$16+1,1))</f>
        <v>385.97853124853452</v>
      </c>
      <c r="FK80" s="62">
        <f t="shared" si="102"/>
        <v>300.99118099739695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132.280299502248</v>
      </c>
      <c r="T81" s="62">
        <f t="shared" si="88"/>
        <v>337.98099449405339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24.215384655412571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1.0971941846354897E-7</v>
      </c>
      <c r="AC81" s="24">
        <f t="shared" si="57"/>
        <v>24.21538476513199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5.9</v>
      </c>
      <c r="AI81" s="14">
        <f>IF('Données projet'!$A$62&gt;35,AI80+AH81-AQ80,IF(A81&lt;'Données projet'!$A$62,$AF$205^A81,IF(A81='Données projet'!$A$62,'Données projet'!$B$62,AI80+AH81-AQ80)))</f>
        <v>248.69999999999987</v>
      </c>
      <c r="AJ81" s="14">
        <f>AI81*VLOOKUP('Données projet'!$B$10,Paramètres!$A$1:$I$89,3,0)*VLOOKUP('Données projet'!$B$10,Paramètres!$A$1:$I$89,5,0)</f>
        <v>225.0237599999999</v>
      </c>
      <c r="AK81" s="14">
        <f t="shared" si="89"/>
        <v>55.205336184590408</v>
      </c>
      <c r="AL81" s="22">
        <f t="shared" si="58"/>
        <v>488.06567585482804</v>
      </c>
      <c r="AM81" s="62">
        <f t="shared" si="59"/>
        <v>781.39900918816136</v>
      </c>
      <c r="AN81" s="62">
        <f ca="1">AVERAGE(OFFSET($AM$3,0,0,'Données projet'!$E$10+1,1))-AVERAGE(OFFSET($H$3,0,0,'Données projet'!$E$10+1,1))</f>
        <v>430.40491895612814</v>
      </c>
      <c r="AO81" s="62">
        <f t="shared" si="90"/>
        <v>231.36959598460686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9</v>
      </c>
      <c r="BD81" s="13">
        <f>IF('Données projet'!$A$88&gt;35,BD80+BC81-BL80,IF(A81&lt;'Données projet'!$A$88,$BA$205^A81,IF(A81='Données projet'!$A$88,'Données projet'!$B$88,BD80+BC81-BL80)))</f>
        <v>442.00000000000011</v>
      </c>
      <c r="BE81" s="14">
        <f>BD81*VLOOKUP('Données projet'!$B$11,Paramètres!$A$1:$I$89,3,0)*VLOOKUP('Données projet'!$B$11,Paramètres!$A$1:$I$89,5,0)</f>
        <v>264.31600000000009</v>
      </c>
      <c r="BF81" s="14">
        <f t="shared" si="91"/>
        <v>63.641491358279801</v>
      </c>
      <c r="BG81" s="22">
        <f t="shared" si="61"/>
        <v>571.19263078233746</v>
      </c>
      <c r="BH81" s="62">
        <f t="shared" si="62"/>
        <v>864.52596411567083</v>
      </c>
      <c r="BI81" s="62">
        <f ca="1">AVERAGE(OFFSET($BH$3,0,0,'Données projet'!$E$11+1,1))-AVERAGE(OFFSET($H$3,0,0,'Données projet'!$E$11+1,1))</f>
        <v>295.83974441964551</v>
      </c>
      <c r="BJ81" s="62">
        <f t="shared" si="92"/>
        <v>212.24900914818096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5.625</v>
      </c>
      <c r="BY81" s="13">
        <f>IF('Données projet'!$A$114&gt;35,BY80+BX81-CG80,IF(A81&lt;'Données projet'!$A$114,$BV$205^A81,IF(A81='Données projet'!$A$114,'Données projet'!$B$114,BY80+BX81-CG80)))</f>
        <v>421.49999999999994</v>
      </c>
      <c r="BZ81" s="14">
        <f>BY81*VLOOKUP('Données projet'!$B$12,Paramètres!$A$1:$I$89,3,0)*VLOOKUP('Données projet'!$B$12,Paramètres!$A$1:$I$89,5,0)</f>
        <v>241.09799999999998</v>
      </c>
      <c r="CA81" s="14">
        <f t="shared" si="93"/>
        <v>58.675707735379945</v>
      </c>
      <c r="CB81" s="22">
        <f t="shared" si="64"/>
        <v>522.10587430578664</v>
      </c>
      <c r="CC81" s="62">
        <f t="shared" si="65"/>
        <v>815.43920763912001</v>
      </c>
      <c r="CD81" s="62">
        <f ca="1">AVERAGE(OFFSET($CC$3,0,0,'Données projet'!$E$12+1,1))-AVERAGE(OFFSET($H$3,0,0,'Données projet'!$E$12+1,1))</f>
        <v>309.71642374647882</v>
      </c>
      <c r="CE81" s="62">
        <f t="shared" si="94"/>
        <v>266.63880397664315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0.64711049834147882</v>
      </c>
      <c r="CM81" s="23">
        <f>EXP(-LN(2)/2)*CM80+(1-EXP(-LN(2)/2))/(LN(2)/2)*CG81*CJ81*VLOOKUP('Données projet'!$B$12,Paramètres!$A$1:$I$89,3,0)*0.475*44/12</f>
        <v>4.7422468273123164E-7</v>
      </c>
      <c r="CN81" s="24">
        <f t="shared" si="66"/>
        <v>0.64711097256616157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3</v>
      </c>
      <c r="CT81" s="13">
        <f>IF('Données projet'!$A$140&gt;35,CT80+CS81-DB80,IF(A81&lt;'Données projet'!$A$140,$CQ$205^A81,IF(A81='Données projet'!$A$140,'Données projet'!$B$140,CT80+CS81-DB80)))</f>
        <v>278.99999999999983</v>
      </c>
      <c r="CU81" s="18">
        <f>CT81*VLOOKUP('Données projet'!$B$13,Paramètres!$A$1:$I$89,3,0)*VLOOKUP('Données projet'!$B$13,Paramètres!$A$1:$I$89,5,0)</f>
        <v>221.97239999999985</v>
      </c>
      <c r="CV81" s="14">
        <f t="shared" si="95"/>
        <v>54.543354171476771</v>
      </c>
      <c r="CW81" s="22">
        <f t="shared" si="67"/>
        <v>481.59827184865503</v>
      </c>
      <c r="CX81" s="62">
        <f t="shared" si="68"/>
        <v>774.93160518198829</v>
      </c>
      <c r="CY81" s="62">
        <f ca="1">AVERAGE(OFFSET($CX$3,0,0,'Données projet'!$E$13+1,1))-AVERAGE(OFFSET($H$3,0,0,'Données projet'!$E$13+1,1))</f>
        <v>312.53381881960331</v>
      </c>
      <c r="CZ81" s="62">
        <f t="shared" si="96"/>
        <v>342.06887933351783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5.9</v>
      </c>
      <c r="DO81" s="13">
        <f>IF('Données projet'!$A$166&gt;35,DO80+DN81-DW80,IF(A81&lt;'Données projet'!$A$166,$DL$205^A81,IF(A81='Données projet'!$A$166,'Données projet'!$B$166,DO80+DN81-DW80)))</f>
        <v>248.69999999999987</v>
      </c>
      <c r="DP81" s="18">
        <f>DO81*VLOOKUP('Données projet'!$B$14,Paramètres!$A$1:$I$89,3,0)*VLOOKUP('Données projet'!$B$14,Paramètres!$A$1:$I$89,5,0)</f>
        <v>267.70067999999986</v>
      </c>
      <c r="DQ81" s="14">
        <f t="shared" si="97"/>
        <v>64.361052927956521</v>
      </c>
      <c r="DR81" s="22">
        <f t="shared" si="70"/>
        <v>578.34085151619058</v>
      </c>
      <c r="DS81" s="62">
        <f t="shared" si="71"/>
        <v>871.67418484952395</v>
      </c>
      <c r="DT81" s="62">
        <f ca="1">AVERAGE(OFFSET($DS$3,0,0,'Données projet'!$E$14+1,1))-AVERAGE(OFFSET($H$3,0,0,'Données projet'!$E$14+1,1))</f>
        <v>503.92230226365683</v>
      </c>
      <c r="DU81" s="62">
        <f t="shared" si="98"/>
        <v>267.2998309535638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5.9</v>
      </c>
      <c r="EJ81" s="13">
        <f>IF('Données projet'!$A$192&gt;35,EJ80+EI81-ER80,IF(A81&lt;'Données projet'!$A$192,$EG$205^A81,IF(A81='Données projet'!$A$192,'Données projet'!$B$192,EJ80+EI81-ER80)))</f>
        <v>248.69999999999987</v>
      </c>
      <c r="EK81" s="18">
        <f>EJ81*VLOOKUP('Données projet'!$B$15,Paramètres!$A$1:$I$89,3,0)*VLOOKUP('Données projet'!$B$15,Paramètres!$A$1:$I$89,5,0)</f>
        <v>240.54263999999989</v>
      </c>
      <c r="EL81" s="14">
        <f t="shared" si="99"/>
        <v>58.556266771166264</v>
      </c>
      <c r="EM81" s="22">
        <f t="shared" si="73"/>
        <v>520.93059595978104</v>
      </c>
      <c r="EN81" s="62">
        <f t="shared" si="74"/>
        <v>814.26392929311442</v>
      </c>
      <c r="EO81" s="62">
        <f ca="1">AVERAGE(OFFSET($EN$3,0,0,'Données projet'!$E$15+1,1))-AVERAGE(OFFSET($H$3,0,0,'Données projet'!$E$15+1,1))</f>
        <v>457.16923206840744</v>
      </c>
      <c r="EP81" s="62">
        <f t="shared" si="100"/>
        <v>244.45149244446094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5.8</v>
      </c>
      <c r="FE81" s="13">
        <f>IF('Données projet'!$A$218&gt;35,FE80+FD81-FM80,IF(A81&lt;'Données projet'!$A$218,$FB$205^A81,IF(A81='Données projet'!$A$218,'Données projet'!$B$218,FE80+FD81-FM80)))</f>
        <v>353.40000000000026</v>
      </c>
      <c r="FF81" s="18">
        <f>FE81*VLOOKUP('Données projet'!$B$16,Paramètres!$A$1:$I$89,3,0)*VLOOKUP('Données projet'!$B$16,Paramètres!$A$1:$I$89,5,0)</f>
        <v>237.06072000000017</v>
      </c>
      <c r="FG81" s="14">
        <f t="shared" si="101"/>
        <v>57.806677244615685</v>
      </c>
      <c r="FH81" s="22">
        <f t="shared" si="76"/>
        <v>513.56071686770599</v>
      </c>
      <c r="FI81" s="62">
        <f t="shared" si="77"/>
        <v>806.89405020103936</v>
      </c>
      <c r="FJ81" s="62">
        <f ca="1">AVERAGE(OFFSET($FI$3,0,0,'Données projet'!$E$16+1,1))-AVERAGE(OFFSET($H$3,0,0,'Données projet'!$E$16+1,1))</f>
        <v>385.97853124853452</v>
      </c>
      <c r="FK81" s="62">
        <f t="shared" si="102"/>
        <v>300.99118099739695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132.280299502248</v>
      </c>
      <c r="T82" s="62">
        <f t="shared" si="88"/>
        <v>337.98099449405339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23.740535732246162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7.7583344823419963E-8</v>
      </c>
      <c r="AC82" s="24">
        <f t="shared" si="57"/>
        <v>23.740535809829506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5.9</v>
      </c>
      <c r="AI82" s="14">
        <f>IF('Données projet'!$A$62&gt;35,AI81+AH82-AQ81,IF(A82&lt;'Données projet'!$A$62,$AF$205^A82,IF(A82='Données projet'!$A$62,'Données projet'!$B$62,AI81+AH82-AQ81)))</f>
        <v>254.59999999999988</v>
      </c>
      <c r="AJ82" s="14">
        <f>AI82*VLOOKUP('Données projet'!$B$10,Paramètres!$A$1:$I$89,3,0)*VLOOKUP('Données projet'!$B$10,Paramètres!$A$1:$I$89,5,0)</f>
        <v>230.36207999999988</v>
      </c>
      <c r="AK82" s="14">
        <f t="shared" si="89"/>
        <v>56.360964523671768</v>
      </c>
      <c r="AL82" s="22">
        <f t="shared" si="58"/>
        <v>499.37596921206153</v>
      </c>
      <c r="AM82" s="62">
        <f t="shared" si="59"/>
        <v>792.70930254539485</v>
      </c>
      <c r="AN82" s="62">
        <f ca="1">AVERAGE(OFFSET($AM$3,0,0,'Données projet'!$E$10+1,1))-AVERAGE(OFFSET($H$3,0,0,'Données projet'!$E$10+1,1))</f>
        <v>430.40491895612814</v>
      </c>
      <c r="AO82" s="62">
        <f t="shared" si="90"/>
        <v>231.36959598460686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9</v>
      </c>
      <c r="BD82" s="13">
        <f>IF('Données projet'!$A$88&gt;35,BD81+BC82-BL81,IF(A82&lt;'Données projet'!$A$88,$BA$205^A82,IF(A82='Données projet'!$A$88,'Données projet'!$B$88,BD81+BC82-BL81)))</f>
        <v>451.00000000000011</v>
      </c>
      <c r="BE82" s="14">
        <f>BD82*VLOOKUP('Données projet'!$B$11,Paramètres!$A$1:$I$89,3,0)*VLOOKUP('Données projet'!$B$11,Paramètres!$A$1:$I$89,5,0)</f>
        <v>269.69800000000009</v>
      </c>
      <c r="BF82" s="14">
        <f t="shared" si="91"/>
        <v>64.785173091884289</v>
      </c>
      <c r="BG82" s="22">
        <f t="shared" si="61"/>
        <v>582.55819313503196</v>
      </c>
      <c r="BH82" s="62">
        <f t="shared" si="62"/>
        <v>875.89152646836533</v>
      </c>
      <c r="BI82" s="62">
        <f ca="1">AVERAGE(OFFSET($BH$3,0,0,'Données projet'!$E$11+1,1))-AVERAGE(OFFSET($H$3,0,0,'Données projet'!$E$11+1,1))</f>
        <v>295.83974441964551</v>
      </c>
      <c r="BJ82" s="62">
        <f t="shared" si="92"/>
        <v>212.24900914818096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5.625</v>
      </c>
      <c r="BY82" s="13">
        <f>IF('Données projet'!$A$114&gt;35,BY81+BX82-CG81,IF(A82&lt;'Données projet'!$A$114,$BV$205^A82,IF(A82='Données projet'!$A$114,'Données projet'!$B$114,BY81+BX82-CG81)))</f>
        <v>427.12499999999994</v>
      </c>
      <c r="BZ82" s="14">
        <f>BY82*VLOOKUP('Données projet'!$B$12,Paramètres!$A$1:$I$89,3,0)*VLOOKUP('Données projet'!$B$12,Paramètres!$A$1:$I$89,5,0)</f>
        <v>244.31549999999999</v>
      </c>
      <c r="CA82" s="14">
        <f t="shared" si="93"/>
        <v>59.36706608622147</v>
      </c>
      <c r="CB82" s="22">
        <f t="shared" si="64"/>
        <v>528.91380260016911</v>
      </c>
      <c r="CC82" s="62">
        <f t="shared" si="65"/>
        <v>822.24713593350248</v>
      </c>
      <c r="CD82" s="62">
        <f ca="1">AVERAGE(OFFSET($CC$3,0,0,'Données projet'!$E$12+1,1))-AVERAGE(OFFSET($H$3,0,0,'Données projet'!$E$12+1,1))</f>
        <v>309.71642374647882</v>
      </c>
      <c r="CE82" s="62">
        <f t="shared" si="94"/>
        <v>266.63880397664315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0.62941522773426894</v>
      </c>
      <c r="CM82" s="23">
        <f>EXP(-LN(2)/2)*CM81+(1-EXP(-LN(2)/2))/(LN(2)/2)*CG82*CJ82*VLOOKUP('Données projet'!$B$12,Paramètres!$A$1:$I$89,3,0)*0.475*44/12</f>
        <v>3.3532748896529295E-7</v>
      </c>
      <c r="CN82" s="24">
        <f t="shared" si="66"/>
        <v>0.62941556306175794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3</v>
      </c>
      <c r="CT82" s="13">
        <f>IF('Données projet'!$A$140&gt;35,CT81+CS82-DB81,IF(A82&lt;'Données projet'!$A$140,$CQ$205^A82,IF(A82='Données projet'!$A$140,'Données projet'!$B$140,CT81+CS82-DB81)))</f>
        <v>281.99999999999983</v>
      </c>
      <c r="CU82" s="18">
        <f>CT82*VLOOKUP('Données projet'!$B$13,Paramètres!$A$1:$I$89,3,0)*VLOOKUP('Données projet'!$B$13,Paramètres!$A$1:$I$89,5,0)</f>
        <v>224.35919999999987</v>
      </c>
      <c r="CV82" s="14">
        <f t="shared" si="95"/>
        <v>55.061251669487255</v>
      </c>
      <c r="CW82" s="22">
        <f t="shared" si="67"/>
        <v>486.65728665769001</v>
      </c>
      <c r="CX82" s="62">
        <f t="shared" si="68"/>
        <v>779.99061999102332</v>
      </c>
      <c r="CY82" s="62">
        <f ca="1">AVERAGE(OFFSET($CX$3,0,0,'Données projet'!$E$13+1,1))-AVERAGE(OFFSET($H$3,0,0,'Données projet'!$E$13+1,1))</f>
        <v>312.53381881960331</v>
      </c>
      <c r="CZ82" s="62">
        <f t="shared" si="96"/>
        <v>342.06887933351783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5.9</v>
      </c>
      <c r="DO82" s="13">
        <f>IF('Données projet'!$A$166&gt;35,DO81+DN82-DW81,IF(A82&lt;'Données projet'!$A$166,$DL$205^A82,IF(A82='Données projet'!$A$166,'Données projet'!$B$166,DO81+DN82-DW81)))</f>
        <v>254.59999999999988</v>
      </c>
      <c r="DP82" s="18">
        <f>DO82*VLOOKUP('Données projet'!$B$14,Paramètres!$A$1:$I$89,3,0)*VLOOKUP('Données projet'!$B$14,Paramètres!$A$1:$I$89,5,0)</f>
        <v>274.05143999999984</v>
      </c>
      <c r="DQ82" s="14">
        <f t="shared" si="97"/>
        <v>65.70834037944428</v>
      </c>
      <c r="DR82" s="22">
        <f t="shared" si="70"/>
        <v>591.74828416086518</v>
      </c>
      <c r="DS82" s="62">
        <f t="shared" si="71"/>
        <v>885.08161749419855</v>
      </c>
      <c r="DT82" s="62">
        <f ca="1">AVERAGE(OFFSET($DS$3,0,0,'Données projet'!$E$14+1,1))-AVERAGE(OFFSET($H$3,0,0,'Données projet'!$E$14+1,1))</f>
        <v>503.92230226365683</v>
      </c>
      <c r="DU82" s="62">
        <f t="shared" si="98"/>
        <v>267.2998309535638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5.9</v>
      </c>
      <c r="EJ82" s="13">
        <f>IF('Données projet'!$A$192&gt;35,EJ81+EI82-ER81,IF(A82&lt;'Données projet'!$A$192,$EG$205^A82,IF(A82='Données projet'!$A$192,'Données projet'!$B$192,EJ81+EI82-ER81)))</f>
        <v>254.59999999999988</v>
      </c>
      <c r="EK82" s="18">
        <f>EJ82*VLOOKUP('Données projet'!$B$15,Paramètres!$A$1:$I$89,3,0)*VLOOKUP('Données projet'!$B$15,Paramètres!$A$1:$I$89,5,0)</f>
        <v>246.24911999999989</v>
      </c>
      <c r="EL82" s="14">
        <f t="shared" si="99"/>
        <v>59.782041052936805</v>
      </c>
      <c r="EM82" s="22">
        <f t="shared" si="73"/>
        <v>533.00427216719811</v>
      </c>
      <c r="EN82" s="62">
        <f t="shared" si="74"/>
        <v>826.33760550053148</v>
      </c>
      <c r="EO82" s="62">
        <f ca="1">AVERAGE(OFFSET($EN$3,0,0,'Données projet'!$E$15+1,1))-AVERAGE(OFFSET($H$3,0,0,'Données projet'!$E$15+1,1))</f>
        <v>457.16923206840744</v>
      </c>
      <c r="EP82" s="62">
        <f t="shared" si="100"/>
        <v>244.45149244446094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5.8</v>
      </c>
      <c r="FE82" s="13">
        <f>IF('Données projet'!$A$218&gt;35,FE81+FD82-FM81,IF(A82&lt;'Données projet'!$A$218,$FB$205^A82,IF(A82='Données projet'!$A$218,'Données projet'!$B$218,FE81+FD82-FM81)))</f>
        <v>359.20000000000027</v>
      </c>
      <c r="FF82" s="18">
        <f>FE82*VLOOKUP('Données projet'!$B$16,Paramètres!$A$1:$I$89,3,0)*VLOOKUP('Données projet'!$B$16,Paramètres!$A$1:$I$89,5,0)</f>
        <v>240.95136000000016</v>
      </c>
      <c r="FG82" s="14">
        <f t="shared" si="101"/>
        <v>58.644173067271389</v>
      </c>
      <c r="FH82" s="22">
        <f t="shared" si="76"/>
        <v>521.79555342549793</v>
      </c>
      <c r="FI82" s="62">
        <f t="shared" si="77"/>
        <v>815.12888675883119</v>
      </c>
      <c r="FJ82" s="62">
        <f ca="1">AVERAGE(OFFSET($FI$3,0,0,'Données projet'!$E$16+1,1))-AVERAGE(OFFSET($H$3,0,0,'Données projet'!$E$16+1,1))</f>
        <v>385.97853124853452</v>
      </c>
      <c r="FK82" s="62">
        <f t="shared" si="102"/>
        <v>300.99118099739695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132.280299502248</v>
      </c>
      <c r="T83" s="62">
        <f t="shared" si="88"/>
        <v>337.98099449405339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23.274998306833801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5.4859709231774485E-8</v>
      </c>
      <c r="AC83" s="24">
        <f t="shared" si="57"/>
        <v>23.274998361693509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5.9</v>
      </c>
      <c r="AI83" s="14">
        <f>IF('Données projet'!$A$62&gt;35,AI82+AH83-AQ82,IF(A83&lt;'Données projet'!$A$62,$AF$205^A83,IF(A83='Données projet'!$A$62,'Données projet'!$B$62,AI82+AH83-AQ82)))</f>
        <v>260.49999999999989</v>
      </c>
      <c r="AJ83" s="14">
        <f>AI83*VLOOKUP('Données projet'!$B$10,Paramètres!$A$1:$I$89,3,0)*VLOOKUP('Données projet'!$B$10,Paramètres!$A$1:$I$89,5,0)</f>
        <v>235.70039999999989</v>
      </c>
      <c r="AK83" s="14">
        <f t="shared" si="89"/>
        <v>57.513479567871634</v>
      </c>
      <c r="AL83" s="22">
        <f t="shared" si="58"/>
        <v>510.68084024737624</v>
      </c>
      <c r="AM83" s="62">
        <f t="shared" si="59"/>
        <v>804.01417358070955</v>
      </c>
      <c r="AN83" s="62">
        <f ca="1">AVERAGE(OFFSET($AM$3,0,0,'Données projet'!$E$10+1,1))-AVERAGE(OFFSET($H$3,0,0,'Données projet'!$E$10+1,1))</f>
        <v>430.40491895612814</v>
      </c>
      <c r="AO83" s="62">
        <f t="shared" si="90"/>
        <v>231.36959598460686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460</v>
      </c>
      <c r="BB83" s="13">
        <f>VLOOKUP(A83,'Données projet'!$A$87:$I$107,9,0)</f>
        <v>9</v>
      </c>
      <c r="BC83" s="13">
        <f t="array" ref="BC83">INDEX(BB:BB,MIN(IF(ISNUMBER(BB83:BB279),ROW(BB83:BB279),"")))</f>
        <v>9</v>
      </c>
      <c r="BD83" s="13">
        <f>IF('Données projet'!$A$88&gt;35,BD82+BC83-BL82,IF(A83&lt;'Données projet'!$A$88,$BA$205^A83,IF(A83='Données projet'!$A$88,'Données projet'!$B$88,BD82+BC83-BL82)))</f>
        <v>460.00000000000011</v>
      </c>
      <c r="BE83" s="14">
        <f>BD83*VLOOKUP('Données projet'!$B$11,Paramètres!$A$1:$I$89,3,0)*VLOOKUP('Données projet'!$B$11,Paramètres!$A$1:$I$89,5,0)</f>
        <v>275.0800000000001</v>
      </c>
      <c r="BF83" s="14">
        <f t="shared" si="91"/>
        <v>65.926201134783341</v>
      </c>
      <c r="BG83" s="22">
        <f t="shared" si="61"/>
        <v>593.91913364308118</v>
      </c>
      <c r="BH83" s="62">
        <f t="shared" si="62"/>
        <v>887.25246697641455</v>
      </c>
      <c r="BI83" s="62">
        <f ca="1">AVERAGE(OFFSET($BH$3,0,0,'Données projet'!$E$11+1,1))-AVERAGE(OFFSET($H$3,0,0,'Données projet'!$E$11+1,1))</f>
        <v>295.83974441964551</v>
      </c>
      <c r="BJ83" s="62">
        <f t="shared" si="92"/>
        <v>212.24900914818096</v>
      </c>
      <c r="BK83" s="16">
        <f>IF(ISNA(VLOOKUP(A83,'Données projet'!$A$87:$I$107,3,0)),0,VLOOKUP(A83,'Données projet'!$A$87:$I$107,3,0))</f>
        <v>8</v>
      </c>
      <c r="BL83" s="23">
        <f>IF(ISNA(VLOOKUP(A83,'Données projet'!$A$87:$I$107,4,0)),0,VLOOKUP(A83,'Données projet'!$A$87:$I$107,4,0))</f>
        <v>460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5.625</v>
      </c>
      <c r="BY83" s="13">
        <f>IF('Données projet'!$A$114&gt;35,BY82+BX83-CG82,IF(A83&lt;'Données projet'!$A$114,$BV$205^A83,IF(A83='Données projet'!$A$114,'Données projet'!$B$114,BY82+BX83-CG82)))</f>
        <v>432.74999999999994</v>
      </c>
      <c r="BZ83" s="14">
        <f>BY83*VLOOKUP('Données projet'!$B$12,Paramètres!$A$1:$I$89,3,0)*VLOOKUP('Données projet'!$B$12,Paramètres!$A$1:$I$89,5,0)</f>
        <v>247.53299999999996</v>
      </c>
      <c r="CA83" s="14">
        <f t="shared" si="93"/>
        <v>60.057365417030148</v>
      </c>
      <c r="CB83" s="22">
        <f t="shared" si="64"/>
        <v>535.71988643466068</v>
      </c>
      <c r="CC83" s="62">
        <f t="shared" si="65"/>
        <v>829.05321976799405</v>
      </c>
      <c r="CD83" s="62">
        <f ca="1">AVERAGE(OFFSET($CC$3,0,0,'Données projet'!$E$12+1,1))-AVERAGE(OFFSET($H$3,0,0,'Données projet'!$E$12+1,1))</f>
        <v>309.71642374647882</v>
      </c>
      <c r="CE83" s="62">
        <f t="shared" si="94"/>
        <v>266.63880397664315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0.6122038352323671</v>
      </c>
      <c r="CM83" s="23">
        <f>EXP(-LN(2)/2)*CM82+(1-EXP(-LN(2)/2))/(LN(2)/2)*CG83*CJ83*VLOOKUP('Données projet'!$B$12,Paramètres!$A$1:$I$89,3,0)*0.475*44/12</f>
        <v>2.3711234136561585E-7</v>
      </c>
      <c r="CN83" s="24">
        <f t="shared" si="66"/>
        <v>0.61220407234470842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285</v>
      </c>
      <c r="CR83" s="13">
        <f>VLOOKUP(A83,'Données projet'!$A$139:$I$159,9,0)</f>
        <v>3</v>
      </c>
      <c r="CS83" s="13">
        <f t="array" ref="CS83">INDEX(CR:CR,MIN(IF(ISNUMBER(CR83:CR279),ROW(CR83:CR279),"")))</f>
        <v>3</v>
      </c>
      <c r="CT83" s="13">
        <f>IF('Données projet'!$A$140&gt;35,CT82+CS83-DB82,IF(A83&lt;'Données projet'!$A$140,$CQ$205^A83,IF(A83='Données projet'!$A$140,'Données projet'!$B$140,CT82+CS83-DB82)))</f>
        <v>284.99999999999983</v>
      </c>
      <c r="CU83" s="18">
        <f>CT83*VLOOKUP('Données projet'!$B$13,Paramètres!$A$1:$I$89,3,0)*VLOOKUP('Données projet'!$B$13,Paramètres!$A$1:$I$89,5,0)</f>
        <v>226.74599999999987</v>
      </c>
      <c r="CV83" s="14">
        <f t="shared" si="95"/>
        <v>55.578508240245917</v>
      </c>
      <c r="CW83" s="22">
        <f t="shared" si="67"/>
        <v>491.71518518509475</v>
      </c>
      <c r="CX83" s="62">
        <f t="shared" si="68"/>
        <v>785.04851851842807</v>
      </c>
      <c r="CY83" s="62">
        <f ca="1">AVERAGE(OFFSET($CX$3,0,0,'Données projet'!$E$13+1,1))-AVERAGE(OFFSET($H$3,0,0,'Données projet'!$E$13+1,1))</f>
        <v>312.53381881960331</v>
      </c>
      <c r="CZ83" s="62">
        <f t="shared" si="96"/>
        <v>342.06887933351783</v>
      </c>
      <c r="DA83" s="16">
        <f>IF(ISNA(VLOOKUP(A83,'Données projet'!$A$139:$I$159,3,0)),0,VLOOKUP(A83,'Données projet'!$A$139:$I$159,3,0))</f>
        <v>7</v>
      </c>
      <c r="DB83" s="16">
        <f>IF(ISNA(VLOOKUP(A83,'Données projet'!$A$139:$I$159,4,0)),0,VLOOKUP(A83,'Données projet'!$A$139:$I$159,4,0))</f>
        <v>285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5.9</v>
      </c>
      <c r="DO83" s="13">
        <f>IF('Données projet'!$A$166&gt;35,DO82+DN83-DW82,IF(A83&lt;'Données projet'!$A$166,$DL$205^A83,IF(A83='Données projet'!$A$166,'Données projet'!$B$166,DO82+DN83-DW82)))</f>
        <v>260.49999999999989</v>
      </c>
      <c r="DP83" s="18">
        <f>DO83*VLOOKUP('Données projet'!$B$14,Paramètres!$A$1:$I$89,3,0)*VLOOKUP('Données projet'!$B$14,Paramètres!$A$1:$I$89,5,0)</f>
        <v>280.40219999999988</v>
      </c>
      <c r="DQ83" s="14">
        <f t="shared" si="97"/>
        <v>67.051998201071953</v>
      </c>
      <c r="DR83" s="22">
        <f t="shared" si="70"/>
        <v>605.14939520020005</v>
      </c>
      <c r="DS83" s="62">
        <f t="shared" si="71"/>
        <v>898.48272853353342</v>
      </c>
      <c r="DT83" s="62">
        <f ca="1">AVERAGE(OFFSET($DS$3,0,0,'Données projet'!$E$14+1,1))-AVERAGE(OFFSET($H$3,0,0,'Données projet'!$E$14+1,1))</f>
        <v>503.92230226365683</v>
      </c>
      <c r="DU83" s="62">
        <f t="shared" si="98"/>
        <v>267.2998309535638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5.9</v>
      </c>
      <c r="EJ83" s="13">
        <f>IF('Données projet'!$A$192&gt;35,EJ82+EI83-ER82,IF(A83&lt;'Données projet'!$A$192,$EG$205^A83,IF(A83='Données projet'!$A$192,'Données projet'!$B$192,EJ82+EI83-ER82)))</f>
        <v>260.49999999999989</v>
      </c>
      <c r="EK83" s="18">
        <f>EJ83*VLOOKUP('Données projet'!$B$15,Paramètres!$A$1:$I$89,3,0)*VLOOKUP('Données projet'!$B$15,Paramètres!$A$1:$I$89,5,0)</f>
        <v>251.95559999999992</v>
      </c>
      <c r="EL83" s="14">
        <f t="shared" si="99"/>
        <v>61.00451306470562</v>
      </c>
      <c r="EM83" s="22">
        <f t="shared" si="73"/>
        <v>545.07219692102865</v>
      </c>
      <c r="EN83" s="62">
        <f t="shared" si="74"/>
        <v>838.40553025436202</v>
      </c>
      <c r="EO83" s="62">
        <f ca="1">AVERAGE(OFFSET($EN$3,0,0,'Données projet'!$E$15+1,1))-AVERAGE(OFFSET($H$3,0,0,'Données projet'!$E$15+1,1))</f>
        <v>457.16923206840744</v>
      </c>
      <c r="EP83" s="62">
        <f t="shared" si="100"/>
        <v>244.45149244446094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365</v>
      </c>
      <c r="FC83" s="13">
        <f>VLOOKUP(A83,'Données projet'!$A$217:$I$237,9,0)</f>
        <v>5.8</v>
      </c>
      <c r="FD83" s="13">
        <f t="array" ref="FD83">INDEX(FC:FC,MIN(IF(ISNUMBER(FC83:FC279),ROW(FC83:FC279),"")))</f>
        <v>5.8</v>
      </c>
      <c r="FE83" s="13">
        <f>IF('Données projet'!$A$218&gt;35,FE82+FD83-FM82,IF(A83&lt;'Données projet'!$A$218,$FB$205^A83,IF(A83='Données projet'!$A$218,'Données projet'!$B$218,FE82+FD83-FM82)))</f>
        <v>365.00000000000028</v>
      </c>
      <c r="FF83" s="18">
        <f>FE83*VLOOKUP('Données projet'!$B$16,Paramètres!$A$1:$I$89,3,0)*VLOOKUP('Données projet'!$B$16,Paramètres!$A$1:$I$89,5,0)</f>
        <v>244.84200000000021</v>
      </c>
      <c r="FG83" s="14">
        <f t="shared" si="101"/>
        <v>59.480096214206306</v>
      </c>
      <c r="FH83" s="22">
        <f t="shared" si="76"/>
        <v>530.02765090640958</v>
      </c>
      <c r="FI83" s="62">
        <f t="shared" si="77"/>
        <v>823.36098423974295</v>
      </c>
      <c r="FJ83" s="62">
        <f ca="1">AVERAGE(OFFSET($FI$3,0,0,'Données projet'!$E$16+1,1))-AVERAGE(OFFSET($H$3,0,0,'Données projet'!$E$16+1,1))</f>
        <v>385.97853124853452</v>
      </c>
      <c r="FK83" s="62">
        <f t="shared" si="102"/>
        <v>300.99118099739695</v>
      </c>
      <c r="FL83" s="16">
        <f>IF(ISNA(VLOOKUP(A83,'Données projet'!$A$217:$I$237,3,0)),0,VLOOKUP(A83,'Données projet'!$A$217:$I$237,3,0))</f>
        <v>7</v>
      </c>
      <c r="FM83" s="16">
        <f>IF(ISNA(VLOOKUP(A83,'Données projet'!$A$217:$I$237,4,0)),0,VLOOKUP(A83,'Données projet'!$A$217:$I$237,4,0))</f>
        <v>35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132.280299502248</v>
      </c>
      <c r="T84" s="62">
        <f t="shared" si="88"/>
        <v>337.98099449405339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22.818589786383985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3.8791672411709981E-8</v>
      </c>
      <c r="AC84" s="24">
        <f t="shared" si="57"/>
        <v>22.818589825175657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5.9</v>
      </c>
      <c r="AI84" s="14">
        <f>IF('Données projet'!$A$62&gt;35,AI83+AH84-AQ83,IF(A84&lt;'Données projet'!$A$62,$AF$205^A84,IF(A84='Données projet'!$A$62,'Données projet'!$B$62,AI83+AH84-AQ83)))</f>
        <v>266.39999999999986</v>
      </c>
      <c r="AJ84" s="14">
        <f>AI84*VLOOKUP('Données projet'!$B$10,Paramètres!$A$1:$I$89,3,0)*VLOOKUP('Données projet'!$B$10,Paramètres!$A$1:$I$89,5,0)</f>
        <v>241.03871999999987</v>
      </c>
      <c r="AK84" s="14">
        <f t="shared" si="89"/>
        <v>58.66295994697046</v>
      </c>
      <c r="AL84" s="22">
        <f t="shared" si="58"/>
        <v>521.98042590763998</v>
      </c>
      <c r="AM84" s="62">
        <f t="shared" si="59"/>
        <v>815.31375924097324</v>
      </c>
      <c r="AN84" s="62">
        <f ca="1">AVERAGE(OFFSET($AM$3,0,0,'Données projet'!$E$10+1,1))-AVERAGE(OFFSET($H$3,0,0,'Données projet'!$E$10+1,1))</f>
        <v>430.40491895612814</v>
      </c>
      <c r="AO84" s="62">
        <f t="shared" si="90"/>
        <v>231.36959598460686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1.1368683772161603E-13</v>
      </c>
      <c r="BE84" s="14">
        <f>BD84*VLOOKUP('Données projet'!$B$11,Paramètres!$A$1:$I$89,3,0)*VLOOKUP('Données projet'!$B$11,Paramètres!$A$1:$I$89,5,0)</f>
        <v>6.7984728957526396E-14</v>
      </c>
      <c r="BF84" s="14">
        <f t="shared" si="91"/>
        <v>1.0682447123141398E-12</v>
      </c>
      <c r="BG84" s="22">
        <f t="shared" si="61"/>
        <v>1.978932943548152E-12</v>
      </c>
      <c r="BH84" s="62">
        <f t="shared" si="62"/>
        <v>293.3333333333353</v>
      </c>
      <c r="BI84" s="62">
        <f ca="1">AVERAGE(OFFSET($BH$3,0,0,'Données projet'!$E$11+1,1))-AVERAGE(OFFSET($H$3,0,0,'Données projet'!$E$11+1,1))</f>
        <v>295.83974441964551</v>
      </c>
      <c r="BJ84" s="62">
        <f t="shared" si="92"/>
        <v>212.24900914818096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5.625</v>
      </c>
      <c r="BY84" s="13">
        <f>IF('Données projet'!$A$114&gt;35,BY83+BX84-CG83,IF(A84&lt;'Données projet'!$A$114,$BV$205^A84,IF(A84='Données projet'!$A$114,'Données projet'!$B$114,BY83+BX84-CG83)))</f>
        <v>438.37499999999994</v>
      </c>
      <c r="BZ84" s="14">
        <f>BY84*VLOOKUP('Données projet'!$B$12,Paramètres!$A$1:$I$89,3,0)*VLOOKUP('Données projet'!$B$12,Paramètres!$A$1:$I$89,5,0)</f>
        <v>250.75049999999996</v>
      </c>
      <c r="CA84" s="14">
        <f t="shared" si="93"/>
        <v>60.746621084776628</v>
      </c>
      <c r="CB84" s="22">
        <f t="shared" si="64"/>
        <v>542.52415255598589</v>
      </c>
      <c r="CC84" s="62">
        <f t="shared" si="65"/>
        <v>835.85748588931915</v>
      </c>
      <c r="CD84" s="62">
        <f ca="1">AVERAGE(OFFSET($CC$3,0,0,'Données projet'!$E$12+1,1))-AVERAGE(OFFSET($H$3,0,0,'Données projet'!$E$12+1,1))</f>
        <v>309.71642374647882</v>
      </c>
      <c r="CE84" s="62">
        <f t="shared" si="94"/>
        <v>266.63880397664315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0.59546308916353752</v>
      </c>
      <c r="CM84" s="23">
        <f>EXP(-LN(2)/2)*CM83+(1-EXP(-LN(2)/2))/(LN(2)/2)*CG84*CJ84*VLOOKUP('Données projet'!$B$12,Paramètres!$A$1:$I$89,3,0)*0.475*44/12</f>
        <v>1.676637444826465E-7</v>
      </c>
      <c r="CN84" s="24">
        <f t="shared" si="66"/>
        <v>0.59546325682728196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-1.7053025658242404E-13</v>
      </c>
      <c r="CU84" s="18">
        <f>CT84*VLOOKUP('Données projet'!$B$13,Paramètres!$A$1:$I$89,3,0)*VLOOKUP('Données projet'!$B$13,Paramètres!$A$1:$I$89,5,0)</f>
        <v>-1.3567387213697657E-13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312.53381881960331</v>
      </c>
      <c r="CZ84" s="62">
        <f t="shared" si="96"/>
        <v>342.06887933351783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5.9</v>
      </c>
      <c r="DO84" s="13">
        <f>IF('Données projet'!$A$166&gt;35,DO83+DN84-DW83,IF(A84&lt;'Données projet'!$A$166,$DL$205^A84,IF(A84='Données projet'!$A$166,'Données projet'!$B$166,DO83+DN84-DW83)))</f>
        <v>266.39999999999986</v>
      </c>
      <c r="DP84" s="18">
        <f>DO84*VLOOKUP('Données projet'!$B$14,Paramètres!$A$1:$I$89,3,0)*VLOOKUP('Données projet'!$B$14,Paramètres!$A$1:$I$89,5,0)</f>
        <v>286.75295999999986</v>
      </c>
      <c r="DQ84" s="14">
        <f t="shared" si="97"/>
        <v>68.392118063243558</v>
      </c>
      <c r="DR84" s="22">
        <f t="shared" si="70"/>
        <v>618.54434429348237</v>
      </c>
      <c r="DS84" s="62">
        <f t="shared" si="71"/>
        <v>911.87767762681574</v>
      </c>
      <c r="DT84" s="62">
        <f ca="1">AVERAGE(OFFSET($DS$3,0,0,'Données projet'!$E$14+1,1))-AVERAGE(OFFSET($H$3,0,0,'Données projet'!$E$14+1,1))</f>
        <v>503.92230226365683</v>
      </c>
      <c r="DU84" s="62">
        <f t="shared" si="98"/>
        <v>267.2998309535638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5.9</v>
      </c>
      <c r="EJ84" s="13">
        <f>IF('Données projet'!$A$192&gt;35,EJ83+EI84-ER83,IF(A84&lt;'Données projet'!$A$192,$EG$205^A84,IF(A84='Données projet'!$A$192,'Données projet'!$B$192,EJ83+EI84-ER83)))</f>
        <v>266.39999999999986</v>
      </c>
      <c r="EK84" s="18">
        <f>EJ84*VLOOKUP('Données projet'!$B$15,Paramètres!$A$1:$I$89,3,0)*VLOOKUP('Données projet'!$B$15,Paramètres!$A$1:$I$89,5,0)</f>
        <v>257.66207999999989</v>
      </c>
      <c r="EL84" s="14">
        <f t="shared" si="99"/>
        <v>62.223766209033421</v>
      </c>
      <c r="EM84" s="22">
        <f t="shared" si="73"/>
        <v>557.13451548073306</v>
      </c>
      <c r="EN84" s="62">
        <f t="shared" si="74"/>
        <v>850.46784881406643</v>
      </c>
      <c r="EO84" s="62">
        <f ca="1">AVERAGE(OFFSET($EN$3,0,0,'Données projet'!$E$15+1,1))-AVERAGE(OFFSET($H$3,0,0,'Données projet'!$E$15+1,1))</f>
        <v>457.16923206840744</v>
      </c>
      <c r="EP84" s="62">
        <f t="shared" si="100"/>
        <v>244.45149244446094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5.6</v>
      </c>
      <c r="FE84" s="13">
        <f>IF('Données projet'!$A$218&gt;35,FE83+FD84-FM83,IF(A84&lt;'Données projet'!$A$218,$FB$205^A84,IF(A84='Données projet'!$A$218,'Données projet'!$B$218,FE83+FD84-FM83)))</f>
        <v>335.60000000000031</v>
      </c>
      <c r="FF84" s="18">
        <f>FE84*VLOOKUP('Données projet'!$B$16,Paramètres!$A$1:$I$89,3,0)*VLOOKUP('Données projet'!$B$16,Paramètres!$A$1:$I$89,5,0)</f>
        <v>225.12048000000021</v>
      </c>
      <c r="FG84" s="14">
        <f t="shared" si="101"/>
        <v>55.226302099278378</v>
      </c>
      <c r="FH84" s="22">
        <f t="shared" si="76"/>
        <v>488.27064548957691</v>
      </c>
      <c r="FI84" s="62">
        <f t="shared" si="77"/>
        <v>781.60397882291022</v>
      </c>
      <c r="FJ84" s="62">
        <f ca="1">AVERAGE(OFFSET($FI$3,0,0,'Données projet'!$E$16+1,1))-AVERAGE(OFFSET($H$3,0,0,'Données projet'!$E$16+1,1))</f>
        <v>385.97853124853452</v>
      </c>
      <c r="FK84" s="62">
        <f t="shared" si="102"/>
        <v>300.99118099739695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132.280299502248</v>
      </c>
      <c r="T85" s="62">
        <f t="shared" si="88"/>
        <v>337.98099449405339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22.37113115863848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2.7429854615887243E-8</v>
      </c>
      <c r="AC85" s="24">
        <f t="shared" si="57"/>
        <v>22.371131186068336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5.9</v>
      </c>
      <c r="AI85" s="14">
        <f>IF('Données projet'!$A$62&gt;35,AI84+AH85-AQ84,IF(A85&lt;'Données projet'!$A$62,$AF$205^A85,IF(A85='Données projet'!$A$62,'Données projet'!$B$62,AI84+AH85-AQ84)))</f>
        <v>272.29999999999984</v>
      </c>
      <c r="AJ85" s="14">
        <f>AI85*VLOOKUP('Données projet'!$B$10,Paramètres!$A$1:$I$89,3,0)*VLOOKUP('Données projet'!$B$10,Paramètres!$A$1:$I$89,5,0)</f>
        <v>246.37703999999982</v>
      </c>
      <c r="AK85" s="14">
        <f t="shared" si="89"/>
        <v>59.809480609038189</v>
      </c>
      <c r="AL85" s="22">
        <f t="shared" si="58"/>
        <v>533.27485672740784</v>
      </c>
      <c r="AM85" s="62">
        <f t="shared" si="59"/>
        <v>826.60819006074121</v>
      </c>
      <c r="AN85" s="62">
        <f ca="1">AVERAGE(OFFSET($AM$3,0,0,'Données projet'!$E$10+1,1))-AVERAGE(OFFSET($H$3,0,0,'Données projet'!$E$10+1,1))</f>
        <v>430.40491895612814</v>
      </c>
      <c r="AO85" s="62">
        <f t="shared" si="90"/>
        <v>231.36959598460686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1.1368683772161603E-13</v>
      </c>
      <c r="BE85" s="14">
        <f>BD85*VLOOKUP('Données projet'!$B$11,Paramètres!$A$1:$I$89,3,0)*VLOOKUP('Données projet'!$B$11,Paramètres!$A$1:$I$89,5,0)</f>
        <v>6.7984728957526396E-14</v>
      </c>
      <c r="BF85" s="14">
        <f t="shared" si="91"/>
        <v>1.0682447123141398E-12</v>
      </c>
      <c r="BG85" s="22">
        <f t="shared" si="61"/>
        <v>1.978932943548152E-12</v>
      </c>
      <c r="BH85" s="62">
        <f t="shared" si="62"/>
        <v>293.3333333333353</v>
      </c>
      <c r="BI85" s="62">
        <f ca="1">AVERAGE(OFFSET($BH$3,0,0,'Données projet'!$E$11+1,1))-AVERAGE(OFFSET($H$3,0,0,'Données projet'!$E$11+1,1))</f>
        <v>295.83974441964551</v>
      </c>
      <c r="BJ85" s="62">
        <f t="shared" si="92"/>
        <v>212.24900914818096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>
        <f>VLOOKUP(A85,'Données projet'!$A$113:$I$133,2,0)</f>
        <v>444</v>
      </c>
      <c r="BW85" s="13">
        <f>VLOOKUP(A85,'Données projet'!$A$113:$I$133,9,0)</f>
        <v>5.625</v>
      </c>
      <c r="BX85" s="13">
        <f t="array" ref="BX85">INDEX(BW:BW,MIN(IF(ISNUMBER(BW85:BW281),ROW(BW85:BW281),"")))</f>
        <v>5.625</v>
      </c>
      <c r="BY85" s="13">
        <f>IF('Données projet'!$A$114&gt;35,BY84+BX85-CG84,IF(A85&lt;'Données projet'!$A$114,$BV$205^A85,IF(A85='Données projet'!$A$114,'Données projet'!$B$114,BY84+BX85-CG84)))</f>
        <v>443.99999999999994</v>
      </c>
      <c r="BZ85" s="14">
        <f>BY85*VLOOKUP('Données projet'!$B$12,Paramètres!$A$1:$I$89,3,0)*VLOOKUP('Données projet'!$B$12,Paramètres!$A$1:$I$89,5,0)</f>
        <v>253.96799999999999</v>
      </c>
      <c r="CA85" s="14">
        <f t="shared" si="93"/>
        <v>61.434848029666512</v>
      </c>
      <c r="CB85" s="22">
        <f t="shared" si="64"/>
        <v>549.32662698500246</v>
      </c>
      <c r="CC85" s="62">
        <f t="shared" si="65"/>
        <v>842.65996031833583</v>
      </c>
      <c r="CD85" s="62">
        <f ca="1">AVERAGE(OFFSET($CC$3,0,0,'Données projet'!$E$12+1,1))-AVERAGE(OFFSET($H$3,0,0,'Données projet'!$E$12+1,1))</f>
        <v>309.71642374647882</v>
      </c>
      <c r="CE85" s="62">
        <f t="shared" si="94"/>
        <v>266.63880397664315</v>
      </c>
      <c r="CF85" s="16">
        <f>IF(ISNA(VLOOKUP(A85,'Données projet'!$A$113:$I$133,3,0)),0,VLOOKUP(A85,'Données projet'!$A$113:$I$133,3,0))</f>
        <v>11</v>
      </c>
      <c r="CG85" s="16">
        <f>IF(ISNA(VLOOKUP(A85,'Données projet'!$A$113:$I$133,4,0)),0,VLOOKUP(A85,'Données projet'!$A$113:$I$133,4,0))</f>
        <v>444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0.57918011967631766</v>
      </c>
      <c r="CM85" s="23">
        <f>EXP(-LN(2)/2)*CM84+(1-EXP(-LN(2)/2))/(LN(2)/2)*CG85*CJ85*VLOOKUP('Données projet'!$B$12,Paramètres!$A$1:$I$89,3,0)*0.475*44/12</f>
        <v>1.1855617068280794E-7</v>
      </c>
      <c r="CN85" s="24">
        <f t="shared" si="66"/>
        <v>0.57918023823248832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-1.7053025658242404E-13</v>
      </c>
      <c r="CU85" s="18">
        <f>CT85*VLOOKUP('Données projet'!$B$13,Paramètres!$A$1:$I$89,3,0)*VLOOKUP('Données projet'!$B$13,Paramètres!$A$1:$I$89,5,0)</f>
        <v>-1.3567387213697657E-13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312.53381881960331</v>
      </c>
      <c r="CZ85" s="62">
        <f t="shared" si="96"/>
        <v>342.06887933351783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5.9</v>
      </c>
      <c r="DO85" s="13">
        <f>IF('Données projet'!$A$166&gt;35,DO84+DN85-DW84,IF(A85&lt;'Données projet'!$A$166,$DL$205^A85,IF(A85='Données projet'!$A$166,'Données projet'!$B$166,DO84+DN85-DW84)))</f>
        <v>272.29999999999984</v>
      </c>
      <c r="DP85" s="18">
        <f>DO85*VLOOKUP('Données projet'!$B$14,Paramètres!$A$1:$I$89,3,0)*VLOOKUP('Données projet'!$B$14,Paramètres!$A$1:$I$89,5,0)</f>
        <v>293.10371999999984</v>
      </c>
      <c r="DQ85" s="14">
        <f t="shared" si="97"/>
        <v>69.728787344046424</v>
      </c>
      <c r="DR85" s="22">
        <f t="shared" si="70"/>
        <v>631.9332836242138</v>
      </c>
      <c r="DS85" s="62">
        <f t="shared" si="71"/>
        <v>925.26661695754706</v>
      </c>
      <c r="DT85" s="62">
        <f ca="1">AVERAGE(OFFSET($DS$3,0,0,'Données projet'!$E$14+1,1))-AVERAGE(OFFSET($H$3,0,0,'Données projet'!$E$14+1,1))</f>
        <v>503.92230226365683</v>
      </c>
      <c r="DU85" s="62">
        <f t="shared" si="98"/>
        <v>267.2998309535638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5.9</v>
      </c>
      <c r="EJ85" s="13">
        <f>IF('Données projet'!$A$192&gt;35,EJ84+EI85-ER84,IF(A85&lt;'Données projet'!$A$192,$EG$205^A85,IF(A85='Données projet'!$A$192,'Données projet'!$B$192,EJ84+EI85-ER84)))</f>
        <v>272.29999999999984</v>
      </c>
      <c r="EK85" s="18">
        <f>EJ85*VLOOKUP('Données projet'!$B$15,Paramètres!$A$1:$I$89,3,0)*VLOOKUP('Données projet'!$B$15,Paramètres!$A$1:$I$89,5,0)</f>
        <v>263.36855999999989</v>
      </c>
      <c r="EL85" s="14">
        <f t="shared" si="99"/>
        <v>63.439879983292599</v>
      </c>
      <c r="EM85" s="22">
        <f t="shared" si="73"/>
        <v>569.19136630423441</v>
      </c>
      <c r="EN85" s="62">
        <f t="shared" si="74"/>
        <v>862.52469963756766</v>
      </c>
      <c r="EO85" s="62">
        <f ca="1">AVERAGE(OFFSET($EN$3,0,0,'Données projet'!$E$15+1,1))-AVERAGE(OFFSET($H$3,0,0,'Données projet'!$E$15+1,1))</f>
        <v>457.16923206840744</v>
      </c>
      <c r="EP85" s="62">
        <f t="shared" si="100"/>
        <v>244.45149244446094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5.6</v>
      </c>
      <c r="FE85" s="13">
        <f>IF('Données projet'!$A$218&gt;35,FE84+FD85-FM84,IF(A85&lt;'Données projet'!$A$218,$FB$205^A85,IF(A85='Données projet'!$A$218,'Données projet'!$B$218,FE84+FD85-FM84)))</f>
        <v>341.20000000000033</v>
      </c>
      <c r="FF85" s="18">
        <f>FE85*VLOOKUP('Données projet'!$B$16,Paramètres!$A$1:$I$89,3,0)*VLOOKUP('Données projet'!$B$16,Paramètres!$A$1:$I$89,5,0)</f>
        <v>228.87696000000025</v>
      </c>
      <c r="FG85" s="14">
        <f t="shared" si="101"/>
        <v>56.039784894527038</v>
      </c>
      <c r="FH85" s="22">
        <f t="shared" si="76"/>
        <v>496.22999735796839</v>
      </c>
      <c r="FI85" s="62">
        <f t="shared" si="77"/>
        <v>789.56333069130164</v>
      </c>
      <c r="FJ85" s="62">
        <f ca="1">AVERAGE(OFFSET($FI$3,0,0,'Données projet'!$E$16+1,1))-AVERAGE(OFFSET($H$3,0,0,'Données projet'!$E$16+1,1))</f>
        <v>385.97853124853452</v>
      </c>
      <c r="FK85" s="62">
        <f t="shared" si="102"/>
        <v>300.99118099739695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132.280299502248</v>
      </c>
      <c r="T86" s="62">
        <f t="shared" si="88"/>
        <v>337.98099449405339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21.932446921660251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1.9395836205854991E-8</v>
      </c>
      <c r="AC86" s="24">
        <f t="shared" si="57"/>
        <v>21.932446941056089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5.9</v>
      </c>
      <c r="AI86" s="14">
        <f>IF('Données projet'!$A$62&gt;35,AI85+AH86-AQ85,IF(A86&lt;'Données projet'!$A$62,$AF$205^A86,IF(A86='Données projet'!$A$62,'Données projet'!$B$62,AI85+AH86-AQ85)))</f>
        <v>278.19999999999982</v>
      </c>
      <c r="AJ86" s="14">
        <f>AI86*VLOOKUP('Données projet'!$B$10,Paramètres!$A$1:$I$89,3,0)*VLOOKUP('Données projet'!$B$10,Paramètres!$A$1:$I$89,5,0)</f>
        <v>251.71535999999983</v>
      </c>
      <c r="AK86" s="14">
        <f t="shared" si="89"/>
        <v>60.953113068801812</v>
      </c>
      <c r="AL86" s="22">
        <f t="shared" si="58"/>
        <v>544.5642572614961</v>
      </c>
      <c r="AM86" s="62">
        <f t="shared" si="59"/>
        <v>837.89759059482935</v>
      </c>
      <c r="AN86" s="62">
        <f ca="1">AVERAGE(OFFSET($AM$3,0,0,'Données projet'!$E$10+1,1))-AVERAGE(OFFSET($H$3,0,0,'Données projet'!$E$10+1,1))</f>
        <v>430.40491895612814</v>
      </c>
      <c r="AO86" s="62">
        <f t="shared" si="90"/>
        <v>231.36959598460686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1.1368683772161603E-13</v>
      </c>
      <c r="BE86" s="14">
        <f>BD86*VLOOKUP('Données projet'!$B$11,Paramètres!$A$1:$I$89,3,0)*VLOOKUP('Données projet'!$B$11,Paramètres!$A$1:$I$89,5,0)</f>
        <v>6.7984728957526396E-14</v>
      </c>
      <c r="BF86" s="14">
        <f t="shared" si="91"/>
        <v>1.0682447123141398E-12</v>
      </c>
      <c r="BG86" s="22">
        <f t="shared" si="61"/>
        <v>1.978932943548152E-12</v>
      </c>
      <c r="BH86" s="62">
        <f t="shared" si="62"/>
        <v>293.3333333333353</v>
      </c>
      <c r="BI86" s="62">
        <f ca="1">AVERAGE(OFFSET($BH$3,0,0,'Données projet'!$E$11+1,1))-AVERAGE(OFFSET($H$3,0,0,'Données projet'!$E$11+1,1))</f>
        <v>295.83974441964551</v>
      </c>
      <c r="BJ86" s="62">
        <f t="shared" si="92"/>
        <v>212.24900914818096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-5.6843418860808015E-14</v>
      </c>
      <c r="BZ86" s="14">
        <f>BY86*VLOOKUP('Données projet'!$B$12,Paramètres!$A$1:$I$89,3,0)*VLOOKUP('Données projet'!$B$12,Paramètres!$A$1:$I$89,5,0)</f>
        <v>-3.2514435588382188E-14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309.71642374647882</v>
      </c>
      <c r="CE86" s="62">
        <f t="shared" si="94"/>
        <v>266.63880397664315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0.56334240884600995</v>
      </c>
      <c r="CM86" s="23">
        <f>EXP(-LN(2)/2)*CM85+(1-EXP(-LN(2)/2))/(LN(2)/2)*CG86*CJ86*VLOOKUP('Données projet'!$B$12,Paramètres!$A$1:$I$89,3,0)*0.475*44/12</f>
        <v>8.3831872241323265E-8</v>
      </c>
      <c r="CN86" s="24">
        <f t="shared" si="66"/>
        <v>0.56334249267788217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-1.7053025658242404E-13</v>
      </c>
      <c r="CU86" s="18">
        <f>CT86*VLOOKUP('Données projet'!$B$13,Paramètres!$A$1:$I$89,3,0)*VLOOKUP('Données projet'!$B$13,Paramètres!$A$1:$I$89,5,0)</f>
        <v>-1.3567387213697657E-13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312.53381881960331</v>
      </c>
      <c r="CZ86" s="62">
        <f t="shared" si="96"/>
        <v>342.06887933351783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5.9</v>
      </c>
      <c r="DO86" s="13">
        <f>IF('Données projet'!$A$166&gt;35,DO85+DN86-DW85,IF(A86&lt;'Données projet'!$A$166,$DL$205^A86,IF(A86='Données projet'!$A$166,'Données projet'!$B$166,DO85+DN86-DW85)))</f>
        <v>278.19999999999982</v>
      </c>
      <c r="DP86" s="18">
        <f>DO86*VLOOKUP('Données projet'!$B$14,Paramètres!$A$1:$I$89,3,0)*VLOOKUP('Données projet'!$B$14,Paramètres!$A$1:$I$89,5,0)</f>
        <v>299.45447999999976</v>
      </c>
      <c r="DQ86" s="14">
        <f t="shared" si="97"/>
        <v>71.062089418810686</v>
      </c>
      <c r="DR86" s="22">
        <f t="shared" si="70"/>
        <v>645.31635840442812</v>
      </c>
      <c r="DS86" s="62">
        <f t="shared" si="71"/>
        <v>938.64969173776149</v>
      </c>
      <c r="DT86" s="62">
        <f ca="1">AVERAGE(OFFSET($DS$3,0,0,'Données projet'!$E$14+1,1))-AVERAGE(OFFSET($H$3,0,0,'Données projet'!$E$14+1,1))</f>
        <v>503.92230226365683</v>
      </c>
      <c r="DU86" s="62">
        <f t="shared" si="98"/>
        <v>267.2998309535638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5.9</v>
      </c>
      <c r="EJ86" s="13">
        <f>IF('Données projet'!$A$192&gt;35,EJ85+EI86-ER85,IF(A86&lt;'Données projet'!$A$192,$EG$205^A86,IF(A86='Données projet'!$A$192,'Données projet'!$B$192,EJ85+EI86-ER85)))</f>
        <v>278.19999999999982</v>
      </c>
      <c r="EK86" s="18">
        <f>EJ86*VLOOKUP('Données projet'!$B$15,Paramètres!$A$1:$I$89,3,0)*VLOOKUP('Données projet'!$B$15,Paramètres!$A$1:$I$89,5,0)</f>
        <v>269.07503999999983</v>
      </c>
      <c r="EL86" s="14">
        <f t="shared" si="99"/>
        <v>64.652930243111086</v>
      </c>
      <c r="EM86" s="22">
        <f t="shared" si="73"/>
        <v>581.24288150675147</v>
      </c>
      <c r="EN86" s="62">
        <f t="shared" si="74"/>
        <v>874.57621484008473</v>
      </c>
      <c r="EO86" s="62">
        <f ca="1">AVERAGE(OFFSET($EN$3,0,0,'Données projet'!$E$15+1,1))-AVERAGE(OFFSET($H$3,0,0,'Données projet'!$E$15+1,1))</f>
        <v>457.16923206840744</v>
      </c>
      <c r="EP86" s="62">
        <f t="shared" si="100"/>
        <v>244.45149244446094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5.6</v>
      </c>
      <c r="FE86" s="13">
        <f>IF('Données projet'!$A$218&gt;35,FE85+FD86-FM85,IF(A86&lt;'Données projet'!$A$218,$FB$205^A86,IF(A86='Données projet'!$A$218,'Données projet'!$B$218,FE85+FD86-FM85)))</f>
        <v>346.80000000000035</v>
      </c>
      <c r="FF86" s="18">
        <f>FE86*VLOOKUP('Données projet'!$B$16,Paramètres!$A$1:$I$89,3,0)*VLOOKUP('Données projet'!$B$16,Paramètres!$A$1:$I$89,5,0)</f>
        <v>232.63344000000023</v>
      </c>
      <c r="FG86" s="14">
        <f t="shared" si="101"/>
        <v>56.851714994639117</v>
      </c>
      <c r="FH86" s="22">
        <f t="shared" si="76"/>
        <v>504.18664494899684</v>
      </c>
      <c r="FI86" s="62">
        <f t="shared" si="77"/>
        <v>797.51997828233016</v>
      </c>
      <c r="FJ86" s="62">
        <f ca="1">AVERAGE(OFFSET($FI$3,0,0,'Données projet'!$E$16+1,1))-AVERAGE(OFFSET($H$3,0,0,'Données projet'!$E$16+1,1))</f>
        <v>385.97853124853452</v>
      </c>
      <c r="FK86" s="62">
        <f t="shared" si="102"/>
        <v>300.99118099739695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132.280299502248</v>
      </c>
      <c r="T87" s="62">
        <f t="shared" si="88"/>
        <v>337.98099449405339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21.502365014998201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1.3714927307943621E-8</v>
      </c>
      <c r="AC87" s="24">
        <f t="shared" si="57"/>
        <v>21.502365028713129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5.9</v>
      </c>
      <c r="AI87" s="14">
        <f>IF('Données projet'!$A$62&gt;35,AI86+AH87-AQ86,IF(A87&lt;'Données projet'!$A$62,$AF$205^A87,IF(A87='Données projet'!$A$62,'Données projet'!$B$62,AI86+AH87-AQ86)))</f>
        <v>284.0999999999998</v>
      </c>
      <c r="AJ87" s="14">
        <f>AI87*VLOOKUP('Données projet'!$B$10,Paramètres!$A$1:$I$89,3,0)*VLOOKUP('Données projet'!$B$10,Paramètres!$A$1:$I$89,5,0)</f>
        <v>257.05367999999982</v>
      </c>
      <c r="AK87" s="14">
        <f t="shared" si="89"/>
        <v>62.093925634350327</v>
      </c>
      <c r="AL87" s="22">
        <f t="shared" si="58"/>
        <v>555.84874647982645</v>
      </c>
      <c r="AM87" s="62">
        <f t="shared" si="59"/>
        <v>849.18207981315982</v>
      </c>
      <c r="AN87" s="62">
        <f ca="1">AVERAGE(OFFSET($AM$3,0,0,'Données projet'!$E$10+1,1))-AVERAGE(OFFSET($H$3,0,0,'Données projet'!$E$10+1,1))</f>
        <v>430.40491895612814</v>
      </c>
      <c r="AO87" s="62">
        <f t="shared" si="90"/>
        <v>231.36959598460686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1.1368683772161603E-13</v>
      </c>
      <c r="BE87" s="14">
        <f>BD87*VLOOKUP('Données projet'!$B$11,Paramètres!$A$1:$I$89,3,0)*VLOOKUP('Données projet'!$B$11,Paramètres!$A$1:$I$89,5,0)</f>
        <v>6.7984728957526396E-14</v>
      </c>
      <c r="BF87" s="14">
        <f t="shared" si="91"/>
        <v>1.0682447123141398E-12</v>
      </c>
      <c r="BG87" s="22">
        <f t="shared" si="61"/>
        <v>1.978932943548152E-12</v>
      </c>
      <c r="BH87" s="62">
        <f t="shared" si="62"/>
        <v>293.3333333333353</v>
      </c>
      <c r="BI87" s="62">
        <f ca="1">AVERAGE(OFFSET($BH$3,0,0,'Données projet'!$E$11+1,1))-AVERAGE(OFFSET($H$3,0,0,'Données projet'!$E$11+1,1))</f>
        <v>295.83974441964551</v>
      </c>
      <c r="BJ87" s="62">
        <f t="shared" si="92"/>
        <v>212.24900914818096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-5.6843418860808015E-14</v>
      </c>
      <c r="BZ87" s="14">
        <f>BY87*VLOOKUP('Données projet'!$B$12,Paramètres!$A$1:$I$89,3,0)*VLOOKUP('Données projet'!$B$12,Paramètres!$A$1:$I$89,5,0)</f>
        <v>-3.2514435588382188E-14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309.71642374647882</v>
      </c>
      <c r="CE87" s="62">
        <f t="shared" si="94"/>
        <v>266.63880397664315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0.54793778105122604</v>
      </c>
      <c r="CM87" s="23">
        <f>EXP(-LN(2)/2)*CM86+(1-EXP(-LN(2)/2))/(LN(2)/2)*CG87*CJ87*VLOOKUP('Données projet'!$B$12,Paramètres!$A$1:$I$89,3,0)*0.475*44/12</f>
        <v>5.9278085341403982E-8</v>
      </c>
      <c r="CN87" s="24">
        <f t="shared" si="66"/>
        <v>0.54793784032931137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-1.7053025658242404E-13</v>
      </c>
      <c r="CU87" s="18">
        <f>CT87*VLOOKUP('Données projet'!$B$13,Paramètres!$A$1:$I$89,3,0)*VLOOKUP('Données projet'!$B$13,Paramètres!$A$1:$I$89,5,0)</f>
        <v>-1.3567387213697657E-13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312.53381881960331</v>
      </c>
      <c r="CZ87" s="62">
        <f t="shared" si="96"/>
        <v>342.06887933351783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5.9</v>
      </c>
      <c r="DO87" s="13">
        <f>IF('Données projet'!$A$166&gt;35,DO86+DN87-DW86,IF(A87&lt;'Données projet'!$A$166,$DL$205^A87,IF(A87='Données projet'!$A$166,'Données projet'!$B$166,DO86+DN87-DW86)))</f>
        <v>284.0999999999998</v>
      </c>
      <c r="DP87" s="18">
        <f>DO87*VLOOKUP('Données projet'!$B$14,Paramètres!$A$1:$I$89,3,0)*VLOOKUP('Données projet'!$B$14,Paramètres!$A$1:$I$89,5,0)</f>
        <v>305.8052399999998</v>
      </c>
      <c r="DQ87" s="14">
        <f t="shared" si="97"/>
        <v>72.392103924412837</v>
      </c>
      <c r="DR87" s="22">
        <f t="shared" si="70"/>
        <v>658.69370733501853</v>
      </c>
      <c r="DS87" s="62">
        <f t="shared" si="71"/>
        <v>952.0270406683519</v>
      </c>
      <c r="DT87" s="62">
        <f ca="1">AVERAGE(OFFSET($DS$3,0,0,'Données projet'!$E$14+1,1))-AVERAGE(OFFSET($H$3,0,0,'Données projet'!$E$14+1,1))</f>
        <v>503.92230226365683</v>
      </c>
      <c r="DU87" s="62">
        <f t="shared" si="98"/>
        <v>267.2998309535638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5.9</v>
      </c>
      <c r="EJ87" s="13">
        <f>IF('Données projet'!$A$192&gt;35,EJ86+EI87-ER86,IF(A87&lt;'Données projet'!$A$192,$EG$205^A87,IF(A87='Données projet'!$A$192,'Données projet'!$B$192,EJ86+EI87-ER86)))</f>
        <v>284.0999999999998</v>
      </c>
      <c r="EK87" s="18">
        <f>EJ87*VLOOKUP('Données projet'!$B$15,Paramètres!$A$1:$I$89,3,0)*VLOOKUP('Données projet'!$B$15,Paramètres!$A$1:$I$89,5,0)</f>
        <v>274.78151999999983</v>
      </c>
      <c r="EL87" s="14">
        <f t="shared" si="99"/>
        <v>65.862989442837574</v>
      </c>
      <c r="EM87" s="22">
        <f t="shared" si="73"/>
        <v>593.28918727960843</v>
      </c>
      <c r="EN87" s="62">
        <f t="shared" si="74"/>
        <v>886.6225206129418</v>
      </c>
      <c r="EO87" s="62">
        <f ca="1">AVERAGE(OFFSET($EN$3,0,0,'Données projet'!$E$15+1,1))-AVERAGE(OFFSET($H$3,0,0,'Données projet'!$E$15+1,1))</f>
        <v>457.16923206840744</v>
      </c>
      <c r="EP87" s="62">
        <f t="shared" si="100"/>
        <v>244.45149244446094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5.6</v>
      </c>
      <c r="FE87" s="13">
        <f>IF('Données projet'!$A$218&gt;35,FE86+FD87-FM86,IF(A87&lt;'Données projet'!$A$218,$FB$205^A87,IF(A87='Données projet'!$A$218,'Données projet'!$B$218,FE86+FD87-FM86)))</f>
        <v>352.40000000000038</v>
      </c>
      <c r="FF87" s="18">
        <f>FE87*VLOOKUP('Données projet'!$B$16,Paramètres!$A$1:$I$89,3,0)*VLOOKUP('Données projet'!$B$16,Paramètres!$A$1:$I$89,5,0)</f>
        <v>236.38992000000025</v>
      </c>
      <c r="FG87" s="14">
        <f t="shared" si="101"/>
        <v>57.662120366551534</v>
      </c>
      <c r="FH87" s="22">
        <f t="shared" si="76"/>
        <v>512.14063697174436</v>
      </c>
      <c r="FI87" s="62">
        <f t="shared" si="77"/>
        <v>805.47397030507773</v>
      </c>
      <c r="FJ87" s="62">
        <f ca="1">AVERAGE(OFFSET($FI$3,0,0,'Données projet'!$E$16+1,1))-AVERAGE(OFFSET($H$3,0,0,'Données projet'!$E$16+1,1))</f>
        <v>385.97853124853452</v>
      </c>
      <c r="FK87" s="62">
        <f t="shared" si="102"/>
        <v>300.99118099739695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132.280299502248</v>
      </c>
      <c r="T88" s="62">
        <f t="shared" si="88"/>
        <v>337.98099449405339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21.080716752201731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9.6979181029274953E-9</v>
      </c>
      <c r="AC88" s="24">
        <f t="shared" si="57"/>
        <v>21.080716761899648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290</v>
      </c>
      <c r="AG88" s="13">
        <f>VLOOKUP(A88,'Données projet'!$A$61:$I$81,9,0)</f>
        <v>5.9</v>
      </c>
      <c r="AH88" s="13">
        <f t="array" ref="AH88">INDEX(AG:AG,MIN(IF(ISNUMBER(AG88:AG284),ROW(AG88:AG284),"")))</f>
        <v>5.9</v>
      </c>
      <c r="AI88" s="14">
        <f>IF('Données projet'!$A$62&gt;35,AI87+AH88-AQ87,IF(A88&lt;'Données projet'!$A$62,$AF$205^A88,IF(A88='Données projet'!$A$62,'Données projet'!$B$62,AI87+AH88-AQ87)))</f>
        <v>289.99999999999977</v>
      </c>
      <c r="AJ88" s="14">
        <f>AI88*VLOOKUP('Données projet'!$B$10,Paramètres!$A$1:$I$89,3,0)*VLOOKUP('Données projet'!$B$10,Paramètres!$A$1:$I$89,5,0)</f>
        <v>262.39199999999977</v>
      </c>
      <c r="AK88" s="14">
        <f t="shared" si="89"/>
        <v>63.231983614474892</v>
      </c>
      <c r="AL88" s="22">
        <f t="shared" si="58"/>
        <v>567.12843812854328</v>
      </c>
      <c r="AM88" s="62">
        <f t="shared" si="59"/>
        <v>860.46177146187665</v>
      </c>
      <c r="AN88" s="62">
        <f ca="1">AVERAGE(OFFSET($AM$3,0,0,'Données projet'!$E$10+1,1))-AVERAGE(OFFSET($H$3,0,0,'Données projet'!$E$10+1,1))</f>
        <v>430.40491895612814</v>
      </c>
      <c r="AO88" s="62">
        <f t="shared" si="90"/>
        <v>231.36959598460686</v>
      </c>
      <c r="AP88" s="16">
        <f>IF(ISNA(VLOOKUP(A88,'Données projet'!$A$61:$I$81,3,0)),0,VLOOKUP(A88,'Données projet'!$A$61:$I$81,3,0))</f>
        <v>7</v>
      </c>
      <c r="AQ88" s="16">
        <f>IF(ISNA(VLOOKUP(A88,'Données projet'!$A$61:$I$81,4,0)),0,VLOOKUP(A88,'Données projet'!$A$61:$I$81,4,0))</f>
        <v>42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1.1368683772161603E-13</v>
      </c>
      <c r="BE88" s="14">
        <f>BD88*VLOOKUP('Données projet'!$B$11,Paramètres!$A$1:$I$89,3,0)*VLOOKUP('Données projet'!$B$11,Paramètres!$A$1:$I$89,5,0)</f>
        <v>6.7984728957526396E-14</v>
      </c>
      <c r="BF88" s="14">
        <f t="shared" si="91"/>
        <v>1.0682447123141398E-12</v>
      </c>
      <c r="BG88" s="22">
        <f t="shared" si="61"/>
        <v>1.978932943548152E-12</v>
      </c>
      <c r="BH88" s="62">
        <f t="shared" si="62"/>
        <v>293.3333333333353</v>
      </c>
      <c r="BI88" s="62">
        <f ca="1">AVERAGE(OFFSET($BH$3,0,0,'Données projet'!$E$11+1,1))-AVERAGE(OFFSET($H$3,0,0,'Données projet'!$E$11+1,1))</f>
        <v>295.83974441964551</v>
      </c>
      <c r="BJ88" s="62">
        <f t="shared" si="92"/>
        <v>212.24900914818096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-5.6843418860808015E-14</v>
      </c>
      <c r="BZ88" s="14">
        <f>BY88*VLOOKUP('Données projet'!$B$12,Paramètres!$A$1:$I$89,3,0)*VLOOKUP('Données projet'!$B$12,Paramètres!$A$1:$I$89,5,0)</f>
        <v>-3.2514435588382188E-14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309.71642374647882</v>
      </c>
      <c r="CE88" s="62">
        <f t="shared" si="94"/>
        <v>266.63880397664315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0.53295439361358465</v>
      </c>
      <c r="CM88" s="23">
        <f>EXP(-LN(2)/2)*CM87+(1-EXP(-LN(2)/2))/(LN(2)/2)*CG88*CJ88*VLOOKUP('Données projet'!$B$12,Paramètres!$A$1:$I$89,3,0)*0.475*44/12</f>
        <v>4.1915936120661639E-8</v>
      </c>
      <c r="CN88" s="24">
        <f t="shared" si="66"/>
        <v>0.53295443552952082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-1.7053025658242404E-13</v>
      </c>
      <c r="CU88" s="18">
        <f>CT88*VLOOKUP('Données projet'!$B$13,Paramètres!$A$1:$I$89,3,0)*VLOOKUP('Données projet'!$B$13,Paramètres!$A$1:$I$89,5,0)</f>
        <v>-1.3567387213697657E-13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312.53381881960331</v>
      </c>
      <c r="CZ88" s="62">
        <f t="shared" si="96"/>
        <v>342.06887933351783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290</v>
      </c>
      <c r="DM88" s="13">
        <f>VLOOKUP(A88,'Données projet'!$A$165:$I$185,9,0)</f>
        <v>5.9</v>
      </c>
      <c r="DN88" s="13">
        <f t="array" ref="DN88">INDEX(DM:DM,MIN(IF(ISNUMBER(DM88:DM284),ROW(DM88:DM284),"")))</f>
        <v>5.9</v>
      </c>
      <c r="DO88" s="13">
        <f>IF('Données projet'!$A$166&gt;35,DO87+DN88-DW87,IF(A88&lt;'Données projet'!$A$166,$DL$205^A88,IF(A88='Données projet'!$A$166,'Données projet'!$B$166,DO87+DN88-DW87)))</f>
        <v>289.99999999999977</v>
      </c>
      <c r="DP88" s="18">
        <f>DO88*VLOOKUP('Données projet'!$B$14,Paramètres!$A$1:$I$89,3,0)*VLOOKUP('Données projet'!$B$14,Paramètres!$A$1:$I$89,5,0)</f>
        <v>312.15599999999972</v>
      </c>
      <c r="DQ88" s="14">
        <f t="shared" si="97"/>
        <v>73.718907001002492</v>
      </c>
      <c r="DR88" s="22">
        <f t="shared" si="70"/>
        <v>672.06546302674553</v>
      </c>
      <c r="DS88" s="62">
        <f t="shared" si="71"/>
        <v>965.3987963600789</v>
      </c>
      <c r="DT88" s="62">
        <f ca="1">AVERAGE(OFFSET($DS$3,0,0,'Données projet'!$E$14+1,1))-AVERAGE(OFFSET($H$3,0,0,'Données projet'!$E$14+1,1))</f>
        <v>503.92230226365683</v>
      </c>
      <c r="DU88" s="62">
        <f t="shared" si="98"/>
        <v>267.2998309535638</v>
      </c>
      <c r="DV88" s="16">
        <f>IF(ISNA(VLOOKUP(A88,'Données projet'!$A$165:$I$185,3,0)),0,VLOOKUP(A88,'Données projet'!$A$165:$I$185,3,0))</f>
        <v>7</v>
      </c>
      <c r="DW88" s="16">
        <f>IF(ISNA(VLOOKUP(A88,'Données projet'!$A$165:$I$185,4,0)),0,VLOOKUP(A88,'Données projet'!$A$165:$I$185,4,0))</f>
        <v>42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>
        <f>VLOOKUP(A88,'Données projet'!$A$191:$I$211,2,0)</f>
        <v>290</v>
      </c>
      <c r="EH88" s="13">
        <f>VLOOKUP(A88,'Données projet'!$A$191:$I$211,9,0)</f>
        <v>5.9</v>
      </c>
      <c r="EI88" s="13">
        <f t="array" ref="EI88">INDEX(EH:EH,MIN(IF(ISNUMBER(EH88:EH284),ROW(EH88:EH284),"")))</f>
        <v>5.9</v>
      </c>
      <c r="EJ88" s="13">
        <f>IF('Données projet'!$A$192&gt;35,EJ87+EI88-ER87,IF(A88&lt;'Données projet'!$A$192,$EG$205^A88,IF(A88='Données projet'!$A$192,'Données projet'!$B$192,EJ87+EI88-ER87)))</f>
        <v>289.99999999999977</v>
      </c>
      <c r="EK88" s="18">
        <f>EJ88*VLOOKUP('Données projet'!$B$15,Paramètres!$A$1:$I$89,3,0)*VLOOKUP('Données projet'!$B$15,Paramètres!$A$1:$I$89,5,0)</f>
        <v>280.48799999999983</v>
      </c>
      <c r="EL88" s="14">
        <f t="shared" si="99"/>
        <v>67.070126855467493</v>
      </c>
      <c r="EM88" s="22">
        <f t="shared" si="73"/>
        <v>605.33040427327217</v>
      </c>
      <c r="EN88" s="62">
        <f t="shared" si="74"/>
        <v>898.66373760660554</v>
      </c>
      <c r="EO88" s="62">
        <f ca="1">AVERAGE(OFFSET($EN$3,0,0,'Données projet'!$E$15+1,1))-AVERAGE(OFFSET($H$3,0,0,'Données projet'!$E$15+1,1))</f>
        <v>457.16923206840744</v>
      </c>
      <c r="EP88" s="62">
        <f t="shared" si="100"/>
        <v>244.45149244446094</v>
      </c>
      <c r="EQ88" s="16">
        <f>IF(ISNA(VLOOKUP(A88,'Données projet'!$A$191:$I$211,3,0)),0,VLOOKUP(A88,'Données projet'!$A$191:$I$211,3,0))</f>
        <v>7</v>
      </c>
      <c r="ER88" s="16">
        <f>IF(ISNA(VLOOKUP(A88,'Données projet'!$A$191:$I$211,4,0)),0,VLOOKUP(A88,'Données projet'!$A$191:$I$211,4,0))</f>
        <v>42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>
        <f>VLOOKUP(A88,'Données projet'!$A$217:$I$237,2,0)</f>
        <v>358</v>
      </c>
      <c r="FC88" s="13">
        <f>VLOOKUP(A88,'Données projet'!$A$217:$I$237,9,0)</f>
        <v>5.6</v>
      </c>
      <c r="FD88" s="13">
        <f t="array" ref="FD88">INDEX(FC:FC,MIN(IF(ISNUMBER(FC88:FC284),ROW(FC88:FC284),"")))</f>
        <v>5.6</v>
      </c>
      <c r="FE88" s="13">
        <f>IF('Données projet'!$A$218&gt;35,FE87+FD88-FM87,IF(A88&lt;'Données projet'!$A$218,$FB$205^A88,IF(A88='Données projet'!$A$218,'Données projet'!$B$218,FE87+FD88-FM87)))</f>
        <v>358.0000000000004</v>
      </c>
      <c r="FF88" s="18">
        <f>FE88*VLOOKUP('Données projet'!$B$16,Paramètres!$A$1:$I$89,3,0)*VLOOKUP('Données projet'!$B$16,Paramètres!$A$1:$I$89,5,0)</f>
        <v>240.14640000000028</v>
      </c>
      <c r="FG88" s="14">
        <f t="shared" si="101"/>
        <v>58.471028037374282</v>
      </c>
      <c r="FH88" s="22">
        <f t="shared" si="76"/>
        <v>520.09202049842736</v>
      </c>
      <c r="FI88" s="62">
        <f t="shared" si="77"/>
        <v>813.42535383176073</v>
      </c>
      <c r="FJ88" s="62">
        <f ca="1">AVERAGE(OFFSET($FI$3,0,0,'Données projet'!$E$16+1,1))-AVERAGE(OFFSET($H$3,0,0,'Données projet'!$E$16+1,1))</f>
        <v>385.97853124853452</v>
      </c>
      <c r="FK88" s="62">
        <f t="shared" si="102"/>
        <v>300.99118099739695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132.280299502248</v>
      </c>
      <c r="T89" s="62">
        <f t="shared" si="88"/>
        <v>337.98099449405339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20.667336754658656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6.8574636539718106E-9</v>
      </c>
      <c r="AC89" s="24">
        <f t="shared" si="57"/>
        <v>20.667336761516118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5.2</v>
      </c>
      <c r="AI89" s="14">
        <f>IF('Données projet'!$A$62&gt;35,AI88+AH89-AQ88,IF(A89&lt;'Données projet'!$A$62,$AF$205^A89,IF(A89='Données projet'!$A$62,'Données projet'!$B$62,AI88+AH89-AQ88)))</f>
        <v>253.19999999999976</v>
      </c>
      <c r="AJ89" s="14">
        <f>AI89*VLOOKUP('Données projet'!$B$10,Paramètres!$A$1:$I$89,3,0)*VLOOKUP('Données projet'!$B$10,Paramètres!$A$1:$I$89,5,0)</f>
        <v>229.09535999999977</v>
      </c>
      <c r="AK89" s="14">
        <f t="shared" si="89"/>
        <v>56.087032370558362</v>
      </c>
      <c r="AL89" s="22">
        <f t="shared" si="58"/>
        <v>496.69266671205543</v>
      </c>
      <c r="AM89" s="62">
        <f t="shared" si="59"/>
        <v>790.02600004538874</v>
      </c>
      <c r="AN89" s="62">
        <f ca="1">AVERAGE(OFFSET($AM$3,0,0,'Données projet'!$E$10+1,1))-AVERAGE(OFFSET($H$3,0,0,'Données projet'!$E$10+1,1))</f>
        <v>430.40491895612814</v>
      </c>
      <c r="AO89" s="62">
        <f t="shared" si="90"/>
        <v>231.36959598460686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1.1368683772161603E-13</v>
      </c>
      <c r="BE89" s="14">
        <f>BD89*VLOOKUP('Données projet'!$B$11,Paramètres!$A$1:$I$89,3,0)*VLOOKUP('Données projet'!$B$11,Paramètres!$A$1:$I$89,5,0)</f>
        <v>6.7984728957526396E-14</v>
      </c>
      <c r="BF89" s="14">
        <f t="shared" si="91"/>
        <v>1.0682447123141398E-12</v>
      </c>
      <c r="BG89" s="22">
        <f t="shared" si="61"/>
        <v>1.978932943548152E-12</v>
      </c>
      <c r="BH89" s="62">
        <f t="shared" si="62"/>
        <v>293.3333333333353</v>
      </c>
      <c r="BI89" s="62">
        <f ca="1">AVERAGE(OFFSET($BH$3,0,0,'Données projet'!$E$11+1,1))-AVERAGE(OFFSET($H$3,0,0,'Données projet'!$E$11+1,1))</f>
        <v>295.83974441964551</v>
      </c>
      <c r="BJ89" s="62">
        <f t="shared" si="92"/>
        <v>212.24900914818096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-5.6843418860808015E-14</v>
      </c>
      <c r="BZ89" s="14">
        <f>BY89*VLOOKUP('Données projet'!$B$12,Paramètres!$A$1:$I$89,3,0)*VLOOKUP('Données projet'!$B$12,Paramètres!$A$1:$I$89,5,0)</f>
        <v>-3.2514435588382188E-14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309.71642374647882</v>
      </c>
      <c r="CE89" s="62">
        <f t="shared" si="94"/>
        <v>266.63880397664315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0.51838072769336774</v>
      </c>
      <c r="CM89" s="23">
        <f>EXP(-LN(2)/2)*CM88+(1-EXP(-LN(2)/2))/(LN(2)/2)*CG89*CJ89*VLOOKUP('Données projet'!$B$12,Paramètres!$A$1:$I$89,3,0)*0.475*44/12</f>
        <v>2.9639042670701994E-8</v>
      </c>
      <c r="CN89" s="24">
        <f t="shared" si="66"/>
        <v>0.5183807573324104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-1.7053025658242404E-13</v>
      </c>
      <c r="CU89" s="18">
        <f>CT89*VLOOKUP('Données projet'!$B$13,Paramètres!$A$1:$I$89,3,0)*VLOOKUP('Données projet'!$B$13,Paramètres!$A$1:$I$89,5,0)</f>
        <v>-1.3567387213697657E-13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312.53381881960331</v>
      </c>
      <c r="CZ89" s="62">
        <f t="shared" si="96"/>
        <v>342.06887933351783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5.2</v>
      </c>
      <c r="DO89" s="13">
        <f>IF('Données projet'!$A$166&gt;35,DO88+DN89-DW88,IF(A89&lt;'Données projet'!$A$166,$DL$205^A89,IF(A89='Données projet'!$A$166,'Données projet'!$B$166,DO88+DN89-DW88)))</f>
        <v>253.19999999999976</v>
      </c>
      <c r="DP89" s="18">
        <f>DO89*VLOOKUP('Données projet'!$B$14,Paramètres!$A$1:$I$89,3,0)*VLOOKUP('Données projet'!$B$14,Paramètres!$A$1:$I$89,5,0)</f>
        <v>272.54447999999974</v>
      </c>
      <c r="DQ89" s="14">
        <f t="shared" si="97"/>
        <v>65.388977016702441</v>
      </c>
      <c r="DR89" s="22">
        <f t="shared" si="70"/>
        <v>588.56743763742293</v>
      </c>
      <c r="DS89" s="62">
        <f t="shared" si="71"/>
        <v>881.90077097075618</v>
      </c>
      <c r="DT89" s="62">
        <f ca="1">AVERAGE(OFFSET($DS$3,0,0,'Données projet'!$E$14+1,1))-AVERAGE(OFFSET($H$3,0,0,'Données projet'!$E$14+1,1))</f>
        <v>503.92230226365683</v>
      </c>
      <c r="DU89" s="62">
        <f t="shared" si="98"/>
        <v>267.2998309535638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5.2</v>
      </c>
      <c r="EJ89" s="13">
        <f>IF('Données projet'!$A$192&gt;35,EJ88+EI89-ER88,IF(A89&lt;'Données projet'!$A$192,$EG$205^A89,IF(A89='Données projet'!$A$192,'Données projet'!$B$192,EJ88+EI89-ER88)))</f>
        <v>253.19999999999976</v>
      </c>
      <c r="EK89" s="18">
        <f>EJ89*VLOOKUP('Données projet'!$B$15,Paramètres!$A$1:$I$89,3,0)*VLOOKUP('Données projet'!$B$15,Paramètres!$A$1:$I$89,5,0)</f>
        <v>244.89503999999977</v>
      </c>
      <c r="EL89" s="14">
        <f t="shared" si="99"/>
        <v>59.491481383464382</v>
      </c>
      <c r="EM89" s="22">
        <f t="shared" si="73"/>
        <v>530.13985807619997</v>
      </c>
      <c r="EN89" s="62">
        <f t="shared" si="74"/>
        <v>823.47319140953323</v>
      </c>
      <c r="EO89" s="62">
        <f ca="1">AVERAGE(OFFSET($EN$3,0,0,'Données projet'!$E$15+1,1))-AVERAGE(OFFSET($H$3,0,0,'Données projet'!$E$15+1,1))</f>
        <v>457.16923206840744</v>
      </c>
      <c r="EP89" s="62">
        <f t="shared" si="100"/>
        <v>244.45149244446094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5.2</v>
      </c>
      <c r="FE89" s="13">
        <f>IF('Données projet'!$A$218&gt;35,FE88+FD89-FM88,IF(A89&lt;'Données projet'!$A$218,$FB$205^A89,IF(A89='Données projet'!$A$218,'Données projet'!$B$218,FE88+FD89-FM88)))</f>
        <v>363.20000000000039</v>
      </c>
      <c r="FF89" s="18">
        <f>FE89*VLOOKUP('Données projet'!$B$16,Paramètres!$A$1:$I$89,3,0)*VLOOKUP('Données projet'!$B$16,Paramètres!$A$1:$I$89,5,0)</f>
        <v>243.63456000000025</v>
      </c>
      <c r="FG89" s="14">
        <f t="shared" si="101"/>
        <v>59.220838391115286</v>
      </c>
      <c r="FH89" s="22">
        <f t="shared" si="76"/>
        <v>527.47315219785958</v>
      </c>
      <c r="FI89" s="62">
        <f t="shared" si="77"/>
        <v>820.80648553119295</v>
      </c>
      <c r="FJ89" s="62">
        <f ca="1">AVERAGE(OFFSET($FI$3,0,0,'Données projet'!$E$16+1,1))-AVERAGE(OFFSET($H$3,0,0,'Données projet'!$E$16+1,1))</f>
        <v>385.97853124853452</v>
      </c>
      <c r="FK89" s="62">
        <f t="shared" si="102"/>
        <v>300.99118099739695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132.280299502248</v>
      </c>
      <c r="T90" s="62">
        <f t="shared" si="88"/>
        <v>337.98099449405339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20.262062886730497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4.8489590514637477E-9</v>
      </c>
      <c r="AC90" s="24">
        <f t="shared" si="57"/>
        <v>20.262062891579458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5.2</v>
      </c>
      <c r="AI90" s="14">
        <f>IF('Données projet'!$A$62&gt;35,AI89+AH90-AQ89,IF(A90&lt;'Données projet'!$A$62,$AF$205^A90,IF(A90='Données projet'!$A$62,'Données projet'!$B$62,AI89+AH90-AQ89)))</f>
        <v>258.39999999999975</v>
      </c>
      <c r="AJ90" s="14">
        <f>AI90*VLOOKUP('Données projet'!$B$10,Paramètres!$A$1:$I$89,3,0)*VLOOKUP('Données projet'!$B$10,Paramètres!$A$1:$I$89,5,0)</f>
        <v>233.80031999999977</v>
      </c>
      <c r="AK90" s="14">
        <f t="shared" si="89"/>
        <v>57.103614181373779</v>
      </c>
      <c r="AL90" s="22">
        <f t="shared" si="58"/>
        <v>506.65768536589218</v>
      </c>
      <c r="AM90" s="62">
        <f t="shared" si="59"/>
        <v>799.99101869922549</v>
      </c>
      <c r="AN90" s="62">
        <f ca="1">AVERAGE(OFFSET($AM$3,0,0,'Données projet'!$E$10+1,1))-AVERAGE(OFFSET($H$3,0,0,'Données projet'!$E$10+1,1))</f>
        <v>430.40491895612814</v>
      </c>
      <c r="AO90" s="62">
        <f t="shared" si="90"/>
        <v>231.36959598460686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1.1368683772161603E-13</v>
      </c>
      <c r="BE90" s="14">
        <f>BD90*VLOOKUP('Données projet'!$B$11,Paramètres!$A$1:$I$89,3,0)*VLOOKUP('Données projet'!$B$11,Paramètres!$A$1:$I$89,5,0)</f>
        <v>6.7984728957526396E-14</v>
      </c>
      <c r="BF90" s="14">
        <f t="shared" si="91"/>
        <v>1.0682447123141398E-12</v>
      </c>
      <c r="BG90" s="22">
        <f t="shared" si="61"/>
        <v>1.978932943548152E-12</v>
      </c>
      <c r="BH90" s="62">
        <f t="shared" si="62"/>
        <v>293.3333333333353</v>
      </c>
      <c r="BI90" s="62">
        <f ca="1">AVERAGE(OFFSET($BH$3,0,0,'Données projet'!$E$11+1,1))-AVERAGE(OFFSET($H$3,0,0,'Données projet'!$E$11+1,1))</f>
        <v>295.83974441964551</v>
      </c>
      <c r="BJ90" s="62">
        <f t="shared" si="92"/>
        <v>212.24900914818096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-5.6843418860808015E-14</v>
      </c>
      <c r="BZ90" s="14">
        <f>BY90*VLOOKUP('Données projet'!$B$12,Paramètres!$A$1:$I$89,3,0)*VLOOKUP('Données projet'!$B$12,Paramètres!$A$1:$I$89,5,0)</f>
        <v>-3.2514435588382188E-14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309.71642374647882</v>
      </c>
      <c r="CE90" s="62">
        <f t="shared" si="94"/>
        <v>266.63880397664315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0.50420557943413491</v>
      </c>
      <c r="CM90" s="23">
        <f>EXP(-LN(2)/2)*CM89+(1-EXP(-LN(2)/2))/(LN(2)/2)*CG90*CJ90*VLOOKUP('Données projet'!$B$12,Paramètres!$A$1:$I$89,3,0)*0.475*44/12</f>
        <v>2.0957968060330823E-8</v>
      </c>
      <c r="CN90" s="24">
        <f t="shared" si="66"/>
        <v>0.50420560039210294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-1.7053025658242404E-13</v>
      </c>
      <c r="CU90" s="18">
        <f>CT90*VLOOKUP('Données projet'!$B$13,Paramètres!$A$1:$I$89,3,0)*VLOOKUP('Données projet'!$B$13,Paramètres!$A$1:$I$89,5,0)</f>
        <v>-1.3567387213697657E-13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312.53381881960331</v>
      </c>
      <c r="CZ90" s="62">
        <f t="shared" si="96"/>
        <v>342.06887933351783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5.2</v>
      </c>
      <c r="DO90" s="13">
        <f>IF('Données projet'!$A$166&gt;35,DO89+DN90-DW89,IF(A90&lt;'Données projet'!$A$166,$DL$205^A90,IF(A90='Données projet'!$A$166,'Données projet'!$B$166,DO89+DN90-DW89)))</f>
        <v>258.39999999999975</v>
      </c>
      <c r="DP90" s="18">
        <f>DO90*VLOOKUP('Données projet'!$B$14,Paramètres!$A$1:$I$89,3,0)*VLOOKUP('Données projet'!$B$14,Paramètres!$A$1:$I$89,5,0)</f>
        <v>278.14175999999975</v>
      </c>
      <c r="DQ90" s="14">
        <f t="shared" si="97"/>
        <v>66.574157295520351</v>
      </c>
      <c r="DR90" s="22">
        <f t="shared" si="70"/>
        <v>600.38022262303082</v>
      </c>
      <c r="DS90" s="62">
        <f t="shared" si="71"/>
        <v>893.71355595636419</v>
      </c>
      <c r="DT90" s="62">
        <f ca="1">AVERAGE(OFFSET($DS$3,0,0,'Données projet'!$E$14+1,1))-AVERAGE(OFFSET($H$3,0,0,'Données projet'!$E$14+1,1))</f>
        <v>503.92230226365683</v>
      </c>
      <c r="DU90" s="62">
        <f t="shared" si="98"/>
        <v>267.2998309535638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5.2</v>
      </c>
      <c r="EJ90" s="13">
        <f>IF('Données projet'!$A$192&gt;35,EJ89+EI90-ER89,IF(A90&lt;'Données projet'!$A$192,$EG$205^A90,IF(A90='Données projet'!$A$192,'Données projet'!$B$192,EJ89+EI90-ER89)))</f>
        <v>258.39999999999975</v>
      </c>
      <c r="EK90" s="18">
        <f>EJ90*VLOOKUP('Données projet'!$B$15,Paramètres!$A$1:$I$89,3,0)*VLOOKUP('Données projet'!$B$15,Paramètres!$A$1:$I$89,5,0)</f>
        <v>249.92447999999979</v>
      </c>
      <c r="EL90" s="14">
        <f t="shared" si="99"/>
        <v>60.569769096626409</v>
      </c>
      <c r="EM90" s="22">
        <f t="shared" si="73"/>
        <v>540.77748384329061</v>
      </c>
      <c r="EN90" s="62">
        <f t="shared" si="74"/>
        <v>834.11081717662387</v>
      </c>
      <c r="EO90" s="62">
        <f ca="1">AVERAGE(OFFSET($EN$3,0,0,'Données projet'!$E$15+1,1))-AVERAGE(OFFSET($H$3,0,0,'Données projet'!$E$15+1,1))</f>
        <v>457.16923206840744</v>
      </c>
      <c r="EP90" s="62">
        <f t="shared" si="100"/>
        <v>244.45149244446094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5.2</v>
      </c>
      <c r="FE90" s="13">
        <f>IF('Données projet'!$A$218&gt;35,FE89+FD90-FM89,IF(A90&lt;'Données projet'!$A$218,$FB$205^A90,IF(A90='Données projet'!$A$218,'Données projet'!$B$218,FE89+FD90-FM89)))</f>
        <v>368.40000000000038</v>
      </c>
      <c r="FF90" s="18">
        <f>FE90*VLOOKUP('Données projet'!$B$16,Paramètres!$A$1:$I$89,3,0)*VLOOKUP('Données projet'!$B$16,Paramètres!$A$1:$I$89,5,0)</f>
        <v>247.12272000000024</v>
      </c>
      <c r="FG90" s="14">
        <f t="shared" si="101"/>
        <v>59.969400166576264</v>
      </c>
      <c r="FH90" s="22">
        <f t="shared" si="76"/>
        <v>534.85210929012067</v>
      </c>
      <c r="FI90" s="62">
        <f t="shared" si="77"/>
        <v>828.18544262345404</v>
      </c>
      <c r="FJ90" s="62">
        <f ca="1">AVERAGE(OFFSET($FI$3,0,0,'Données projet'!$E$16+1,1))-AVERAGE(OFFSET($H$3,0,0,'Données projet'!$E$16+1,1))</f>
        <v>385.97853124853452</v>
      </c>
      <c r="FK90" s="62">
        <f t="shared" si="102"/>
        <v>300.99118099739695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132.280299502248</v>
      </c>
      <c r="T91" s="62">
        <f t="shared" si="88"/>
        <v>337.98099449405339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19.864736192159761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3.4287318269859053E-9</v>
      </c>
      <c r="AC91" s="24">
        <f t="shared" si="57"/>
        <v>19.864736195588492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5.2</v>
      </c>
      <c r="AI91" s="14">
        <f>IF('Données projet'!$A$62&gt;35,AI90+AH91-AQ90,IF(A91&lt;'Données projet'!$A$62,$AF$205^A91,IF(A91='Données projet'!$A$62,'Données projet'!$B$62,AI90+AH91-AQ90)))</f>
        <v>263.59999999999974</v>
      </c>
      <c r="AJ91" s="14">
        <f>AI91*VLOOKUP('Données projet'!$B$10,Paramètres!$A$1:$I$89,3,0)*VLOOKUP('Données projet'!$B$10,Paramètres!$A$1:$I$89,5,0)</f>
        <v>238.50527999999974</v>
      </c>
      <c r="AK91" s="14">
        <f t="shared" si="89"/>
        <v>58.117817352909832</v>
      </c>
      <c r="AL91" s="22">
        <f t="shared" si="58"/>
        <v>516.61856122298411</v>
      </c>
      <c r="AM91" s="62">
        <f t="shared" si="59"/>
        <v>809.95189455631748</v>
      </c>
      <c r="AN91" s="62">
        <f ca="1">AVERAGE(OFFSET($AM$3,0,0,'Données projet'!$E$10+1,1))-AVERAGE(OFFSET($H$3,0,0,'Données projet'!$E$10+1,1))</f>
        <v>430.40491895612814</v>
      </c>
      <c r="AO91" s="62">
        <f t="shared" si="90"/>
        <v>231.36959598460686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1.1368683772161603E-13</v>
      </c>
      <c r="BE91" s="14">
        <f>BD91*VLOOKUP('Données projet'!$B$11,Paramètres!$A$1:$I$89,3,0)*VLOOKUP('Données projet'!$B$11,Paramètres!$A$1:$I$89,5,0)</f>
        <v>6.7984728957526396E-14</v>
      </c>
      <c r="BF91" s="14">
        <f t="shared" si="91"/>
        <v>1.0682447123141398E-12</v>
      </c>
      <c r="BG91" s="22">
        <f t="shared" si="61"/>
        <v>1.978932943548152E-12</v>
      </c>
      <c r="BH91" s="62">
        <f t="shared" si="62"/>
        <v>293.3333333333353</v>
      </c>
      <c r="BI91" s="62">
        <f ca="1">AVERAGE(OFFSET($BH$3,0,0,'Données projet'!$E$11+1,1))-AVERAGE(OFFSET($H$3,0,0,'Données projet'!$E$11+1,1))</f>
        <v>295.83974441964551</v>
      </c>
      <c r="BJ91" s="62">
        <f t="shared" si="92"/>
        <v>212.24900914818096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-5.6843418860808015E-14</v>
      </c>
      <c r="BZ91" s="14">
        <f>BY91*VLOOKUP('Données projet'!$B$12,Paramètres!$A$1:$I$89,3,0)*VLOOKUP('Données projet'!$B$12,Paramètres!$A$1:$I$89,5,0)</f>
        <v>-3.2514435588382188E-14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309.71642374647882</v>
      </c>
      <c r="CE91" s="62">
        <f t="shared" si="94"/>
        <v>266.63880397664315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0.49041805134948946</v>
      </c>
      <c r="CM91" s="23">
        <f>EXP(-LN(2)/2)*CM90+(1-EXP(-LN(2)/2))/(LN(2)/2)*CG91*CJ91*VLOOKUP('Données projet'!$B$12,Paramètres!$A$1:$I$89,3,0)*0.475*44/12</f>
        <v>1.4819521335351E-8</v>
      </c>
      <c r="CN91" s="24">
        <f t="shared" si="66"/>
        <v>0.49041806616901079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-1.7053025658242404E-13</v>
      </c>
      <c r="CU91" s="18">
        <f>CT91*VLOOKUP('Données projet'!$B$13,Paramètres!$A$1:$I$89,3,0)*VLOOKUP('Données projet'!$B$13,Paramètres!$A$1:$I$89,5,0)</f>
        <v>-1.3567387213697657E-13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312.53381881960331</v>
      </c>
      <c r="CZ91" s="62">
        <f t="shared" si="96"/>
        <v>342.06887933351783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5.2</v>
      </c>
      <c r="DO91" s="13">
        <f>IF('Données projet'!$A$166&gt;35,DO90+DN91-DW90,IF(A91&lt;'Données projet'!$A$166,$DL$205^A91,IF(A91='Données projet'!$A$166,'Données projet'!$B$166,DO90+DN91-DW90)))</f>
        <v>263.59999999999974</v>
      </c>
      <c r="DP91" s="18">
        <f>DO91*VLOOKUP('Données projet'!$B$14,Paramètres!$A$1:$I$89,3,0)*VLOOKUP('Données projet'!$B$14,Paramètres!$A$1:$I$89,5,0)</f>
        <v>283.7390399999997</v>
      </c>
      <c r="DQ91" s="14">
        <f t="shared" si="97"/>
        <v>67.756564441537463</v>
      </c>
      <c r="DR91" s="22">
        <f t="shared" si="70"/>
        <v>612.18817773567719</v>
      </c>
      <c r="DS91" s="62">
        <f t="shared" si="71"/>
        <v>905.52151106901056</v>
      </c>
      <c r="DT91" s="62">
        <f ca="1">AVERAGE(OFFSET($DS$3,0,0,'Données projet'!$E$14+1,1))-AVERAGE(OFFSET($H$3,0,0,'Données projet'!$E$14+1,1))</f>
        <v>503.92230226365683</v>
      </c>
      <c r="DU91" s="62">
        <f t="shared" si="98"/>
        <v>267.2998309535638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5.2</v>
      </c>
      <c r="EJ91" s="13">
        <f>IF('Données projet'!$A$192&gt;35,EJ90+EI91-ER90,IF(A91&lt;'Données projet'!$A$192,$EG$205^A91,IF(A91='Données projet'!$A$192,'Données projet'!$B$192,EJ90+EI91-ER90)))</f>
        <v>263.59999999999974</v>
      </c>
      <c r="EK91" s="18">
        <f>EJ91*VLOOKUP('Données projet'!$B$15,Paramètres!$A$1:$I$89,3,0)*VLOOKUP('Données projet'!$B$15,Paramètres!$A$1:$I$89,5,0)</f>
        <v>254.95391999999975</v>
      </c>
      <c r="EL91" s="14">
        <f t="shared" si="99"/>
        <v>61.645533788540526</v>
      </c>
      <c r="EM91" s="22">
        <f t="shared" si="73"/>
        <v>551.41071534837431</v>
      </c>
      <c r="EN91" s="62">
        <f t="shared" si="74"/>
        <v>844.74404868170768</v>
      </c>
      <c r="EO91" s="62">
        <f ca="1">AVERAGE(OFFSET($EN$3,0,0,'Données projet'!$E$15+1,1))-AVERAGE(OFFSET($H$3,0,0,'Données projet'!$E$15+1,1))</f>
        <v>457.16923206840744</v>
      </c>
      <c r="EP91" s="62">
        <f t="shared" si="100"/>
        <v>244.45149244446094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5.2</v>
      </c>
      <c r="FE91" s="13">
        <f>IF('Données projet'!$A$218&gt;35,FE90+FD91-FM90,IF(A91&lt;'Données projet'!$A$218,$FB$205^A91,IF(A91='Données projet'!$A$218,'Données projet'!$B$218,FE90+FD91-FM90)))</f>
        <v>373.60000000000036</v>
      </c>
      <c r="FF91" s="18">
        <f>FE91*VLOOKUP('Données projet'!$B$16,Paramètres!$A$1:$I$89,3,0)*VLOOKUP('Données projet'!$B$16,Paramètres!$A$1:$I$89,5,0)</f>
        <v>250.61088000000026</v>
      </c>
      <c r="FG91" s="14">
        <f t="shared" si="101"/>
        <v>60.71673302412443</v>
      </c>
      <c r="FH91" s="22">
        <f t="shared" si="76"/>
        <v>542.2289260170171</v>
      </c>
      <c r="FI91" s="62">
        <f t="shared" si="77"/>
        <v>835.56225935035036</v>
      </c>
      <c r="FJ91" s="62">
        <f ca="1">AVERAGE(OFFSET($FI$3,0,0,'Données projet'!$E$16+1,1))-AVERAGE(OFFSET($H$3,0,0,'Données projet'!$E$16+1,1))</f>
        <v>385.97853124853452</v>
      </c>
      <c r="FK91" s="62">
        <f t="shared" si="102"/>
        <v>300.99118099739695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132.280299502248</v>
      </c>
      <c r="T92" s="62">
        <f t="shared" si="88"/>
        <v>337.98099449405339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19.475200831724202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2.4244795257318738E-9</v>
      </c>
      <c r="AC92" s="24">
        <f t="shared" si="57"/>
        <v>19.47520083414868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5.2</v>
      </c>
      <c r="AI92" s="14">
        <f>IF('Données projet'!$A$62&gt;35,AI91+AH92-AQ91,IF(A92&lt;'Données projet'!$A$62,$AF$205^A92,IF(A92='Données projet'!$A$62,'Données projet'!$B$62,AI91+AH92-AQ91)))</f>
        <v>268.79999999999973</v>
      </c>
      <c r="AJ92" s="14">
        <f>AI92*VLOOKUP('Données projet'!$B$10,Paramètres!$A$1:$I$89,3,0)*VLOOKUP('Données projet'!$B$10,Paramètres!$A$1:$I$89,5,0)</f>
        <v>243.21023999999974</v>
      </c>
      <c r="AK92" s="14">
        <f t="shared" si="89"/>
        <v>59.129694216846687</v>
      </c>
      <c r="AL92" s="22">
        <f t="shared" si="58"/>
        <v>526.57538542767418</v>
      </c>
      <c r="AM92" s="62">
        <f t="shared" si="59"/>
        <v>819.90871876100755</v>
      </c>
      <c r="AN92" s="62">
        <f ca="1">AVERAGE(OFFSET($AM$3,0,0,'Données projet'!$E$10+1,1))-AVERAGE(OFFSET($H$3,0,0,'Données projet'!$E$10+1,1))</f>
        <v>430.40491895612814</v>
      </c>
      <c r="AO92" s="62">
        <f t="shared" si="90"/>
        <v>231.36959598460686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1.1368683772161603E-13</v>
      </c>
      <c r="BE92" s="14">
        <f>BD92*VLOOKUP('Données projet'!$B$11,Paramètres!$A$1:$I$89,3,0)*VLOOKUP('Données projet'!$B$11,Paramètres!$A$1:$I$89,5,0)</f>
        <v>6.7984728957526396E-14</v>
      </c>
      <c r="BF92" s="14">
        <f t="shared" si="91"/>
        <v>1.0682447123141398E-12</v>
      </c>
      <c r="BG92" s="22">
        <f t="shared" si="61"/>
        <v>1.978932943548152E-12</v>
      </c>
      <c r="BH92" s="62">
        <f t="shared" si="62"/>
        <v>293.3333333333353</v>
      </c>
      <c r="BI92" s="62">
        <f ca="1">AVERAGE(OFFSET($BH$3,0,0,'Données projet'!$E$11+1,1))-AVERAGE(OFFSET($H$3,0,0,'Données projet'!$E$11+1,1))</f>
        <v>295.83974441964551</v>
      </c>
      <c r="BJ92" s="62">
        <f t="shared" si="92"/>
        <v>212.24900914818096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-5.6843418860808015E-14</v>
      </c>
      <c r="BZ92" s="14">
        <f>BY92*VLOOKUP('Données projet'!$B$12,Paramètres!$A$1:$I$89,3,0)*VLOOKUP('Données projet'!$B$12,Paramètres!$A$1:$I$89,5,0)</f>
        <v>-3.2514435588382188E-14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309.71642374647882</v>
      </c>
      <c r="CE92" s="62">
        <f t="shared" si="94"/>
        <v>266.63880397664315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0.4770075439453732</v>
      </c>
      <c r="CM92" s="23">
        <f>EXP(-LN(2)/2)*CM91+(1-EXP(-LN(2)/2))/(LN(2)/2)*CG92*CJ92*VLOOKUP('Données projet'!$B$12,Paramètres!$A$1:$I$89,3,0)*0.475*44/12</f>
        <v>1.0478984030165413E-8</v>
      </c>
      <c r="CN92" s="24">
        <f t="shared" si="66"/>
        <v>0.47700755442435722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-1.7053025658242404E-13</v>
      </c>
      <c r="CU92" s="18">
        <f>CT92*VLOOKUP('Données projet'!$B$13,Paramètres!$A$1:$I$89,3,0)*VLOOKUP('Données projet'!$B$13,Paramètres!$A$1:$I$89,5,0)</f>
        <v>-1.3567387213697657E-13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312.53381881960331</v>
      </c>
      <c r="CZ92" s="62">
        <f t="shared" si="96"/>
        <v>342.06887933351783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5.2</v>
      </c>
      <c r="DO92" s="13">
        <f>IF('Données projet'!$A$166&gt;35,DO91+DN92-DW91,IF(A92&lt;'Données projet'!$A$166,$DL$205^A92,IF(A92='Données projet'!$A$166,'Données projet'!$B$166,DO91+DN92-DW91)))</f>
        <v>268.79999999999973</v>
      </c>
      <c r="DP92" s="18">
        <f>DO92*VLOOKUP('Données projet'!$B$14,Paramètres!$A$1:$I$89,3,0)*VLOOKUP('Données projet'!$B$14,Paramètres!$A$1:$I$89,5,0)</f>
        <v>289.33631999999972</v>
      </c>
      <c r="DQ92" s="14">
        <f t="shared" si="97"/>
        <v>68.936259465559303</v>
      </c>
      <c r="DR92" s="22">
        <f t="shared" si="70"/>
        <v>623.99140923584866</v>
      </c>
      <c r="DS92" s="62">
        <f t="shared" si="71"/>
        <v>917.32474256918204</v>
      </c>
      <c r="DT92" s="62">
        <f ca="1">AVERAGE(OFFSET($DS$3,0,0,'Données projet'!$E$14+1,1))-AVERAGE(OFFSET($H$3,0,0,'Données projet'!$E$14+1,1))</f>
        <v>503.92230226365683</v>
      </c>
      <c r="DU92" s="62">
        <f t="shared" si="98"/>
        <v>267.2998309535638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5.2</v>
      </c>
      <c r="EJ92" s="13">
        <f>IF('Données projet'!$A$192&gt;35,EJ91+EI92-ER91,IF(A92&lt;'Données projet'!$A$192,$EG$205^A92,IF(A92='Données projet'!$A$192,'Données projet'!$B$192,EJ91+EI92-ER91)))</f>
        <v>268.79999999999973</v>
      </c>
      <c r="EK92" s="18">
        <f>EJ92*VLOOKUP('Données projet'!$B$15,Paramètres!$A$1:$I$89,3,0)*VLOOKUP('Données projet'!$B$15,Paramètres!$A$1:$I$89,5,0)</f>
        <v>259.98335999999978</v>
      </c>
      <c r="EL92" s="14">
        <f t="shared" si="99"/>
        <v>62.718830967388186</v>
      </c>
      <c r="EM92" s="22">
        <f t="shared" si="73"/>
        <v>562.03964926820072</v>
      </c>
      <c r="EN92" s="62">
        <f t="shared" si="74"/>
        <v>855.37298260153398</v>
      </c>
      <c r="EO92" s="62">
        <f ca="1">AVERAGE(OFFSET($EN$3,0,0,'Données projet'!$E$15+1,1))-AVERAGE(OFFSET($H$3,0,0,'Données projet'!$E$15+1,1))</f>
        <v>457.16923206840744</v>
      </c>
      <c r="EP92" s="62">
        <f t="shared" si="100"/>
        <v>244.45149244446094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5.2</v>
      </c>
      <c r="FE92" s="13">
        <f>IF('Données projet'!$A$218&gt;35,FE91+FD92-FM91,IF(A92&lt;'Données projet'!$A$218,$FB$205^A92,IF(A92='Données projet'!$A$218,'Données projet'!$B$218,FE91+FD92-FM91)))</f>
        <v>378.80000000000035</v>
      </c>
      <c r="FF92" s="18">
        <f>FE92*VLOOKUP('Données projet'!$B$16,Paramètres!$A$1:$I$89,3,0)*VLOOKUP('Données projet'!$B$16,Paramètres!$A$1:$I$89,5,0)</f>
        <v>254.09904000000026</v>
      </c>
      <c r="FG92" s="14">
        <f t="shared" si="101"/>
        <v>61.462856045397459</v>
      </c>
      <c r="FH92" s="22">
        <f t="shared" si="76"/>
        <v>549.60363561240104</v>
      </c>
      <c r="FI92" s="62">
        <f t="shared" si="77"/>
        <v>842.93696894573441</v>
      </c>
      <c r="FJ92" s="62">
        <f ca="1">AVERAGE(OFFSET($FI$3,0,0,'Données projet'!$E$16+1,1))-AVERAGE(OFFSET($H$3,0,0,'Données projet'!$E$16+1,1))</f>
        <v>385.97853124853452</v>
      </c>
      <c r="FK92" s="62">
        <f t="shared" si="102"/>
        <v>300.99118099739695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132.280299502248</v>
      </c>
      <c r="T93" s="62">
        <f t="shared" si="88"/>
        <v>337.98099449405339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19.093304022113674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1.7143659134929527E-9</v>
      </c>
      <c r="AC93" s="24">
        <f t="shared" si="57"/>
        <v>19.09330402382804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5.2</v>
      </c>
      <c r="AI93" s="14">
        <f>IF('Données projet'!$A$62&gt;35,AI92+AH93-AQ92,IF(A93&lt;'Données projet'!$A$62,$AF$205^A93,IF(A93='Données projet'!$A$62,'Données projet'!$B$62,AI92+AH93-AQ92)))</f>
        <v>273.99999999999972</v>
      </c>
      <c r="AJ93" s="14">
        <f>AI93*VLOOKUP('Données projet'!$B$10,Paramètres!$A$1:$I$89,3,0)*VLOOKUP('Données projet'!$B$10,Paramètres!$A$1:$I$89,5,0)</f>
        <v>247.91519999999971</v>
      </c>
      <c r="AK93" s="14">
        <f t="shared" si="89"/>
        <v>60.139294964297406</v>
      </c>
      <c r="AL93" s="22">
        <f t="shared" si="58"/>
        <v>536.52824539615074</v>
      </c>
      <c r="AM93" s="62">
        <f t="shared" si="59"/>
        <v>829.86157872948411</v>
      </c>
      <c r="AN93" s="62">
        <f ca="1">AVERAGE(OFFSET($AM$3,0,0,'Données projet'!$E$10+1,1))-AVERAGE(OFFSET($H$3,0,0,'Données projet'!$E$10+1,1))</f>
        <v>430.40491895612814</v>
      </c>
      <c r="AO93" s="62">
        <f t="shared" si="90"/>
        <v>231.36959598460686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1.1368683772161603E-13</v>
      </c>
      <c r="BE93" s="14">
        <f>BD93*VLOOKUP('Données projet'!$B$11,Paramètres!$A$1:$I$89,3,0)*VLOOKUP('Données projet'!$B$11,Paramètres!$A$1:$I$89,5,0)</f>
        <v>6.7984728957526396E-14</v>
      </c>
      <c r="BF93" s="14">
        <f t="shared" si="91"/>
        <v>1.0682447123141398E-12</v>
      </c>
      <c r="BG93" s="22">
        <f t="shared" si="61"/>
        <v>1.978932943548152E-12</v>
      </c>
      <c r="BH93" s="62">
        <f t="shared" si="62"/>
        <v>293.3333333333353</v>
      </c>
      <c r="BI93" s="62">
        <f ca="1">AVERAGE(OFFSET($BH$3,0,0,'Données projet'!$E$11+1,1))-AVERAGE(OFFSET($H$3,0,0,'Données projet'!$E$11+1,1))</f>
        <v>295.83974441964551</v>
      </c>
      <c r="BJ93" s="62">
        <f t="shared" si="92"/>
        <v>212.24900914818096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-5.6843418860808015E-14</v>
      </c>
      <c r="BZ93" s="14">
        <f>BY93*VLOOKUP('Données projet'!$B$12,Paramètres!$A$1:$I$89,3,0)*VLOOKUP('Données projet'!$B$12,Paramètres!$A$1:$I$89,5,0)</f>
        <v>-3.2514435588382188E-14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309.71642374647882</v>
      </c>
      <c r="CE93" s="62">
        <f t="shared" si="94"/>
        <v>266.63880397664315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0.46396374757145042</v>
      </c>
      <c r="CM93" s="23">
        <f>EXP(-LN(2)/2)*CM92+(1-EXP(-LN(2)/2))/(LN(2)/2)*CG93*CJ93*VLOOKUP('Données projet'!$B$12,Paramètres!$A$1:$I$89,3,0)*0.475*44/12</f>
        <v>7.409760667675501E-9</v>
      </c>
      <c r="CN93" s="24">
        <f t="shared" si="66"/>
        <v>0.46396375498121112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-1.7053025658242404E-13</v>
      </c>
      <c r="CU93" s="18">
        <f>CT93*VLOOKUP('Données projet'!$B$13,Paramètres!$A$1:$I$89,3,0)*VLOOKUP('Données projet'!$B$13,Paramètres!$A$1:$I$89,5,0)</f>
        <v>-1.3567387213697657E-13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312.53381881960331</v>
      </c>
      <c r="CZ93" s="62">
        <f t="shared" si="96"/>
        <v>342.06887933351783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5.2</v>
      </c>
      <c r="DO93" s="13">
        <f>IF('Données projet'!$A$166&gt;35,DO92+DN93-DW92,IF(A93&lt;'Données projet'!$A$166,$DL$205^A93,IF(A93='Données projet'!$A$166,'Données projet'!$B$166,DO92+DN93-DW92)))</f>
        <v>273.99999999999972</v>
      </c>
      <c r="DP93" s="18">
        <f>DO93*VLOOKUP('Données projet'!$B$14,Paramètres!$A$1:$I$89,3,0)*VLOOKUP('Données projet'!$B$14,Paramètres!$A$1:$I$89,5,0)</f>
        <v>294.93359999999973</v>
      </c>
      <c r="DQ93" s="14">
        <f t="shared" si="97"/>
        <v>70.113300882814812</v>
      </c>
      <c r="DR93" s="22">
        <f t="shared" si="70"/>
        <v>635.79001903756864</v>
      </c>
      <c r="DS93" s="62">
        <f t="shared" si="71"/>
        <v>929.12335237090201</v>
      </c>
      <c r="DT93" s="62">
        <f ca="1">AVERAGE(OFFSET($DS$3,0,0,'Données projet'!$E$14+1,1))-AVERAGE(OFFSET($H$3,0,0,'Données projet'!$E$14+1,1))</f>
        <v>503.92230226365683</v>
      </c>
      <c r="DU93" s="62">
        <f t="shared" si="98"/>
        <v>267.2998309535638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5.2</v>
      </c>
      <c r="EJ93" s="13">
        <f>IF('Données projet'!$A$192&gt;35,EJ92+EI93-ER92,IF(A93&lt;'Données projet'!$A$192,$EG$205^A93,IF(A93='Données projet'!$A$192,'Données projet'!$B$192,EJ92+EI93-ER92)))</f>
        <v>273.99999999999972</v>
      </c>
      <c r="EK93" s="18">
        <f>EJ93*VLOOKUP('Données projet'!$B$15,Paramètres!$A$1:$I$89,3,0)*VLOOKUP('Données projet'!$B$15,Paramètres!$A$1:$I$89,5,0)</f>
        <v>265.01279999999974</v>
      </c>
      <c r="EL93" s="14">
        <f t="shared" si="99"/>
        <v>63.789713870852673</v>
      </c>
      <c r="EM93" s="22">
        <f t="shared" si="73"/>
        <v>572.6643783250679</v>
      </c>
      <c r="EN93" s="62">
        <f t="shared" si="74"/>
        <v>865.99771165840116</v>
      </c>
      <c r="EO93" s="62">
        <f ca="1">AVERAGE(OFFSET($EN$3,0,0,'Données projet'!$E$15+1,1))-AVERAGE(OFFSET($H$3,0,0,'Données projet'!$E$15+1,1))</f>
        <v>457.16923206840744</v>
      </c>
      <c r="EP93" s="62">
        <f t="shared" si="100"/>
        <v>244.45149244446094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>
        <f>VLOOKUP(A93,'Données projet'!$A$217:$I$237,2,0)</f>
        <v>384</v>
      </c>
      <c r="FC93" s="13">
        <f>VLOOKUP(A93,'Données projet'!$A$217:$I$237,9,0)</f>
        <v>5.2</v>
      </c>
      <c r="FD93" s="13">
        <f t="array" ref="FD93">INDEX(FC:FC,MIN(IF(ISNUMBER(FC93:FC289),ROW(FC93:FC289),"")))</f>
        <v>5.2</v>
      </c>
      <c r="FE93" s="13">
        <f>IF('Données projet'!$A$218&gt;35,FE92+FD93-FM92,IF(A93&lt;'Données projet'!$A$218,$FB$205^A93,IF(A93='Données projet'!$A$218,'Données projet'!$B$218,FE92+FD93-FM92)))</f>
        <v>384.00000000000034</v>
      </c>
      <c r="FF93" s="18">
        <f>FE93*VLOOKUP('Données projet'!$B$16,Paramètres!$A$1:$I$89,3,0)*VLOOKUP('Données projet'!$B$16,Paramètres!$A$1:$I$89,5,0)</f>
        <v>257.58720000000022</v>
      </c>
      <c r="FG93" s="14">
        <f t="shared" si="101"/>
        <v>62.20778775804451</v>
      </c>
      <c r="FH93" s="22">
        <f t="shared" si="76"/>
        <v>556.97627034526124</v>
      </c>
      <c r="FI93" s="62">
        <f t="shared" si="77"/>
        <v>850.30960367859461</v>
      </c>
      <c r="FJ93" s="62">
        <f ca="1">AVERAGE(OFFSET($FI$3,0,0,'Données projet'!$E$16+1,1))-AVERAGE(OFFSET($H$3,0,0,'Données projet'!$E$16+1,1))</f>
        <v>385.97853124853452</v>
      </c>
      <c r="FK93" s="62">
        <f t="shared" si="102"/>
        <v>300.99118099739695</v>
      </c>
      <c r="FL93" s="16">
        <f>IF(ISNA(VLOOKUP(A93,'Données projet'!$A$217:$I$237,3,0)),0,VLOOKUP(A93,'Données projet'!$A$217:$I$237,3,0))</f>
        <v>8</v>
      </c>
      <c r="FM93" s="16">
        <f>IF(ISNA(VLOOKUP(A93,'Données projet'!$A$217:$I$237,4,0)),0,VLOOKUP(A93,'Données projet'!$A$217:$I$237,4,0))</f>
        <v>33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132.280299502248</v>
      </c>
      <c r="T94" s="62">
        <f t="shared" si="88"/>
        <v>337.98099449405339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18.718895976005555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1.2122397628659369E-9</v>
      </c>
      <c r="AC94" s="24">
        <f t="shared" si="57"/>
        <v>18.718895977217795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5.2</v>
      </c>
      <c r="AI94" s="14">
        <f>IF('Données projet'!$A$62&gt;35,AI93+AH94-AQ93,IF(A94&lt;'Données projet'!$A$62,$AF$205^A94,IF(A94='Données projet'!$A$62,'Données projet'!$B$62,AI93+AH94-AQ93)))</f>
        <v>279.1999999999997</v>
      </c>
      <c r="AJ94" s="14">
        <f>AI94*VLOOKUP('Données projet'!$B$10,Paramètres!$A$1:$I$89,3,0)*VLOOKUP('Données projet'!$B$10,Paramètres!$A$1:$I$89,5,0)</f>
        <v>252.62015999999971</v>
      </c>
      <c r="AK94" s="14">
        <f t="shared" si="89"/>
        <v>61.146667772298713</v>
      </c>
      <c r="AL94" s="22">
        <f t="shared" si="58"/>
        <v>546.477225036753</v>
      </c>
      <c r="AM94" s="62">
        <f t="shared" si="59"/>
        <v>839.81055837008626</v>
      </c>
      <c r="AN94" s="62">
        <f ca="1">AVERAGE(OFFSET($AM$3,0,0,'Données projet'!$E$10+1,1))-AVERAGE(OFFSET($H$3,0,0,'Données projet'!$E$10+1,1))</f>
        <v>430.40491895612814</v>
      </c>
      <c r="AO94" s="62">
        <f t="shared" si="90"/>
        <v>231.36959598460686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1.1368683772161603E-13</v>
      </c>
      <c r="BE94" s="14">
        <f>BD94*VLOOKUP('Données projet'!$B$11,Paramètres!$A$1:$I$89,3,0)*VLOOKUP('Données projet'!$B$11,Paramètres!$A$1:$I$89,5,0)</f>
        <v>6.7984728957526396E-14</v>
      </c>
      <c r="BF94" s="14">
        <f t="shared" si="91"/>
        <v>1.0682447123141398E-12</v>
      </c>
      <c r="BG94" s="22">
        <f t="shared" si="61"/>
        <v>1.978932943548152E-12</v>
      </c>
      <c r="BH94" s="62">
        <f t="shared" si="62"/>
        <v>293.3333333333353</v>
      </c>
      <c r="BI94" s="62">
        <f ca="1">AVERAGE(OFFSET($BH$3,0,0,'Données projet'!$E$11+1,1))-AVERAGE(OFFSET($H$3,0,0,'Données projet'!$E$11+1,1))</f>
        <v>295.83974441964551</v>
      </c>
      <c r="BJ94" s="62">
        <f t="shared" si="92"/>
        <v>212.24900914818096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-5.6843418860808015E-14</v>
      </c>
      <c r="BZ94" s="14">
        <f>BY94*VLOOKUP('Données projet'!$B$12,Paramètres!$A$1:$I$89,3,0)*VLOOKUP('Données projet'!$B$12,Paramètres!$A$1:$I$89,5,0)</f>
        <v>-3.2514435588382188E-14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309.71642374647882</v>
      </c>
      <c r="CE94" s="62">
        <f t="shared" si="94"/>
        <v>266.63880397664315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0.45127663449531602</v>
      </c>
      <c r="CM94" s="23">
        <f>EXP(-LN(2)/2)*CM93+(1-EXP(-LN(2)/2))/(LN(2)/2)*CG94*CJ94*VLOOKUP('Données projet'!$B$12,Paramètres!$A$1:$I$89,3,0)*0.475*44/12</f>
        <v>5.2394920150827074E-9</v>
      </c>
      <c r="CN94" s="24">
        <f t="shared" si="66"/>
        <v>0.45127663973480803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-1.7053025658242404E-13</v>
      </c>
      <c r="CU94" s="18">
        <f>CT94*VLOOKUP('Données projet'!$B$13,Paramètres!$A$1:$I$89,3,0)*VLOOKUP('Données projet'!$B$13,Paramètres!$A$1:$I$89,5,0)</f>
        <v>-1.3567387213697657E-13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312.53381881960331</v>
      </c>
      <c r="CZ94" s="62">
        <f t="shared" si="96"/>
        <v>342.06887933351783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5.2</v>
      </c>
      <c r="DO94" s="13">
        <f>IF('Données projet'!$A$166&gt;35,DO93+DN94-DW93,IF(A94&lt;'Données projet'!$A$166,$DL$205^A94,IF(A94='Données projet'!$A$166,'Données projet'!$B$166,DO93+DN94-DW93)))</f>
        <v>279.1999999999997</v>
      </c>
      <c r="DP94" s="18">
        <f>DO94*VLOOKUP('Données projet'!$B$14,Paramètres!$A$1:$I$89,3,0)*VLOOKUP('Données projet'!$B$14,Paramètres!$A$1:$I$89,5,0)</f>
        <v>300.53087999999963</v>
      </c>
      <c r="DQ94" s="14">
        <f t="shared" si="97"/>
        <v>71.287744860425335</v>
      </c>
      <c r="DR94" s="22">
        <f t="shared" si="70"/>
        <v>647.58410496524004</v>
      </c>
      <c r="DS94" s="62">
        <f t="shared" si="71"/>
        <v>940.91743829857342</v>
      </c>
      <c r="DT94" s="62">
        <f ca="1">AVERAGE(OFFSET($DS$3,0,0,'Données projet'!$E$14+1,1))-AVERAGE(OFFSET($H$3,0,0,'Données projet'!$E$14+1,1))</f>
        <v>503.92230226365683</v>
      </c>
      <c r="DU94" s="62">
        <f t="shared" si="98"/>
        <v>267.2998309535638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5.2</v>
      </c>
      <c r="EJ94" s="13">
        <f>IF('Données projet'!$A$192&gt;35,EJ93+EI94-ER93,IF(A94&lt;'Données projet'!$A$192,$EG$205^A94,IF(A94='Données projet'!$A$192,'Données projet'!$B$192,EJ93+EI94-ER93)))</f>
        <v>279.1999999999997</v>
      </c>
      <c r="EK94" s="18">
        <f>EJ94*VLOOKUP('Données projet'!$B$15,Paramètres!$A$1:$I$89,3,0)*VLOOKUP('Données projet'!$B$15,Paramètres!$A$1:$I$89,5,0)</f>
        <v>270.04223999999971</v>
      </c>
      <c r="EL94" s="14">
        <f t="shared" si="99"/>
        <v>64.858233600288088</v>
      </c>
      <c r="EM94" s="22">
        <f t="shared" si="73"/>
        <v>583.28499152050119</v>
      </c>
      <c r="EN94" s="62">
        <f t="shared" si="74"/>
        <v>876.61832485383457</v>
      </c>
      <c r="EO94" s="62">
        <f ca="1">AVERAGE(OFFSET($EN$3,0,0,'Données projet'!$E$15+1,1))-AVERAGE(OFFSET($H$3,0,0,'Données projet'!$E$15+1,1))</f>
        <v>457.16923206840744</v>
      </c>
      <c r="EP94" s="62">
        <f t="shared" si="100"/>
        <v>244.45149244446094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5</v>
      </c>
      <c r="FE94" s="13">
        <f>IF('Données projet'!$A$218&gt;35,FE93+FD94-FM93,IF(A94&lt;'Données projet'!$A$218,$FB$205^A94,IF(A94='Données projet'!$A$218,'Données projet'!$B$218,FE93+FD94-FM93)))</f>
        <v>356.00000000000034</v>
      </c>
      <c r="FF94" s="18">
        <f>FE94*VLOOKUP('Données projet'!$B$16,Paramètres!$A$1:$I$89,3,0)*VLOOKUP('Données projet'!$B$16,Paramètres!$A$1:$I$89,5,0)</f>
        <v>238.80480000000026</v>
      </c>
      <c r="FG94" s="14">
        <f t="shared" si="101"/>
        <v>58.182302709210305</v>
      </c>
      <c r="FH94" s="22">
        <f t="shared" si="76"/>
        <v>517.25253721854165</v>
      </c>
      <c r="FI94" s="62">
        <f t="shared" si="77"/>
        <v>810.5858705518749</v>
      </c>
      <c r="FJ94" s="62">
        <f ca="1">AVERAGE(OFFSET($FI$3,0,0,'Données projet'!$E$16+1,1))-AVERAGE(OFFSET($H$3,0,0,'Données projet'!$E$16+1,1))</f>
        <v>385.97853124853452</v>
      </c>
      <c r="FK94" s="62">
        <f t="shared" si="102"/>
        <v>300.99118099739695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132.280299502248</v>
      </c>
      <c r="T95" s="62">
        <f t="shared" si="88"/>
        <v>337.98099449405339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18.351829843315258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8.5718295674647633E-10</v>
      </c>
      <c r="AC95" s="24">
        <f t="shared" si="57"/>
        <v>18.351829844172443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5.2</v>
      </c>
      <c r="AI95" s="14">
        <f>IF('Données projet'!$A$62&gt;35,AI94+AH95-AQ94,IF(A95&lt;'Données projet'!$A$62,$AF$205^A95,IF(A95='Données projet'!$A$62,'Données projet'!$B$62,AI94+AH95-AQ94)))</f>
        <v>284.39999999999969</v>
      </c>
      <c r="AJ95" s="14">
        <f>AI95*VLOOKUP('Données projet'!$B$10,Paramètres!$A$1:$I$89,3,0)*VLOOKUP('Données projet'!$B$10,Paramètres!$A$1:$I$89,5,0)</f>
        <v>257.32511999999969</v>
      </c>
      <c r="AK95" s="14">
        <f t="shared" si="89"/>
        <v>62.151858920612597</v>
      </c>
      <c r="AL95" s="22">
        <f t="shared" si="58"/>
        <v>556.42240495339968</v>
      </c>
      <c r="AM95" s="62">
        <f t="shared" si="59"/>
        <v>849.75573828673305</v>
      </c>
      <c r="AN95" s="62">
        <f ca="1">AVERAGE(OFFSET($AM$3,0,0,'Données projet'!$E$10+1,1))-AVERAGE(OFFSET($H$3,0,0,'Données projet'!$E$10+1,1))</f>
        <v>430.40491895612814</v>
      </c>
      <c r="AO95" s="62">
        <f t="shared" si="90"/>
        <v>231.36959598460686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1.1368683772161603E-13</v>
      </c>
      <c r="BE95" s="14">
        <f>BD95*VLOOKUP('Données projet'!$B$11,Paramètres!$A$1:$I$89,3,0)*VLOOKUP('Données projet'!$B$11,Paramètres!$A$1:$I$89,5,0)</f>
        <v>6.7984728957526396E-14</v>
      </c>
      <c r="BF95" s="14">
        <f t="shared" si="91"/>
        <v>1.0682447123141398E-12</v>
      </c>
      <c r="BG95" s="22">
        <f t="shared" si="61"/>
        <v>1.978932943548152E-12</v>
      </c>
      <c r="BH95" s="62">
        <f t="shared" si="62"/>
        <v>293.3333333333353</v>
      </c>
      <c r="BI95" s="62">
        <f ca="1">AVERAGE(OFFSET($BH$3,0,0,'Données projet'!$E$11+1,1))-AVERAGE(OFFSET($H$3,0,0,'Données projet'!$E$11+1,1))</f>
        <v>295.83974441964551</v>
      </c>
      <c r="BJ95" s="62">
        <f t="shared" si="92"/>
        <v>212.24900914818096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-5.6843418860808015E-14</v>
      </c>
      <c r="BZ95" s="14">
        <f>BY95*VLOOKUP('Données projet'!$B$12,Paramètres!$A$1:$I$89,3,0)*VLOOKUP('Données projet'!$B$12,Paramètres!$A$1:$I$89,5,0)</f>
        <v>-3.2514435588382188E-14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309.71642374647882</v>
      </c>
      <c r="CE95" s="62">
        <f t="shared" si="94"/>
        <v>266.63880397664315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0.43893645119343483</v>
      </c>
      <c r="CM95" s="23">
        <f>EXP(-LN(2)/2)*CM94+(1-EXP(-LN(2)/2))/(LN(2)/2)*CG95*CJ95*VLOOKUP('Données projet'!$B$12,Paramètres!$A$1:$I$89,3,0)*0.475*44/12</f>
        <v>3.7048803338377513E-9</v>
      </c>
      <c r="CN95" s="24">
        <f t="shared" si="66"/>
        <v>0.43893645489831518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-1.7053025658242404E-13</v>
      </c>
      <c r="CU95" s="18">
        <f>CT95*VLOOKUP('Données projet'!$B$13,Paramètres!$A$1:$I$89,3,0)*VLOOKUP('Données projet'!$B$13,Paramètres!$A$1:$I$89,5,0)</f>
        <v>-1.3567387213697657E-13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312.53381881960331</v>
      </c>
      <c r="CZ95" s="62">
        <f t="shared" si="96"/>
        <v>342.06887933351783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5.2</v>
      </c>
      <c r="DO95" s="13">
        <f>IF('Données projet'!$A$166&gt;35,DO94+DN95-DW94,IF(A95&lt;'Données projet'!$A$166,$DL$205^A95,IF(A95='Données projet'!$A$166,'Données projet'!$B$166,DO94+DN95-DW94)))</f>
        <v>284.39999999999969</v>
      </c>
      <c r="DP95" s="18">
        <f>DO95*VLOOKUP('Données projet'!$B$14,Paramètres!$A$1:$I$89,3,0)*VLOOKUP('Données projet'!$B$14,Paramètres!$A$1:$I$89,5,0)</f>
        <v>306.12815999999964</v>
      </c>
      <c r="DQ95" s="14">
        <f t="shared" si="97"/>
        <v>72.459645353577386</v>
      </c>
      <c r="DR95" s="22">
        <f t="shared" si="70"/>
        <v>659.37376099081337</v>
      </c>
      <c r="DS95" s="62">
        <f t="shared" si="71"/>
        <v>952.70709432414674</v>
      </c>
      <c r="DT95" s="62">
        <f ca="1">AVERAGE(OFFSET($DS$3,0,0,'Données projet'!$E$14+1,1))-AVERAGE(OFFSET($H$3,0,0,'Données projet'!$E$14+1,1))</f>
        <v>503.92230226365683</v>
      </c>
      <c r="DU95" s="62">
        <f t="shared" si="98"/>
        <v>267.2998309535638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5.2</v>
      </c>
      <c r="EJ95" s="13">
        <f>IF('Données projet'!$A$192&gt;35,EJ94+EI95-ER94,IF(A95&lt;'Données projet'!$A$192,$EG$205^A95,IF(A95='Données projet'!$A$192,'Données projet'!$B$192,EJ94+EI95-ER94)))</f>
        <v>284.39999999999969</v>
      </c>
      <c r="EK95" s="18">
        <f>EJ95*VLOOKUP('Données projet'!$B$15,Paramètres!$A$1:$I$89,3,0)*VLOOKUP('Données projet'!$B$15,Paramètres!$A$1:$I$89,5,0)</f>
        <v>275.07167999999973</v>
      </c>
      <c r="EL95" s="14">
        <f t="shared" si="99"/>
        <v>65.924439244609644</v>
      </c>
      <c r="EM95" s="22">
        <f t="shared" si="73"/>
        <v>593.90157435102799</v>
      </c>
      <c r="EN95" s="62">
        <f t="shared" si="74"/>
        <v>887.23490768436136</v>
      </c>
      <c r="EO95" s="62">
        <f ca="1">AVERAGE(OFFSET($EN$3,0,0,'Données projet'!$E$15+1,1))-AVERAGE(OFFSET($H$3,0,0,'Données projet'!$E$15+1,1))</f>
        <v>457.16923206840744</v>
      </c>
      <c r="EP95" s="62">
        <f t="shared" si="100"/>
        <v>244.45149244446094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5</v>
      </c>
      <c r="FE95" s="13">
        <f>IF('Données projet'!$A$218&gt;35,FE94+FD95-FM94,IF(A95&lt;'Données projet'!$A$218,$FB$205^A95,IF(A95='Données projet'!$A$218,'Données projet'!$B$218,FE94+FD95-FM94)))</f>
        <v>361.00000000000034</v>
      </c>
      <c r="FF95" s="18">
        <f>FE95*VLOOKUP('Données projet'!$B$16,Paramètres!$A$1:$I$89,3,0)*VLOOKUP('Données projet'!$B$16,Paramètres!$A$1:$I$89,5,0)</f>
        <v>242.15880000000021</v>
      </c>
      <c r="FG95" s="14">
        <f t="shared" si="101"/>
        <v>58.903764471111991</v>
      </c>
      <c r="FH95" s="22">
        <f t="shared" si="76"/>
        <v>524.35063312052034</v>
      </c>
      <c r="FI95" s="62">
        <f t="shared" si="77"/>
        <v>817.6839664538536</v>
      </c>
      <c r="FJ95" s="62">
        <f ca="1">AVERAGE(OFFSET($FI$3,0,0,'Données projet'!$E$16+1,1))-AVERAGE(OFFSET($H$3,0,0,'Données projet'!$E$16+1,1))</f>
        <v>385.97853124853452</v>
      </c>
      <c r="FK95" s="62">
        <f t="shared" si="102"/>
        <v>300.99118099739695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132.280299502248</v>
      </c>
      <c r="T96" s="62">
        <f t="shared" si="88"/>
        <v>337.98099449405339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17.991961653598782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6.0611988143296846E-10</v>
      </c>
      <c r="AC96" s="24">
        <f t="shared" si="57"/>
        <v>17.991961654204903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5.2</v>
      </c>
      <c r="AI96" s="14">
        <f>IF('Données projet'!$A$62&gt;35,AI95+AH96-AQ95,IF(A96&lt;'Données projet'!$A$62,$AF$205^A96,IF(A96='Données projet'!$A$62,'Données projet'!$B$62,AI95+AH96-AQ95)))</f>
        <v>289.59999999999968</v>
      </c>
      <c r="AJ96" s="14">
        <f>AI96*VLOOKUP('Données projet'!$B$10,Paramètres!$A$1:$I$89,3,0)*VLOOKUP('Données projet'!$B$10,Paramètres!$A$1:$I$89,5,0)</f>
        <v>262.03007999999966</v>
      </c>
      <c r="AK96" s="14">
        <f t="shared" si="89"/>
        <v>63.154912899742527</v>
      </c>
      <c r="AL96" s="22">
        <f t="shared" si="58"/>
        <v>566.36386263371753</v>
      </c>
      <c r="AM96" s="62">
        <f t="shared" si="59"/>
        <v>859.6971959670509</v>
      </c>
      <c r="AN96" s="62">
        <f ca="1">AVERAGE(OFFSET($AM$3,0,0,'Données projet'!$E$10+1,1))-AVERAGE(OFFSET($H$3,0,0,'Données projet'!$E$10+1,1))</f>
        <v>430.40491895612814</v>
      </c>
      <c r="AO96" s="62">
        <f t="shared" si="90"/>
        <v>231.36959598460686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1.1368683772161603E-13</v>
      </c>
      <c r="BE96" s="14">
        <f>BD96*VLOOKUP('Données projet'!$B$11,Paramètres!$A$1:$I$89,3,0)*VLOOKUP('Données projet'!$B$11,Paramètres!$A$1:$I$89,5,0)</f>
        <v>6.7984728957526396E-14</v>
      </c>
      <c r="BF96" s="14">
        <f t="shared" si="91"/>
        <v>1.0682447123141398E-12</v>
      </c>
      <c r="BG96" s="22">
        <f t="shared" si="61"/>
        <v>1.978932943548152E-12</v>
      </c>
      <c r="BH96" s="62">
        <f t="shared" si="62"/>
        <v>293.3333333333353</v>
      </c>
      <c r="BI96" s="62">
        <f ca="1">AVERAGE(OFFSET($BH$3,0,0,'Données projet'!$E$11+1,1))-AVERAGE(OFFSET($H$3,0,0,'Données projet'!$E$11+1,1))</f>
        <v>295.83974441964551</v>
      </c>
      <c r="BJ96" s="62">
        <f t="shared" si="92"/>
        <v>212.24900914818096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-5.6843418860808015E-14</v>
      </c>
      <c r="BZ96" s="14">
        <f>BY96*VLOOKUP('Données projet'!$B$12,Paramètres!$A$1:$I$89,3,0)*VLOOKUP('Données projet'!$B$12,Paramètres!$A$1:$I$89,5,0)</f>
        <v>-3.2514435588382188E-14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309.71642374647882</v>
      </c>
      <c r="CE96" s="62">
        <f t="shared" si="94"/>
        <v>266.63880397664315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0.42693371085288556</v>
      </c>
      <c r="CM96" s="23">
        <f>EXP(-LN(2)/2)*CM95+(1-EXP(-LN(2)/2))/(LN(2)/2)*CG96*CJ96*VLOOKUP('Données projet'!$B$12,Paramètres!$A$1:$I$89,3,0)*0.475*44/12</f>
        <v>2.6197460075413541E-9</v>
      </c>
      <c r="CN96" s="24">
        <f t="shared" si="66"/>
        <v>0.42693371347263159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-1.7053025658242404E-13</v>
      </c>
      <c r="CU96" s="18">
        <f>CT96*VLOOKUP('Données projet'!$B$13,Paramètres!$A$1:$I$89,3,0)*VLOOKUP('Données projet'!$B$13,Paramètres!$A$1:$I$89,5,0)</f>
        <v>-1.3567387213697657E-13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312.53381881960331</v>
      </c>
      <c r="CZ96" s="62">
        <f t="shared" si="96"/>
        <v>342.06887933351783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5.2</v>
      </c>
      <c r="DO96" s="13">
        <f>IF('Données projet'!$A$166&gt;35,DO95+DN96-DW95,IF(A96&lt;'Données projet'!$A$166,$DL$205^A96,IF(A96='Données projet'!$A$166,'Données projet'!$B$166,DO95+DN96-DW95)))</f>
        <v>289.59999999999968</v>
      </c>
      <c r="DP96" s="18">
        <f>DO96*VLOOKUP('Données projet'!$B$14,Paramètres!$A$1:$I$89,3,0)*VLOOKUP('Données projet'!$B$14,Paramètres!$A$1:$I$89,5,0)</f>
        <v>311.72543999999965</v>
      </c>
      <c r="DQ96" s="14">
        <f t="shared" si="97"/>
        <v>73.629054231453196</v>
      </c>
      <c r="DR96" s="22">
        <f t="shared" si="70"/>
        <v>671.1590774531137</v>
      </c>
      <c r="DS96" s="62">
        <f t="shared" si="71"/>
        <v>964.49241078644695</v>
      </c>
      <c r="DT96" s="62">
        <f ca="1">AVERAGE(OFFSET($DS$3,0,0,'Données projet'!$E$14+1,1))-AVERAGE(OFFSET($H$3,0,0,'Données projet'!$E$14+1,1))</f>
        <v>503.92230226365683</v>
      </c>
      <c r="DU96" s="62">
        <f t="shared" si="98"/>
        <v>267.2998309535638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5.2</v>
      </c>
      <c r="EJ96" s="13">
        <f>IF('Données projet'!$A$192&gt;35,EJ95+EI96-ER95,IF(A96&lt;'Données projet'!$A$192,$EG$205^A96,IF(A96='Données projet'!$A$192,'Données projet'!$B$192,EJ95+EI96-ER95)))</f>
        <v>289.59999999999968</v>
      </c>
      <c r="EK96" s="18">
        <f>EJ96*VLOOKUP('Données projet'!$B$15,Paramètres!$A$1:$I$89,3,0)*VLOOKUP('Données projet'!$B$15,Paramètres!$A$1:$I$89,5,0)</f>
        <v>280.1011199999997</v>
      </c>
      <c r="EL96" s="14">
        <f t="shared" si="99"/>
        <v>66.988377994867761</v>
      </c>
      <c r="EM96" s="22">
        <f t="shared" si="73"/>
        <v>604.51420900772746</v>
      </c>
      <c r="EN96" s="62">
        <f t="shared" si="74"/>
        <v>897.84754234106072</v>
      </c>
      <c r="EO96" s="62">
        <f ca="1">AVERAGE(OFFSET($EN$3,0,0,'Données projet'!$E$15+1,1))-AVERAGE(OFFSET($H$3,0,0,'Données projet'!$E$15+1,1))</f>
        <v>457.16923206840744</v>
      </c>
      <c r="EP96" s="62">
        <f t="shared" si="100"/>
        <v>244.45149244446094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5</v>
      </c>
      <c r="FE96" s="13">
        <f>IF('Données projet'!$A$218&gt;35,FE95+FD96-FM95,IF(A96&lt;'Données projet'!$A$218,$FB$205^A96,IF(A96='Données projet'!$A$218,'Données projet'!$B$218,FE95+FD96-FM95)))</f>
        <v>366.00000000000034</v>
      </c>
      <c r="FF96" s="18">
        <f>FE96*VLOOKUP('Données projet'!$B$16,Paramètres!$A$1:$I$89,3,0)*VLOOKUP('Données projet'!$B$16,Paramètres!$A$1:$I$89,5,0)</f>
        <v>245.51280000000023</v>
      </c>
      <c r="FG96" s="14">
        <f t="shared" si="101"/>
        <v>59.624063998553204</v>
      </c>
      <c r="FH96" s="22">
        <f t="shared" si="76"/>
        <v>531.44670479748049</v>
      </c>
      <c r="FI96" s="62">
        <f t="shared" si="77"/>
        <v>824.78003813081386</v>
      </c>
      <c r="FJ96" s="62">
        <f ca="1">AVERAGE(OFFSET($FI$3,0,0,'Données projet'!$E$16+1,1))-AVERAGE(OFFSET($H$3,0,0,'Données projet'!$E$16+1,1))</f>
        <v>385.97853124853452</v>
      </c>
      <c r="FK96" s="62">
        <f t="shared" si="102"/>
        <v>300.99118099739695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132.280299502248</v>
      </c>
      <c r="T97" s="62">
        <f t="shared" si="88"/>
        <v>337.98099449405339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17.639150259584724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4.2859147837323816E-10</v>
      </c>
      <c r="AC97" s="24">
        <f t="shared" si="57"/>
        <v>17.639150260013317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5.2</v>
      </c>
      <c r="AI97" s="14">
        <f>IF('Données projet'!$A$62&gt;35,AI96+AH97-AQ96,IF(A97&lt;'Données projet'!$A$62,$AF$205^A97,IF(A97='Données projet'!$A$62,'Données projet'!$B$62,AI96+AH97-AQ96)))</f>
        <v>294.79999999999967</v>
      </c>
      <c r="AJ97" s="14">
        <f>AI97*VLOOKUP('Données projet'!$B$10,Paramètres!$A$1:$I$89,3,0)*VLOOKUP('Données projet'!$B$10,Paramètres!$A$1:$I$89,5,0)</f>
        <v>266.73503999999969</v>
      </c>
      <c r="AK97" s="14">
        <f t="shared" si="89"/>
        <v>64.155872510973168</v>
      </c>
      <c r="AL97" s="22">
        <f t="shared" si="58"/>
        <v>576.30167262327768</v>
      </c>
      <c r="AM97" s="62">
        <f t="shared" si="59"/>
        <v>869.63500595661094</v>
      </c>
      <c r="AN97" s="62">
        <f ca="1">AVERAGE(OFFSET($AM$3,0,0,'Données projet'!$E$10+1,1))-AVERAGE(OFFSET($H$3,0,0,'Données projet'!$E$10+1,1))</f>
        <v>430.40491895612814</v>
      </c>
      <c r="AO97" s="62">
        <f t="shared" si="90"/>
        <v>231.36959598460686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1.1368683772161603E-13</v>
      </c>
      <c r="BE97" s="14">
        <f>BD97*VLOOKUP('Données projet'!$B$11,Paramètres!$A$1:$I$89,3,0)*VLOOKUP('Données projet'!$B$11,Paramètres!$A$1:$I$89,5,0)</f>
        <v>6.7984728957526396E-14</v>
      </c>
      <c r="BF97" s="14">
        <f t="shared" si="91"/>
        <v>1.0682447123141398E-12</v>
      </c>
      <c r="BG97" s="22">
        <f t="shared" si="61"/>
        <v>1.978932943548152E-12</v>
      </c>
      <c r="BH97" s="62">
        <f t="shared" si="62"/>
        <v>293.3333333333353</v>
      </c>
      <c r="BI97" s="62">
        <f ca="1">AVERAGE(OFFSET($BH$3,0,0,'Données projet'!$E$11+1,1))-AVERAGE(OFFSET($H$3,0,0,'Données projet'!$E$11+1,1))</f>
        <v>295.83974441964551</v>
      </c>
      <c r="BJ97" s="62">
        <f t="shared" si="92"/>
        <v>212.24900914818096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-5.6843418860808015E-14</v>
      </c>
      <c r="BZ97" s="14">
        <f>BY97*VLOOKUP('Données projet'!$B$12,Paramètres!$A$1:$I$89,3,0)*VLOOKUP('Données projet'!$B$12,Paramètres!$A$1:$I$89,5,0)</f>
        <v>-3.2514435588382188E-14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309.71642374647882</v>
      </c>
      <c r="CE97" s="62">
        <f t="shared" si="94"/>
        <v>266.63880397664315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0.41525918607814533</v>
      </c>
      <c r="CM97" s="23">
        <f>EXP(-LN(2)/2)*CM96+(1-EXP(-LN(2)/2))/(LN(2)/2)*CG97*CJ97*VLOOKUP('Données projet'!$B$12,Paramètres!$A$1:$I$89,3,0)*0.475*44/12</f>
        <v>1.8524401669188759E-9</v>
      </c>
      <c r="CN97" s="24">
        <f t="shared" si="66"/>
        <v>0.41525918793058547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-1.7053025658242404E-13</v>
      </c>
      <c r="CU97" s="18">
        <f>CT97*VLOOKUP('Données projet'!$B$13,Paramètres!$A$1:$I$89,3,0)*VLOOKUP('Données projet'!$B$13,Paramètres!$A$1:$I$89,5,0)</f>
        <v>-1.3567387213697657E-13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312.53381881960331</v>
      </c>
      <c r="CZ97" s="62">
        <f t="shared" si="96"/>
        <v>342.06887933351783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5.2</v>
      </c>
      <c r="DO97" s="13">
        <f>IF('Données projet'!$A$166&gt;35,DO96+DN97-DW96,IF(A97&lt;'Données projet'!$A$166,$DL$205^A97,IF(A97='Données projet'!$A$166,'Données projet'!$B$166,DO96+DN97-DW96)))</f>
        <v>294.79999999999967</v>
      </c>
      <c r="DP97" s="18">
        <f>DO97*VLOOKUP('Données projet'!$B$14,Paramètres!$A$1:$I$89,3,0)*VLOOKUP('Données projet'!$B$14,Paramètres!$A$1:$I$89,5,0)</f>
        <v>317.32271999999961</v>
      </c>
      <c r="DQ97" s="14">
        <f t="shared" si="97"/>
        <v>74.796021393862063</v>
      </c>
      <c r="DR97" s="22">
        <f t="shared" si="70"/>
        <v>682.94014126097579</v>
      </c>
      <c r="DS97" s="62">
        <f t="shared" si="71"/>
        <v>976.27347459430916</v>
      </c>
      <c r="DT97" s="62">
        <f ca="1">AVERAGE(OFFSET($DS$3,0,0,'Données projet'!$E$14+1,1))-AVERAGE(OFFSET($H$3,0,0,'Données projet'!$E$14+1,1))</f>
        <v>503.92230226365683</v>
      </c>
      <c r="DU97" s="62">
        <f t="shared" si="98"/>
        <v>267.2998309535638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5.2</v>
      </c>
      <c r="EJ97" s="13">
        <f>IF('Données projet'!$A$192&gt;35,EJ96+EI97-ER96,IF(A97&lt;'Données projet'!$A$192,$EG$205^A97,IF(A97='Données projet'!$A$192,'Données projet'!$B$192,EJ96+EI97-ER96)))</f>
        <v>294.79999999999967</v>
      </c>
      <c r="EK97" s="18">
        <f>EJ97*VLOOKUP('Données projet'!$B$15,Paramètres!$A$1:$I$89,3,0)*VLOOKUP('Données projet'!$B$15,Paramètres!$A$1:$I$89,5,0)</f>
        <v>285.13055999999966</v>
      </c>
      <c r="EL97" s="14">
        <f t="shared" si="99"/>
        <v>68.050095250359178</v>
      </c>
      <c r="EM97" s="22">
        <f t="shared" si="73"/>
        <v>615.12297456104159</v>
      </c>
      <c r="EN97" s="62">
        <f t="shared" si="74"/>
        <v>908.45630789437496</v>
      </c>
      <c r="EO97" s="62">
        <f ca="1">AVERAGE(OFFSET($EN$3,0,0,'Données projet'!$E$15+1,1))-AVERAGE(OFFSET($H$3,0,0,'Données projet'!$E$15+1,1))</f>
        <v>457.16923206840744</v>
      </c>
      <c r="EP97" s="62">
        <f t="shared" si="100"/>
        <v>244.45149244446094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5</v>
      </c>
      <c r="FE97" s="13">
        <f>IF('Données projet'!$A$218&gt;35,FE96+FD97-FM96,IF(A97&lt;'Données projet'!$A$218,$FB$205^A97,IF(A97='Données projet'!$A$218,'Données projet'!$B$218,FE96+FD97-FM96)))</f>
        <v>371.00000000000034</v>
      </c>
      <c r="FF97" s="18">
        <f>FE97*VLOOKUP('Données projet'!$B$16,Paramètres!$A$1:$I$89,3,0)*VLOOKUP('Données projet'!$B$16,Paramètres!$A$1:$I$89,5,0)</f>
        <v>248.86680000000024</v>
      </c>
      <c r="FG97" s="14">
        <f t="shared" si="101"/>
        <v>60.343219004220018</v>
      </c>
      <c r="FH97" s="22">
        <f t="shared" si="76"/>
        <v>538.54078309901695</v>
      </c>
      <c r="FI97" s="62">
        <f t="shared" si="77"/>
        <v>831.87411643235032</v>
      </c>
      <c r="FJ97" s="62">
        <f ca="1">AVERAGE(OFFSET($FI$3,0,0,'Données projet'!$E$16+1,1))-AVERAGE(OFFSET($H$3,0,0,'Données projet'!$E$16+1,1))</f>
        <v>385.97853124853452</v>
      </c>
      <c r="FK97" s="62">
        <f t="shared" si="102"/>
        <v>300.99118099739695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132.280299502248</v>
      </c>
      <c r="T98" s="62">
        <f t="shared" si="88"/>
        <v>337.98099449405339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17.293257281813581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3.0305994071648423E-10</v>
      </c>
      <c r="AC98" s="24">
        <f t="shared" si="57"/>
        <v>17.293257282116642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300</v>
      </c>
      <c r="AG98" s="13">
        <f>VLOOKUP(A98,'Données projet'!$A$61:$I$81,9,0)</f>
        <v>5.2</v>
      </c>
      <c r="AH98" s="13">
        <f t="array" ref="AH98">INDEX(AG:AG,MIN(IF(ISNUMBER(AG98:AG294),ROW(AG98:AG294),"")))</f>
        <v>5.2</v>
      </c>
      <c r="AI98" s="14">
        <f>IF('Données projet'!$A$62&gt;35,AI97+AH98-AQ97,IF(A98&lt;'Données projet'!$A$62,$AF$205^A98,IF(A98='Données projet'!$A$62,'Données projet'!$B$62,AI97+AH98-AQ97)))</f>
        <v>299.99999999999966</v>
      </c>
      <c r="AJ98" s="14">
        <f>AI98*VLOOKUP('Données projet'!$B$10,Paramètres!$A$1:$I$89,3,0)*VLOOKUP('Données projet'!$B$10,Paramètres!$A$1:$I$89,5,0)</f>
        <v>271.43999999999971</v>
      </c>
      <c r="AK98" s="14">
        <f t="shared" si="89"/>
        <v>65.154778959151116</v>
      </c>
      <c r="AL98" s="22">
        <f t="shared" si="58"/>
        <v>586.23590668718782</v>
      </c>
      <c r="AM98" s="62">
        <f t="shared" si="59"/>
        <v>879.56924002052119</v>
      </c>
      <c r="AN98" s="62">
        <f ca="1">AVERAGE(OFFSET($AM$3,0,0,'Données projet'!$E$10+1,1))-AVERAGE(OFFSET($H$3,0,0,'Données projet'!$E$10+1,1))</f>
        <v>430.40491895612814</v>
      </c>
      <c r="AO98" s="62">
        <f t="shared" si="90"/>
        <v>231.36959598460686</v>
      </c>
      <c r="AP98" s="16">
        <f>IF(ISNA(VLOOKUP(A98,'Données projet'!$A$61:$I$81,3,0)),0,VLOOKUP(A98,'Données projet'!$A$61:$I$81,3,0))</f>
        <v>8</v>
      </c>
      <c r="AQ98" s="16">
        <f>IF(ISNA(VLOOKUP(A98,'Données projet'!$A$61:$I$81,4,0)),0,VLOOKUP(A98,'Données projet'!$A$61:$I$81,4,0))</f>
        <v>42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1.1368683772161603E-13</v>
      </c>
      <c r="BE98" s="14">
        <f>BD98*VLOOKUP('Données projet'!$B$11,Paramètres!$A$1:$I$89,3,0)*VLOOKUP('Données projet'!$B$11,Paramètres!$A$1:$I$89,5,0)</f>
        <v>6.7984728957526396E-14</v>
      </c>
      <c r="BF98" s="14">
        <f t="shared" si="91"/>
        <v>1.0682447123141398E-12</v>
      </c>
      <c r="BG98" s="22">
        <f t="shared" si="61"/>
        <v>1.978932943548152E-12</v>
      </c>
      <c r="BH98" s="62">
        <f t="shared" si="62"/>
        <v>293.3333333333353</v>
      </c>
      <c r="BI98" s="62">
        <f ca="1">AVERAGE(OFFSET($BH$3,0,0,'Données projet'!$E$11+1,1))-AVERAGE(OFFSET($H$3,0,0,'Données projet'!$E$11+1,1))</f>
        <v>295.83974441964551</v>
      </c>
      <c r="BJ98" s="62">
        <f t="shared" si="92"/>
        <v>212.24900914818096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-5.6843418860808015E-14</v>
      </c>
      <c r="BZ98" s="14">
        <f>BY98*VLOOKUP('Données projet'!$B$12,Paramètres!$A$1:$I$89,3,0)*VLOOKUP('Données projet'!$B$12,Paramètres!$A$1:$I$89,5,0)</f>
        <v>-3.2514435588382188E-14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309.71642374647882</v>
      </c>
      <c r="CE98" s="62">
        <f t="shared" si="94"/>
        <v>266.63880397664315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0.40390390179730695</v>
      </c>
      <c r="CM98" s="23">
        <f>EXP(-LN(2)/2)*CM97+(1-EXP(-LN(2)/2))/(LN(2)/2)*CG98*CJ98*VLOOKUP('Données projet'!$B$12,Paramètres!$A$1:$I$89,3,0)*0.475*44/12</f>
        <v>1.3098730037706773E-9</v>
      </c>
      <c r="CN98" s="24">
        <f t="shared" si="66"/>
        <v>0.40390390310717994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-1.7053025658242404E-13</v>
      </c>
      <c r="CU98" s="18">
        <f>CT98*VLOOKUP('Données projet'!$B$13,Paramètres!$A$1:$I$89,3,0)*VLOOKUP('Données projet'!$B$13,Paramètres!$A$1:$I$89,5,0)</f>
        <v>-1.3567387213697657E-13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312.53381881960331</v>
      </c>
      <c r="CZ98" s="62">
        <f t="shared" si="96"/>
        <v>342.06887933351783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300</v>
      </c>
      <c r="DM98" s="13">
        <f>VLOOKUP(A98,'Données projet'!$A$165:$I$185,9,0)</f>
        <v>5.2</v>
      </c>
      <c r="DN98" s="13">
        <f t="array" ref="DN98">INDEX(DM:DM,MIN(IF(ISNUMBER(DM98:DM294),ROW(DM98:DM294),"")))</f>
        <v>5.2</v>
      </c>
      <c r="DO98" s="13">
        <f>IF('Données projet'!$A$166&gt;35,DO97+DN98-DW97,IF(A98&lt;'Données projet'!$A$166,$DL$205^A98,IF(A98='Données projet'!$A$166,'Données projet'!$B$166,DO97+DN98-DW97)))</f>
        <v>299.99999999999966</v>
      </c>
      <c r="DP98" s="18">
        <f>DO98*VLOOKUP('Données projet'!$B$14,Paramètres!$A$1:$I$89,3,0)*VLOOKUP('Données projet'!$B$14,Paramètres!$A$1:$I$89,5,0)</f>
        <v>322.91999999999962</v>
      </c>
      <c r="DQ98" s="14">
        <f t="shared" si="97"/>
        <v>75.960594879408688</v>
      </c>
      <c r="DR98" s="22">
        <f t="shared" si="70"/>
        <v>694.71703608163614</v>
      </c>
      <c r="DS98" s="62">
        <f t="shared" si="71"/>
        <v>988.05036941496951</v>
      </c>
      <c r="DT98" s="62">
        <f ca="1">AVERAGE(OFFSET($DS$3,0,0,'Données projet'!$E$14+1,1))-AVERAGE(OFFSET($H$3,0,0,'Données projet'!$E$14+1,1))</f>
        <v>503.92230226365683</v>
      </c>
      <c r="DU98" s="62">
        <f t="shared" si="98"/>
        <v>267.2998309535638</v>
      </c>
      <c r="DV98" s="16">
        <f>IF(ISNA(VLOOKUP(A98,'Données projet'!$A$165:$I$185,3,0)),0,VLOOKUP(A98,'Données projet'!$A$165:$I$185,3,0))</f>
        <v>8</v>
      </c>
      <c r="DW98" s="16">
        <f>IF(ISNA(VLOOKUP(A98,'Données projet'!$A$165:$I$185,4,0)),0,VLOOKUP(A98,'Données projet'!$A$165:$I$185,4,0))</f>
        <v>42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>
        <f>VLOOKUP(A98,'Données projet'!$A$191:$I$211,2,0)</f>
        <v>300</v>
      </c>
      <c r="EH98" s="13">
        <f>VLOOKUP(A98,'Données projet'!$A$191:$I$211,9,0)</f>
        <v>5.2</v>
      </c>
      <c r="EI98" s="13">
        <f t="array" ref="EI98">INDEX(EH:EH,MIN(IF(ISNUMBER(EH98:EH294),ROW(EH98:EH294),"")))</f>
        <v>5.2</v>
      </c>
      <c r="EJ98" s="13">
        <f>IF('Données projet'!$A$192&gt;35,EJ97+EI98-ER97,IF(A98&lt;'Données projet'!$A$192,$EG$205^A98,IF(A98='Données projet'!$A$192,'Données projet'!$B$192,EJ97+EI98-ER97)))</f>
        <v>299.99999999999966</v>
      </c>
      <c r="EK98" s="18">
        <f>EJ98*VLOOKUP('Données projet'!$B$15,Paramètres!$A$1:$I$89,3,0)*VLOOKUP('Données projet'!$B$15,Paramètres!$A$1:$I$89,5,0)</f>
        <v>290.15999999999968</v>
      </c>
      <c r="EL98" s="14">
        <f t="shared" si="99"/>
        <v>69.109634717039867</v>
      </c>
      <c r="EM98" s="22">
        <f t="shared" si="73"/>
        <v>625.72794713217718</v>
      </c>
      <c r="EN98" s="62">
        <f t="shared" si="74"/>
        <v>919.06128046551044</v>
      </c>
      <c r="EO98" s="62">
        <f ca="1">AVERAGE(OFFSET($EN$3,0,0,'Données projet'!$E$15+1,1))-AVERAGE(OFFSET($H$3,0,0,'Données projet'!$E$15+1,1))</f>
        <v>457.16923206840744</v>
      </c>
      <c r="EP98" s="62">
        <f t="shared" si="100"/>
        <v>244.45149244446094</v>
      </c>
      <c r="EQ98" s="16">
        <f>IF(ISNA(VLOOKUP(A98,'Données projet'!$A$191:$I$211,3,0)),0,VLOOKUP(A98,'Données projet'!$A$191:$I$211,3,0))</f>
        <v>8</v>
      </c>
      <c r="ER98" s="16">
        <f>IF(ISNA(VLOOKUP(A98,'Données projet'!$A$191:$I$211,4,0)),0,VLOOKUP(A98,'Données projet'!$A$191:$I$211,4,0))</f>
        <v>42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>
        <f>VLOOKUP(A98,'Données projet'!$A$217:$I$237,2,0)</f>
        <v>376</v>
      </c>
      <c r="FC98" s="13">
        <f>VLOOKUP(A98,'Données projet'!$A$217:$I$237,9,0)</f>
        <v>5</v>
      </c>
      <c r="FD98" s="13">
        <f t="array" ref="FD98">INDEX(FC:FC,MIN(IF(ISNUMBER(FC98:FC294),ROW(FC98:FC294),"")))</f>
        <v>5</v>
      </c>
      <c r="FE98" s="13">
        <f>IF('Données projet'!$A$218&gt;35,FE97+FD98-FM97,IF(A98&lt;'Données projet'!$A$218,$FB$205^A98,IF(A98='Données projet'!$A$218,'Données projet'!$B$218,FE97+FD98-FM97)))</f>
        <v>376.00000000000034</v>
      </c>
      <c r="FF98" s="18">
        <f>FE98*VLOOKUP('Données projet'!$B$16,Paramètres!$A$1:$I$89,3,0)*VLOOKUP('Données projet'!$B$16,Paramètres!$A$1:$I$89,5,0)</f>
        <v>252.22080000000025</v>
      </c>
      <c r="FG98" s="14">
        <f t="shared" si="101"/>
        <v>61.061246695931679</v>
      </c>
      <c r="FH98" s="22">
        <f t="shared" si="76"/>
        <v>545.63289799541474</v>
      </c>
      <c r="FI98" s="62">
        <f t="shared" si="77"/>
        <v>838.96623132874811</v>
      </c>
      <c r="FJ98" s="62">
        <f ca="1">AVERAGE(OFFSET($FI$3,0,0,'Données projet'!$E$16+1,1))-AVERAGE(OFFSET($H$3,0,0,'Données projet'!$E$16+1,1))</f>
        <v>385.97853124853452</v>
      </c>
      <c r="FK98" s="62">
        <f t="shared" si="102"/>
        <v>300.99118099739695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132.280299502248</v>
      </c>
      <c r="T99" s="62">
        <f t="shared" si="88"/>
        <v>337.98099449405339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16.954147054362647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2.1429573918661908E-10</v>
      </c>
      <c r="AC99" s="24">
        <f t="shared" si="57"/>
        <v>16.954147054576943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4.7</v>
      </c>
      <c r="AI99" s="14">
        <f>IF('Données projet'!$A$62&gt;35,AI98+AH99-AQ98,IF(A99&lt;'Données projet'!$A$62,$AF$205^A99,IF(A99='Données projet'!$A$62,'Données projet'!$B$62,AI98+AH99-AQ98)))</f>
        <v>262.69999999999965</v>
      </c>
      <c r="AJ99" s="14">
        <f>AI99*VLOOKUP('Données projet'!$B$10,Paramètres!$A$1:$I$89,3,0)*VLOOKUP('Données projet'!$B$10,Paramètres!$A$1:$I$89,5,0)</f>
        <v>237.69095999999968</v>
      </c>
      <c r="AK99" s="14">
        <f t="shared" si="89"/>
        <v>57.942450096949344</v>
      </c>
      <c r="AL99" s="22">
        <f t="shared" si="58"/>
        <v>514.89485591885284</v>
      </c>
      <c r="AM99" s="62">
        <f t="shared" si="59"/>
        <v>808.22818925218621</v>
      </c>
      <c r="AN99" s="62">
        <f ca="1">AVERAGE(OFFSET($AM$3,0,0,'Données projet'!$E$10+1,1))-AVERAGE(OFFSET($H$3,0,0,'Données projet'!$E$10+1,1))</f>
        <v>430.40491895612814</v>
      </c>
      <c r="AO99" s="62">
        <f t="shared" si="90"/>
        <v>231.36959598460686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1.1368683772161603E-13</v>
      </c>
      <c r="BE99" s="14">
        <f>BD99*VLOOKUP('Données projet'!$B$11,Paramètres!$A$1:$I$89,3,0)*VLOOKUP('Données projet'!$B$11,Paramètres!$A$1:$I$89,5,0)</f>
        <v>6.7984728957526396E-14</v>
      </c>
      <c r="BF99" s="14">
        <f t="shared" si="91"/>
        <v>1.0682447123141398E-12</v>
      </c>
      <c r="BG99" s="22">
        <f t="shared" si="61"/>
        <v>1.978932943548152E-12</v>
      </c>
      <c r="BH99" s="62">
        <f t="shared" si="62"/>
        <v>293.3333333333353</v>
      </c>
      <c r="BI99" s="62">
        <f ca="1">AVERAGE(OFFSET($BH$3,0,0,'Données projet'!$E$11+1,1))-AVERAGE(OFFSET($H$3,0,0,'Données projet'!$E$11+1,1))</f>
        <v>295.83974441964551</v>
      </c>
      <c r="BJ99" s="62">
        <f t="shared" si="92"/>
        <v>212.24900914818096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-5.6843418860808015E-14</v>
      </c>
      <c r="BZ99" s="14">
        <f>BY99*VLOOKUP('Données projet'!$B$12,Paramètres!$A$1:$I$89,3,0)*VLOOKUP('Données projet'!$B$12,Paramètres!$A$1:$I$89,5,0)</f>
        <v>-3.2514435588382188E-14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309.71642374647882</v>
      </c>
      <c r="CE99" s="62">
        <f t="shared" si="94"/>
        <v>266.63880397664315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0.39285912836227654</v>
      </c>
      <c r="CM99" s="23">
        <f>EXP(-LN(2)/2)*CM98+(1-EXP(-LN(2)/2))/(LN(2)/2)*CG99*CJ99*VLOOKUP('Données projet'!$B$12,Paramètres!$A$1:$I$89,3,0)*0.475*44/12</f>
        <v>9.2622008345943804E-10</v>
      </c>
      <c r="CN99" s="24">
        <f t="shared" si="66"/>
        <v>0.39285912928849664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-1.7053025658242404E-13</v>
      </c>
      <c r="CU99" s="18">
        <f>CT99*VLOOKUP('Données projet'!$B$13,Paramètres!$A$1:$I$89,3,0)*VLOOKUP('Données projet'!$B$13,Paramètres!$A$1:$I$89,5,0)</f>
        <v>-1.3567387213697657E-13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312.53381881960331</v>
      </c>
      <c r="CZ99" s="62">
        <f t="shared" si="96"/>
        <v>342.06887933351783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4.7</v>
      </c>
      <c r="DO99" s="13">
        <f>IF('Données projet'!$A$166&gt;35,DO98+DN99-DW98,IF(A99&lt;'Données projet'!$A$166,$DL$205^A99,IF(A99='Données projet'!$A$166,'Données projet'!$B$166,DO98+DN99-DW98)))</f>
        <v>262.69999999999965</v>
      </c>
      <c r="DP99" s="18">
        <f>DO99*VLOOKUP('Données projet'!$B$14,Paramètres!$A$1:$I$89,3,0)*VLOOKUP('Données projet'!$B$14,Paramètres!$A$1:$I$89,5,0)</f>
        <v>282.77027999999962</v>
      </c>
      <c r="DQ99" s="14">
        <f t="shared" si="97"/>
        <v>67.55211280655486</v>
      </c>
      <c r="DR99" s="22">
        <f t="shared" si="70"/>
        <v>610.14483413808227</v>
      </c>
      <c r="DS99" s="62">
        <f t="shared" si="71"/>
        <v>903.47816747141565</v>
      </c>
      <c r="DT99" s="62">
        <f ca="1">AVERAGE(OFFSET($DS$3,0,0,'Données projet'!$E$14+1,1))-AVERAGE(OFFSET($H$3,0,0,'Données projet'!$E$14+1,1))</f>
        <v>503.92230226365683</v>
      </c>
      <c r="DU99" s="62">
        <f t="shared" si="98"/>
        <v>267.2998309535638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4.7</v>
      </c>
      <c r="EJ99" s="13">
        <f>IF('Données projet'!$A$192&gt;35,EJ98+EI99-ER98,IF(A99&lt;'Données projet'!$A$192,$EG$205^A99,IF(A99='Données projet'!$A$192,'Données projet'!$B$192,EJ98+EI99-ER98)))</f>
        <v>262.69999999999965</v>
      </c>
      <c r="EK99" s="18">
        <f>EJ99*VLOOKUP('Données projet'!$B$15,Paramètres!$A$1:$I$89,3,0)*VLOOKUP('Données projet'!$B$15,Paramètres!$A$1:$I$89,5,0)</f>
        <v>254.08343999999965</v>
      </c>
      <c r="EL99" s="14">
        <f t="shared" si="99"/>
        <v>61.459521845988142</v>
      </c>
      <c r="EM99" s="22">
        <f t="shared" si="73"/>
        <v>549.5706585484287</v>
      </c>
      <c r="EN99" s="62">
        <f t="shared" si="74"/>
        <v>842.90399188176207</v>
      </c>
      <c r="EO99" s="62">
        <f ca="1">AVERAGE(OFFSET($EN$3,0,0,'Données projet'!$E$15+1,1))-AVERAGE(OFFSET($H$3,0,0,'Données projet'!$E$15+1,1))</f>
        <v>457.16923206840744</v>
      </c>
      <c r="EP99" s="62">
        <f t="shared" si="100"/>
        <v>244.45149244446094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4.8</v>
      </c>
      <c r="FE99" s="13">
        <f>IF('Données projet'!$A$218&gt;35,FE98+FD99-FM98,IF(A99&lt;'Données projet'!$A$218,$FB$205^A99,IF(A99='Données projet'!$A$218,'Données projet'!$B$218,FE98+FD99-FM98)))</f>
        <v>380.80000000000035</v>
      </c>
      <c r="FF99" s="18">
        <f>FE99*VLOOKUP('Données projet'!$B$16,Paramètres!$A$1:$I$89,3,0)*VLOOKUP('Données projet'!$B$16,Paramètres!$A$1:$I$89,5,0)</f>
        <v>255.44064000000023</v>
      </c>
      <c r="FG99" s="14">
        <f t="shared" si="101"/>
        <v>61.749508231375792</v>
      </c>
      <c r="FH99" s="22">
        <f t="shared" si="76"/>
        <v>552.43950816964661</v>
      </c>
      <c r="FI99" s="62">
        <f t="shared" si="77"/>
        <v>845.77284150297987</v>
      </c>
      <c r="FJ99" s="62">
        <f ca="1">AVERAGE(OFFSET($FI$3,0,0,'Données projet'!$E$16+1,1))-AVERAGE(OFFSET($H$3,0,0,'Données projet'!$E$16+1,1))</f>
        <v>385.97853124853452</v>
      </c>
      <c r="FK99" s="62">
        <f t="shared" si="102"/>
        <v>300.99118099739695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132.280299502248</v>
      </c>
      <c r="T100" s="62">
        <f t="shared" si="88"/>
        <v>337.98099449405339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16.621686571635209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1.5152997035824211E-10</v>
      </c>
      <c r="AC100" s="24">
        <f t="shared" si="57"/>
        <v>16.621686571786739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4.7</v>
      </c>
      <c r="AI100" s="14">
        <f>IF('Données projet'!$A$62&gt;35,AI99+AH100-AQ99,IF(A100&lt;'Données projet'!$A$62,$AF$205^A100,IF(A100='Données projet'!$A$62,'Données projet'!$B$62,AI99+AH100-AQ99)))</f>
        <v>267.39999999999964</v>
      </c>
      <c r="AJ100" s="14">
        <f>AI100*VLOOKUP('Données projet'!$B$10,Paramètres!$A$1:$I$89,3,0)*VLOOKUP('Données projet'!$B$10,Paramètres!$A$1:$I$89,5,0)</f>
        <v>241.94351999999967</v>
      </c>
      <c r="AK100" s="14">
        <f t="shared" si="89"/>
        <v>58.857491789961337</v>
      </c>
      <c r="AL100" s="22">
        <f t="shared" si="58"/>
        <v>523.89509553418213</v>
      </c>
      <c r="AM100" s="62">
        <f t="shared" si="59"/>
        <v>817.2284288675155</v>
      </c>
      <c r="AN100" s="62">
        <f ca="1">AVERAGE(OFFSET($AM$3,0,0,'Données projet'!$E$10+1,1))-AVERAGE(OFFSET($H$3,0,0,'Données projet'!$E$10+1,1))</f>
        <v>430.40491895612814</v>
      </c>
      <c r="AO100" s="62">
        <f t="shared" si="90"/>
        <v>231.36959598460686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1.1368683772161603E-13</v>
      </c>
      <c r="BE100" s="14">
        <f>BD100*VLOOKUP('Données projet'!$B$11,Paramètres!$A$1:$I$89,3,0)*VLOOKUP('Données projet'!$B$11,Paramètres!$A$1:$I$89,5,0)</f>
        <v>6.7984728957526396E-14</v>
      </c>
      <c r="BF100" s="14">
        <f t="shared" si="91"/>
        <v>1.0682447123141398E-12</v>
      </c>
      <c r="BG100" s="22">
        <f t="shared" si="61"/>
        <v>1.978932943548152E-12</v>
      </c>
      <c r="BH100" s="62">
        <f t="shared" si="62"/>
        <v>293.3333333333353</v>
      </c>
      <c r="BI100" s="62">
        <f ca="1">AVERAGE(OFFSET($BH$3,0,0,'Données projet'!$E$11+1,1))-AVERAGE(OFFSET($H$3,0,0,'Données projet'!$E$11+1,1))</f>
        <v>295.83974441964551</v>
      </c>
      <c r="BJ100" s="62">
        <f t="shared" si="92"/>
        <v>212.24900914818096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-5.6843418860808015E-14</v>
      </c>
      <c r="BZ100" s="14">
        <f>BY100*VLOOKUP('Données projet'!$B$12,Paramètres!$A$1:$I$89,3,0)*VLOOKUP('Données projet'!$B$12,Paramètres!$A$1:$I$89,5,0)</f>
        <v>-3.2514435588382188E-14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309.71642374647882</v>
      </c>
      <c r="CE100" s="62">
        <f t="shared" si="94"/>
        <v>266.63880397664315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0.38211637483764643</v>
      </c>
      <c r="CM100" s="23">
        <f>EXP(-LN(2)/2)*CM99+(1-EXP(-LN(2)/2))/(LN(2)/2)*CG100*CJ100*VLOOKUP('Données projet'!$B$12,Paramètres!$A$1:$I$89,3,0)*0.475*44/12</f>
        <v>6.5493650188533873E-10</v>
      </c>
      <c r="CN100" s="24">
        <f t="shared" si="66"/>
        <v>0.38211637549258293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-1.7053025658242404E-13</v>
      </c>
      <c r="CU100" s="18">
        <f>CT100*VLOOKUP('Données projet'!$B$13,Paramètres!$A$1:$I$89,3,0)*VLOOKUP('Données projet'!$B$13,Paramètres!$A$1:$I$89,5,0)</f>
        <v>-1.3567387213697657E-13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312.53381881960331</v>
      </c>
      <c r="CZ100" s="62">
        <f t="shared" si="96"/>
        <v>342.06887933351783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4.7</v>
      </c>
      <c r="DO100" s="13">
        <f>IF('Données projet'!$A$166&gt;35,DO99+DN100-DW99,IF(A100&lt;'Données projet'!$A$166,$DL$205^A100,IF(A100='Données projet'!$A$166,'Données projet'!$B$166,DO99+DN100-DW99)))</f>
        <v>267.39999999999964</v>
      </c>
      <c r="DP100" s="18">
        <f>DO100*VLOOKUP('Données projet'!$B$14,Paramètres!$A$1:$I$89,3,0)*VLOOKUP('Données projet'!$B$14,Paramètres!$A$1:$I$89,5,0)</f>
        <v>287.82935999999961</v>
      </c>
      <c r="DQ100" s="14">
        <f t="shared" si="97"/>
        <v>68.61891270137501</v>
      </c>
      <c r="DR100" s="22">
        <f t="shared" si="70"/>
        <v>620.81407495489407</v>
      </c>
      <c r="DS100" s="62">
        <f t="shared" si="71"/>
        <v>914.14740828822733</v>
      </c>
      <c r="DT100" s="62">
        <f ca="1">AVERAGE(OFFSET($DS$3,0,0,'Données projet'!$E$14+1,1))-AVERAGE(OFFSET($H$3,0,0,'Données projet'!$E$14+1,1))</f>
        <v>503.92230226365683</v>
      </c>
      <c r="DU100" s="62">
        <f t="shared" si="98"/>
        <v>267.2998309535638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4.7</v>
      </c>
      <c r="EJ100" s="13">
        <f>IF('Données projet'!$A$192&gt;35,EJ99+EI100-ER99,IF(A100&lt;'Données projet'!$A$192,$EG$205^A100,IF(A100='Données projet'!$A$192,'Données projet'!$B$192,EJ99+EI100-ER99)))</f>
        <v>267.39999999999964</v>
      </c>
      <c r="EK100" s="18">
        <f>EJ100*VLOOKUP('Données projet'!$B$15,Paramètres!$A$1:$I$89,3,0)*VLOOKUP('Données projet'!$B$15,Paramètres!$A$1:$I$89,5,0)</f>
        <v>258.62927999999965</v>
      </c>
      <c r="EL100" s="14">
        <f t="shared" si="99"/>
        <v>62.430106017481812</v>
      </c>
      <c r="EM100" s="22">
        <f t="shared" si="73"/>
        <v>559.17843064711349</v>
      </c>
      <c r="EN100" s="62">
        <f t="shared" si="74"/>
        <v>852.51176398044686</v>
      </c>
      <c r="EO100" s="62">
        <f ca="1">AVERAGE(OFFSET($EN$3,0,0,'Données projet'!$E$15+1,1))-AVERAGE(OFFSET($H$3,0,0,'Données projet'!$E$15+1,1))</f>
        <v>457.16923206840744</v>
      </c>
      <c r="EP100" s="62">
        <f t="shared" si="100"/>
        <v>244.45149244446094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4.8</v>
      </c>
      <c r="FE100" s="13">
        <f>IF('Données projet'!$A$218&gt;35,FE99+FD100-FM99,IF(A100&lt;'Données projet'!$A$218,$FB$205^A100,IF(A100='Données projet'!$A$218,'Données projet'!$B$218,FE99+FD100-FM99)))</f>
        <v>385.60000000000036</v>
      </c>
      <c r="FF100" s="18">
        <f>FE100*VLOOKUP('Données projet'!$B$16,Paramètres!$A$1:$I$89,3,0)*VLOOKUP('Données projet'!$B$16,Paramètres!$A$1:$I$89,5,0)</f>
        <v>258.66048000000029</v>
      </c>
      <c r="FG100" s="14">
        <f t="shared" si="101"/>
        <v>62.436760643195846</v>
      </c>
      <c r="FH100" s="22">
        <f t="shared" si="76"/>
        <v>559.24436078689996</v>
      </c>
      <c r="FI100" s="62">
        <f t="shared" si="77"/>
        <v>852.57769412023322</v>
      </c>
      <c r="FJ100" s="62">
        <f ca="1">AVERAGE(OFFSET($FI$3,0,0,'Données projet'!$E$16+1,1))-AVERAGE(OFFSET($H$3,0,0,'Données projet'!$E$16+1,1))</f>
        <v>385.97853124853452</v>
      </c>
      <c r="FK100" s="62">
        <f t="shared" si="102"/>
        <v>300.99118099739695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132.280299502248</v>
      </c>
      <c r="T101" s="62">
        <f t="shared" si="88"/>
        <v>337.98099449405339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16.295745436193183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1.0714786959330954E-10</v>
      </c>
      <c r="AC101" s="24">
        <f t="shared" si="57"/>
        <v>16.295745436300329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4.7</v>
      </c>
      <c r="AI101" s="14">
        <f>IF('Données projet'!$A$62&gt;35,AI100+AH101-AQ100,IF(A101&lt;'Données projet'!$A$62,$AF$205^A101,IF(A101='Données projet'!$A$62,'Données projet'!$B$62,AI100+AH101-AQ100)))</f>
        <v>272.09999999999962</v>
      </c>
      <c r="AJ101" s="14">
        <f>AI101*VLOOKUP('Données projet'!$B$10,Paramètres!$A$1:$I$89,3,0)*VLOOKUP('Données projet'!$B$10,Paramètres!$A$1:$I$89,5,0)</f>
        <v>246.19607999999968</v>
      </c>
      <c r="AK101" s="14">
        <f t="shared" si="89"/>
        <v>59.770663189456016</v>
      </c>
      <c r="AL101" s="22">
        <f t="shared" si="58"/>
        <v>532.89207772163536</v>
      </c>
      <c r="AM101" s="62">
        <f t="shared" si="59"/>
        <v>826.22541105496862</v>
      </c>
      <c r="AN101" s="62">
        <f ca="1">AVERAGE(OFFSET($AM$3,0,0,'Données projet'!$E$10+1,1))-AVERAGE(OFFSET($H$3,0,0,'Données projet'!$E$10+1,1))</f>
        <v>430.40491895612814</v>
      </c>
      <c r="AO101" s="62">
        <f t="shared" si="90"/>
        <v>231.36959598460686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1.1368683772161603E-13</v>
      </c>
      <c r="BE101" s="14">
        <f>BD101*VLOOKUP('Données projet'!$B$11,Paramètres!$A$1:$I$89,3,0)*VLOOKUP('Données projet'!$B$11,Paramètres!$A$1:$I$89,5,0)</f>
        <v>6.7984728957526396E-14</v>
      </c>
      <c r="BF101" s="14">
        <f t="shared" si="91"/>
        <v>1.0682447123141398E-12</v>
      </c>
      <c r="BG101" s="22">
        <f t="shared" si="61"/>
        <v>1.978932943548152E-12</v>
      </c>
      <c r="BH101" s="62">
        <f t="shared" si="62"/>
        <v>293.3333333333353</v>
      </c>
      <c r="BI101" s="62">
        <f ca="1">AVERAGE(OFFSET($BH$3,0,0,'Données projet'!$E$11+1,1))-AVERAGE(OFFSET($H$3,0,0,'Données projet'!$E$11+1,1))</f>
        <v>295.83974441964551</v>
      </c>
      <c r="BJ101" s="62">
        <f t="shared" si="92"/>
        <v>212.24900914818096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-5.6843418860808015E-14</v>
      </c>
      <c r="BZ101" s="14">
        <f>BY101*VLOOKUP('Données projet'!$B$12,Paramètres!$A$1:$I$89,3,0)*VLOOKUP('Données projet'!$B$12,Paramètres!$A$1:$I$89,5,0)</f>
        <v>-3.2514435588382188E-14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309.71642374647882</v>
      </c>
      <c r="CE101" s="62">
        <f t="shared" si="94"/>
        <v>266.63880397664315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0.37166738247308417</v>
      </c>
      <c r="CM101" s="23">
        <f>EXP(-LN(2)/2)*CM100+(1-EXP(-LN(2)/2))/(LN(2)/2)*CG101*CJ101*VLOOKUP('Données projet'!$B$12,Paramètres!$A$1:$I$89,3,0)*0.475*44/12</f>
        <v>4.6311004172971912E-10</v>
      </c>
      <c r="CN101" s="24">
        <f t="shared" si="66"/>
        <v>0.37166738293619422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-1.7053025658242404E-13</v>
      </c>
      <c r="CU101" s="18">
        <f>CT101*VLOOKUP('Données projet'!$B$13,Paramètres!$A$1:$I$89,3,0)*VLOOKUP('Données projet'!$B$13,Paramètres!$A$1:$I$89,5,0)</f>
        <v>-1.3567387213697657E-13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312.53381881960331</v>
      </c>
      <c r="CZ101" s="62">
        <f t="shared" si="96"/>
        <v>342.06887933351783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4.7</v>
      </c>
      <c r="DO101" s="13">
        <f>IF('Données projet'!$A$166&gt;35,DO100+DN101-DW100,IF(A101&lt;'Données projet'!$A$166,$DL$205^A101,IF(A101='Données projet'!$A$166,'Données projet'!$B$166,DO100+DN101-DW100)))</f>
        <v>272.09999999999962</v>
      </c>
      <c r="DP101" s="18">
        <f>DO101*VLOOKUP('Données projet'!$B$14,Paramètres!$A$1:$I$89,3,0)*VLOOKUP('Données projet'!$B$14,Paramètres!$A$1:$I$89,5,0)</f>
        <v>292.8884399999996</v>
      </c>
      <c r="DQ101" s="14">
        <f t="shared" si="97"/>
        <v>69.68353211748817</v>
      </c>
      <c r="DR101" s="22">
        <f t="shared" si="70"/>
        <v>631.47951810462462</v>
      </c>
      <c r="DS101" s="62">
        <f t="shared" si="71"/>
        <v>924.81285143795799</v>
      </c>
      <c r="DT101" s="62">
        <f ca="1">AVERAGE(OFFSET($DS$3,0,0,'Données projet'!$E$14+1,1))-AVERAGE(OFFSET($H$3,0,0,'Données projet'!$E$14+1,1))</f>
        <v>503.92230226365683</v>
      </c>
      <c r="DU101" s="62">
        <f t="shared" si="98"/>
        <v>267.2998309535638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4.7</v>
      </c>
      <c r="EJ101" s="13">
        <f>IF('Données projet'!$A$192&gt;35,EJ100+EI101-ER100,IF(A101&lt;'Données projet'!$A$192,$EG$205^A101,IF(A101='Données projet'!$A$192,'Données projet'!$B$192,EJ100+EI101-ER100)))</f>
        <v>272.09999999999962</v>
      </c>
      <c r="EK101" s="18">
        <f>EJ101*VLOOKUP('Données projet'!$B$15,Paramètres!$A$1:$I$89,3,0)*VLOOKUP('Données projet'!$B$15,Paramètres!$A$1:$I$89,5,0)</f>
        <v>263.17511999999965</v>
      </c>
      <c r="EL101" s="14">
        <f t="shared" si="99"/>
        <v>63.398706369770494</v>
      </c>
      <c r="EM101" s="22">
        <f t="shared" si="73"/>
        <v>568.78274759401631</v>
      </c>
      <c r="EN101" s="62">
        <f t="shared" si="74"/>
        <v>862.11608092734969</v>
      </c>
      <c r="EO101" s="62">
        <f ca="1">AVERAGE(OFFSET($EN$3,0,0,'Données projet'!$E$15+1,1))-AVERAGE(OFFSET($H$3,0,0,'Données projet'!$E$15+1,1))</f>
        <v>457.16923206840744</v>
      </c>
      <c r="EP101" s="62">
        <f t="shared" si="100"/>
        <v>244.45149244446094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4.8</v>
      </c>
      <c r="FE101" s="13">
        <f>IF('Données projet'!$A$218&gt;35,FE100+FD101-FM100,IF(A101&lt;'Données projet'!$A$218,$FB$205^A101,IF(A101='Données projet'!$A$218,'Données projet'!$B$218,FE100+FD101-FM100)))</f>
        <v>390.40000000000038</v>
      </c>
      <c r="FF101" s="18">
        <f>FE101*VLOOKUP('Données projet'!$B$16,Paramètres!$A$1:$I$89,3,0)*VLOOKUP('Données projet'!$B$16,Paramètres!$A$1:$I$89,5,0)</f>
        <v>261.88032000000027</v>
      </c>
      <c r="FG101" s="14">
        <f t="shared" si="101"/>
        <v>63.123017945851778</v>
      </c>
      <c r="FH101" s="22">
        <f t="shared" si="76"/>
        <v>566.04748025569222</v>
      </c>
      <c r="FI101" s="62">
        <f t="shared" si="77"/>
        <v>859.38081358902559</v>
      </c>
      <c r="FJ101" s="62">
        <f ca="1">AVERAGE(OFFSET($FI$3,0,0,'Données projet'!$E$16+1,1))-AVERAGE(OFFSET($H$3,0,0,'Données projet'!$E$16+1,1))</f>
        <v>385.97853124853452</v>
      </c>
      <c r="FK101" s="62">
        <f t="shared" si="102"/>
        <v>300.99118099739695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132.280299502248</v>
      </c>
      <c r="T102" s="62">
        <f t="shared" si="88"/>
        <v>337.98099449405339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15.976195807612715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7.5764985179121057E-11</v>
      </c>
      <c r="AC102" s="24">
        <f t="shared" si="57"/>
        <v>15.97619580768848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4.7</v>
      </c>
      <c r="AI102" s="14">
        <f>IF('Données projet'!$A$62&gt;35,AI101+AH102-AQ101,IF(A102&lt;'Données projet'!$A$62,$AF$205^A102,IF(A102='Données projet'!$A$62,'Données projet'!$B$62,AI101+AH102-AQ101)))</f>
        <v>276.79999999999961</v>
      </c>
      <c r="AJ102" s="14">
        <f>AI102*VLOOKUP('Données projet'!$B$10,Paramètres!$A$1:$I$89,3,0)*VLOOKUP('Données projet'!$B$10,Paramètres!$A$1:$I$89,5,0)</f>
        <v>250.44863999999961</v>
      </c>
      <c r="AK102" s="14">
        <f t="shared" si="89"/>
        <v>60.682000328889949</v>
      </c>
      <c r="AL102" s="22">
        <f t="shared" si="58"/>
        <v>541.88586523948277</v>
      </c>
      <c r="AM102" s="62">
        <f t="shared" si="59"/>
        <v>835.21919857281614</v>
      </c>
      <c r="AN102" s="62">
        <f ca="1">AVERAGE(OFFSET($AM$3,0,0,'Données projet'!$E$10+1,1))-AVERAGE(OFFSET($H$3,0,0,'Données projet'!$E$10+1,1))</f>
        <v>430.40491895612814</v>
      </c>
      <c r="AO102" s="62">
        <f t="shared" si="90"/>
        <v>231.36959598460686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1.1368683772161603E-13</v>
      </c>
      <c r="BE102" s="14">
        <f>BD102*VLOOKUP('Données projet'!$B$11,Paramètres!$A$1:$I$89,3,0)*VLOOKUP('Données projet'!$B$11,Paramètres!$A$1:$I$89,5,0)</f>
        <v>6.7984728957526396E-14</v>
      </c>
      <c r="BF102" s="14">
        <f t="shared" si="91"/>
        <v>1.0682447123141398E-12</v>
      </c>
      <c r="BG102" s="22">
        <f t="shared" si="61"/>
        <v>1.978932943548152E-12</v>
      </c>
      <c r="BH102" s="62">
        <f t="shared" si="62"/>
        <v>293.3333333333353</v>
      </c>
      <c r="BI102" s="62">
        <f ca="1">AVERAGE(OFFSET($BH$3,0,0,'Données projet'!$E$11+1,1))-AVERAGE(OFFSET($H$3,0,0,'Données projet'!$E$11+1,1))</f>
        <v>295.83974441964551</v>
      </c>
      <c r="BJ102" s="62">
        <f t="shared" si="92"/>
        <v>212.24900914818096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-5.6843418860808015E-14</v>
      </c>
      <c r="BZ102" s="14">
        <f>BY102*VLOOKUP('Données projet'!$B$12,Paramètres!$A$1:$I$89,3,0)*VLOOKUP('Données projet'!$B$12,Paramètres!$A$1:$I$89,5,0)</f>
        <v>-3.2514435588382188E-14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309.71642374647882</v>
      </c>
      <c r="CE102" s="62">
        <f t="shared" si="94"/>
        <v>266.63880397664315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0.36150411835421947</v>
      </c>
      <c r="CM102" s="23">
        <f>EXP(-LN(2)/2)*CM101+(1-EXP(-LN(2)/2))/(LN(2)/2)*CG102*CJ102*VLOOKUP('Données projet'!$B$12,Paramètres!$A$1:$I$89,3,0)*0.475*44/12</f>
        <v>3.2746825094266942E-10</v>
      </c>
      <c r="CN102" s="24">
        <f t="shared" si="66"/>
        <v>0.36150411868168775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-1.7053025658242404E-13</v>
      </c>
      <c r="CU102" s="18">
        <f>CT102*VLOOKUP('Données projet'!$B$13,Paramètres!$A$1:$I$89,3,0)*VLOOKUP('Données projet'!$B$13,Paramètres!$A$1:$I$89,5,0)</f>
        <v>-1.3567387213697657E-13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312.53381881960331</v>
      </c>
      <c r="CZ102" s="62">
        <f t="shared" si="96"/>
        <v>342.06887933351783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4.7</v>
      </c>
      <c r="DO102" s="13">
        <f>IF('Données projet'!$A$166&gt;35,DO101+DN102-DW101,IF(A102&lt;'Données projet'!$A$166,$DL$205^A102,IF(A102='Données projet'!$A$166,'Données projet'!$B$166,DO101+DN102-DW101)))</f>
        <v>276.79999999999961</v>
      </c>
      <c r="DP102" s="18">
        <f>DO102*VLOOKUP('Données projet'!$B$14,Paramètres!$A$1:$I$89,3,0)*VLOOKUP('Données projet'!$B$14,Paramètres!$A$1:$I$89,5,0)</f>
        <v>297.94751999999954</v>
      </c>
      <c r="DQ102" s="14">
        <f t="shared" si="97"/>
        <v>70.746013064442209</v>
      </c>
      <c r="DR102" s="22">
        <f t="shared" si="70"/>
        <v>642.14123675390272</v>
      </c>
      <c r="DS102" s="62">
        <f t="shared" si="71"/>
        <v>935.47457008723609</v>
      </c>
      <c r="DT102" s="62">
        <f ca="1">AVERAGE(OFFSET($DS$3,0,0,'Données projet'!$E$14+1,1))-AVERAGE(OFFSET($H$3,0,0,'Données projet'!$E$14+1,1))</f>
        <v>503.92230226365683</v>
      </c>
      <c r="DU102" s="62">
        <f t="shared" si="98"/>
        <v>267.2998309535638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4.7</v>
      </c>
      <c r="EJ102" s="13">
        <f>IF('Données projet'!$A$192&gt;35,EJ101+EI102-ER101,IF(A102&lt;'Données projet'!$A$192,$EG$205^A102,IF(A102='Données projet'!$A$192,'Données projet'!$B$192,EJ101+EI102-ER101)))</f>
        <v>276.79999999999961</v>
      </c>
      <c r="EK102" s="18">
        <f>EJ102*VLOOKUP('Données projet'!$B$15,Paramètres!$A$1:$I$89,3,0)*VLOOKUP('Données projet'!$B$15,Paramètres!$A$1:$I$89,5,0)</f>
        <v>267.72095999999965</v>
      </c>
      <c r="EL102" s="14">
        <f t="shared" si="99"/>
        <v>64.365361123519889</v>
      </c>
      <c r="EM102" s="22">
        <f t="shared" si="73"/>
        <v>578.38367595679654</v>
      </c>
      <c r="EN102" s="62">
        <f t="shared" si="74"/>
        <v>871.71700929012991</v>
      </c>
      <c r="EO102" s="62">
        <f ca="1">AVERAGE(OFFSET($EN$3,0,0,'Données projet'!$E$15+1,1))-AVERAGE(OFFSET($H$3,0,0,'Données projet'!$E$15+1,1))</f>
        <v>457.16923206840744</v>
      </c>
      <c r="EP102" s="62">
        <f t="shared" si="100"/>
        <v>244.45149244446094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4.8</v>
      </c>
      <c r="FE102" s="13">
        <f>IF('Données projet'!$A$218&gt;35,FE101+FD102-FM101,IF(A102&lt;'Données projet'!$A$218,$FB$205^A102,IF(A102='Données projet'!$A$218,'Données projet'!$B$218,FE101+FD102-FM101)))</f>
        <v>395.20000000000039</v>
      </c>
      <c r="FF102" s="18">
        <f>FE102*VLOOKUP('Données projet'!$B$16,Paramètres!$A$1:$I$89,3,0)*VLOOKUP('Données projet'!$B$16,Paramètres!$A$1:$I$89,5,0)</f>
        <v>265.1001600000003</v>
      </c>
      <c r="FG102" s="14">
        <f t="shared" si="101"/>
        <v>63.808293789362729</v>
      </c>
      <c r="FH102" s="22">
        <f t="shared" si="76"/>
        <v>572.84889034980722</v>
      </c>
      <c r="FI102" s="62">
        <f t="shared" si="77"/>
        <v>866.18222368314059</v>
      </c>
      <c r="FJ102" s="62">
        <f ca="1">AVERAGE(OFFSET($FI$3,0,0,'Données projet'!$E$16+1,1))-AVERAGE(OFFSET($H$3,0,0,'Données projet'!$E$16+1,1))</f>
        <v>385.97853124853452</v>
      </c>
      <c r="FK102" s="62">
        <f t="shared" si="102"/>
        <v>300.99118099739695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132.280299502248</v>
      </c>
      <c r="T103" s="62">
        <f t="shared" si="88"/>
        <v>337.98099449405339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15.662912352342682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5.3573934796654771E-11</v>
      </c>
      <c r="AC103" s="24">
        <f t="shared" si="57"/>
        <v>15.662912352396255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4.7</v>
      </c>
      <c r="AI103" s="14">
        <f>IF('Données projet'!$A$62&gt;35,AI102+AH103-AQ102,IF(A103&lt;'Données projet'!$A$62,$AF$205^A103,IF(A103='Données projet'!$A$62,'Données projet'!$B$62,AI102+AH103-AQ102)))</f>
        <v>281.4999999999996</v>
      </c>
      <c r="AJ103" s="14">
        <f>AI103*VLOOKUP('Données projet'!$B$10,Paramètres!$A$1:$I$89,3,0)*VLOOKUP('Données projet'!$B$10,Paramètres!$A$1:$I$89,5,0)</f>
        <v>254.70119999999963</v>
      </c>
      <c r="AK103" s="14">
        <f t="shared" si="89"/>
        <v>61.591537947915114</v>
      </c>
      <c r="AL103" s="22">
        <f t="shared" si="58"/>
        <v>550.87651859261814</v>
      </c>
      <c r="AM103" s="62">
        <f t="shared" si="59"/>
        <v>844.2098519259514</v>
      </c>
      <c r="AN103" s="62">
        <f ca="1">AVERAGE(OFFSET($AM$3,0,0,'Données projet'!$E$10+1,1))-AVERAGE(OFFSET($H$3,0,0,'Données projet'!$E$10+1,1))</f>
        <v>430.40491895612814</v>
      </c>
      <c r="AO103" s="62">
        <f t="shared" si="90"/>
        <v>231.36959598460686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1.1368683772161603E-13</v>
      </c>
      <c r="BE103" s="14">
        <f>BD103*VLOOKUP('Données projet'!$B$11,Paramètres!$A$1:$I$89,3,0)*VLOOKUP('Données projet'!$B$11,Paramètres!$A$1:$I$89,5,0)</f>
        <v>6.7984728957526396E-14</v>
      </c>
      <c r="BF103" s="14">
        <f t="shared" si="91"/>
        <v>1.0682447123141398E-12</v>
      </c>
      <c r="BG103" s="22">
        <f t="shared" si="61"/>
        <v>1.978932943548152E-12</v>
      </c>
      <c r="BH103" s="62">
        <f t="shared" si="62"/>
        <v>293.3333333333353</v>
      </c>
      <c r="BI103" s="62">
        <f ca="1">AVERAGE(OFFSET($BH$3,0,0,'Données projet'!$E$11+1,1))-AVERAGE(OFFSET($H$3,0,0,'Données projet'!$E$11+1,1))</f>
        <v>295.83974441964551</v>
      </c>
      <c r="BJ103" s="62">
        <f t="shared" si="92"/>
        <v>212.24900914818096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-5.6843418860808015E-14</v>
      </c>
      <c r="BZ103" s="14">
        <f>BY103*VLOOKUP('Données projet'!$B$12,Paramètres!$A$1:$I$89,3,0)*VLOOKUP('Données projet'!$B$12,Paramètres!$A$1:$I$89,5,0)</f>
        <v>-3.2514435588382188E-14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309.71642374647882</v>
      </c>
      <c r="CE103" s="62">
        <f t="shared" si="94"/>
        <v>266.63880397664315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0.35161876922714796</v>
      </c>
      <c r="CM103" s="23">
        <f>EXP(-LN(2)/2)*CM102+(1-EXP(-LN(2)/2))/(LN(2)/2)*CG103*CJ103*VLOOKUP('Données projet'!$B$12,Paramètres!$A$1:$I$89,3,0)*0.475*44/12</f>
        <v>2.3155502086485959E-10</v>
      </c>
      <c r="CN103" s="24">
        <f t="shared" si="66"/>
        <v>0.35161876945870296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-1.7053025658242404E-13</v>
      </c>
      <c r="CU103" s="18">
        <f>CT103*VLOOKUP('Données projet'!$B$13,Paramètres!$A$1:$I$89,3,0)*VLOOKUP('Données projet'!$B$13,Paramètres!$A$1:$I$89,5,0)</f>
        <v>-1.3567387213697657E-13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312.53381881960331</v>
      </c>
      <c r="CZ103" s="62">
        <f t="shared" si="96"/>
        <v>342.06887933351783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4.7</v>
      </c>
      <c r="DO103" s="13">
        <f>IF('Données projet'!$A$166&gt;35,DO102+DN103-DW102,IF(A103&lt;'Données projet'!$A$166,$DL$205^A103,IF(A103='Données projet'!$A$166,'Données projet'!$B$166,DO102+DN103-DW102)))</f>
        <v>281.4999999999996</v>
      </c>
      <c r="DP103" s="18">
        <f>DO103*VLOOKUP('Données projet'!$B$14,Paramètres!$A$1:$I$89,3,0)*VLOOKUP('Données projet'!$B$14,Paramètres!$A$1:$I$89,5,0)</f>
        <v>303.00659999999954</v>
      </c>
      <c r="DQ103" s="14">
        <f t="shared" si="97"/>
        <v>71.806396043404845</v>
      </c>
      <c r="DR103" s="22">
        <f t="shared" si="70"/>
        <v>652.79930144226262</v>
      </c>
      <c r="DS103" s="62">
        <f t="shared" si="71"/>
        <v>946.13263477559599</v>
      </c>
      <c r="DT103" s="62">
        <f ca="1">AVERAGE(OFFSET($DS$3,0,0,'Données projet'!$E$14+1,1))-AVERAGE(OFFSET($H$3,0,0,'Données projet'!$E$14+1,1))</f>
        <v>503.92230226365683</v>
      </c>
      <c r="DU103" s="62">
        <f t="shared" si="98"/>
        <v>267.2998309535638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4.7</v>
      </c>
      <c r="EJ103" s="13">
        <f>IF('Données projet'!$A$192&gt;35,EJ102+EI103-ER102,IF(A103&lt;'Données projet'!$A$192,$EG$205^A103,IF(A103='Données projet'!$A$192,'Données projet'!$B$192,EJ102+EI103-ER102)))</f>
        <v>281.4999999999996</v>
      </c>
      <c r="EK103" s="18">
        <f>EJ103*VLOOKUP('Données projet'!$B$15,Paramètres!$A$1:$I$89,3,0)*VLOOKUP('Données projet'!$B$15,Paramètres!$A$1:$I$89,5,0)</f>
        <v>272.26679999999959</v>
      </c>
      <c r="EL103" s="14">
        <f t="shared" si="99"/>
        <v>65.33010712705773</v>
      </c>
      <c r="EM103" s="22">
        <f t="shared" si="73"/>
        <v>587.98127991295814</v>
      </c>
      <c r="EN103" s="62">
        <f t="shared" si="74"/>
        <v>881.3146132462914</v>
      </c>
      <c r="EO103" s="62">
        <f ca="1">AVERAGE(OFFSET($EN$3,0,0,'Données projet'!$E$15+1,1))-AVERAGE(OFFSET($H$3,0,0,'Données projet'!$E$15+1,1))</f>
        <v>457.16923206840744</v>
      </c>
      <c r="EP103" s="62">
        <f t="shared" si="100"/>
        <v>244.45149244446094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>
        <f>VLOOKUP(A103,'Données projet'!$A$217:$I$237,2,0)</f>
        <v>400</v>
      </c>
      <c r="FC103" s="13">
        <f>VLOOKUP(A103,'Données projet'!$A$217:$I$237,9,0)</f>
        <v>4.8</v>
      </c>
      <c r="FD103" s="13">
        <f t="array" ref="FD103">INDEX(FC:FC,MIN(IF(ISNUMBER(FC103:FC299),ROW(FC103:FC299),"")))</f>
        <v>4.8</v>
      </c>
      <c r="FE103" s="13">
        <f>IF('Données projet'!$A$218&gt;35,FE102+FD103-FM102,IF(A103&lt;'Données projet'!$A$218,$FB$205^A103,IF(A103='Données projet'!$A$218,'Données projet'!$B$218,FE102+FD103-FM102)))</f>
        <v>400.0000000000004</v>
      </c>
      <c r="FF103" s="18">
        <f>FE103*VLOOKUP('Données projet'!$B$16,Paramètres!$A$1:$I$89,3,0)*VLOOKUP('Données projet'!$B$16,Paramètres!$A$1:$I$89,5,0)</f>
        <v>268.32000000000028</v>
      </c>
      <c r="FG103" s="14">
        <f t="shared" si="101"/>
        <v>64.492601473092535</v>
      </c>
      <c r="FH103" s="22">
        <f t="shared" si="76"/>
        <v>579.6486142323032</v>
      </c>
      <c r="FI103" s="62">
        <f t="shared" si="77"/>
        <v>872.98194756563657</v>
      </c>
      <c r="FJ103" s="62">
        <f ca="1">AVERAGE(OFFSET($FI$3,0,0,'Données projet'!$E$16+1,1))-AVERAGE(OFFSET($H$3,0,0,'Données projet'!$E$16+1,1))</f>
        <v>385.97853124853452</v>
      </c>
      <c r="FK103" s="62">
        <f t="shared" si="102"/>
        <v>300.99118099739695</v>
      </c>
      <c r="FL103" s="16">
        <f>IF(ISNA(VLOOKUP(A103,'Données projet'!$A$217:$I$237,3,0)),0,VLOOKUP(A103,'Données projet'!$A$217:$I$237,3,0))</f>
        <v>9</v>
      </c>
      <c r="FM103" s="16">
        <f>IF(ISNA(VLOOKUP(A103,'Données projet'!$A$217:$I$237,4,0)),0,VLOOKUP(A103,'Données projet'!$A$217:$I$237,4,0))</f>
        <v>28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132.280299502248</v>
      </c>
      <c r="T104" s="62">
        <f t="shared" si="88"/>
        <v>337.98099449405339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15.355772194546454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3.7882492589560529E-11</v>
      </c>
      <c r="AC104" s="24">
        <f t="shared" si="57"/>
        <v>15.355772194584336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4.7</v>
      </c>
      <c r="AI104" s="14">
        <f>IF('Données projet'!$A$62&gt;35,AI103+AH104-AQ103,IF(A104&lt;'Données projet'!$A$62,$AF$205^A104,IF(A104='Données projet'!$A$62,'Données projet'!$B$62,AI103+AH104-AQ103)))</f>
        <v>286.19999999999959</v>
      </c>
      <c r="AJ104" s="14">
        <f>AI104*VLOOKUP('Données projet'!$B$10,Paramètres!$A$1:$I$89,3,0)*VLOOKUP('Données projet'!$B$10,Paramètres!$A$1:$I$89,5,0)</f>
        <v>258.95375999999965</v>
      </c>
      <c r="AK104" s="14">
        <f t="shared" si="89"/>
        <v>62.499309559645205</v>
      </c>
      <c r="AL104" s="22">
        <f t="shared" si="58"/>
        <v>559.86409614971478</v>
      </c>
      <c r="AM104" s="62">
        <f t="shared" si="59"/>
        <v>853.19742948304815</v>
      </c>
      <c r="AN104" s="62">
        <f ca="1">AVERAGE(OFFSET($AM$3,0,0,'Données projet'!$E$10+1,1))-AVERAGE(OFFSET($H$3,0,0,'Données projet'!$E$10+1,1))</f>
        <v>430.40491895612814</v>
      </c>
      <c r="AO104" s="62">
        <f t="shared" si="90"/>
        <v>231.36959598460686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1.1368683772161603E-13</v>
      </c>
      <c r="BE104" s="14">
        <f>BD104*VLOOKUP('Données projet'!$B$11,Paramètres!$A$1:$I$89,3,0)*VLOOKUP('Données projet'!$B$11,Paramètres!$A$1:$I$89,5,0)</f>
        <v>6.7984728957526396E-14</v>
      </c>
      <c r="BF104" s="14">
        <f t="shared" si="91"/>
        <v>1.0682447123141398E-12</v>
      </c>
      <c r="BG104" s="22">
        <f t="shared" si="61"/>
        <v>1.978932943548152E-12</v>
      </c>
      <c r="BH104" s="62">
        <f t="shared" si="62"/>
        <v>293.3333333333353</v>
      </c>
      <c r="BI104" s="62">
        <f ca="1">AVERAGE(OFFSET($BH$3,0,0,'Données projet'!$E$11+1,1))-AVERAGE(OFFSET($H$3,0,0,'Données projet'!$E$11+1,1))</f>
        <v>295.83974441964551</v>
      </c>
      <c r="BJ104" s="62">
        <f t="shared" si="92"/>
        <v>212.24900914818096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-5.6843418860808015E-14</v>
      </c>
      <c r="BZ104" s="14">
        <f>BY104*VLOOKUP('Données projet'!$B$12,Paramètres!$A$1:$I$89,3,0)*VLOOKUP('Données projet'!$B$12,Paramètres!$A$1:$I$89,5,0)</f>
        <v>-3.2514435588382188E-14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309.71642374647882</v>
      </c>
      <c r="CE104" s="62">
        <f t="shared" si="94"/>
        <v>266.63880397664315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0.34200373549180418</v>
      </c>
      <c r="CM104" s="23">
        <f>EXP(-LN(2)/2)*CM103+(1-EXP(-LN(2)/2))/(LN(2)/2)*CG104*CJ104*VLOOKUP('Données projet'!$B$12,Paramètres!$A$1:$I$89,3,0)*0.475*44/12</f>
        <v>1.6373412547133473E-10</v>
      </c>
      <c r="CN104" s="24">
        <f t="shared" si="66"/>
        <v>0.34200373565553832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-1.7053025658242404E-13</v>
      </c>
      <c r="CU104" s="18">
        <f>CT104*VLOOKUP('Données projet'!$B$13,Paramètres!$A$1:$I$89,3,0)*VLOOKUP('Données projet'!$B$13,Paramètres!$A$1:$I$89,5,0)</f>
        <v>-1.3567387213697657E-13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312.53381881960331</v>
      </c>
      <c r="CZ104" s="62">
        <f t="shared" si="96"/>
        <v>342.06887933351783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4.7</v>
      </c>
      <c r="DO104" s="13">
        <f>IF('Données projet'!$A$166&gt;35,DO103+DN104-DW103,IF(A104&lt;'Données projet'!$A$166,$DL$205^A104,IF(A104='Données projet'!$A$166,'Données projet'!$B$166,DO103+DN104-DW103)))</f>
        <v>286.19999999999959</v>
      </c>
      <c r="DP104" s="18">
        <f>DO104*VLOOKUP('Données projet'!$B$14,Paramètres!$A$1:$I$89,3,0)*VLOOKUP('Données projet'!$B$14,Paramètres!$A$1:$I$89,5,0)</f>
        <v>308.06567999999953</v>
      </c>
      <c r="DQ104" s="14">
        <f t="shared" si="97"/>
        <v>72.864720125585904</v>
      </c>
      <c r="DR104" s="22">
        <f t="shared" si="70"/>
        <v>663.45378021872796</v>
      </c>
      <c r="DS104" s="62">
        <f t="shared" si="71"/>
        <v>956.78711355206133</v>
      </c>
      <c r="DT104" s="62">
        <f ca="1">AVERAGE(OFFSET($DS$3,0,0,'Données projet'!$E$14+1,1))-AVERAGE(OFFSET($H$3,0,0,'Données projet'!$E$14+1,1))</f>
        <v>503.92230226365683</v>
      </c>
      <c r="DU104" s="62">
        <f t="shared" si="98"/>
        <v>267.2998309535638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4.7</v>
      </c>
      <c r="EJ104" s="13">
        <f>IF('Données projet'!$A$192&gt;35,EJ103+EI104-ER103,IF(A104&lt;'Données projet'!$A$192,$EG$205^A104,IF(A104='Données projet'!$A$192,'Données projet'!$B$192,EJ103+EI104-ER103)))</f>
        <v>286.19999999999959</v>
      </c>
      <c r="EK104" s="18">
        <f>EJ104*VLOOKUP('Données projet'!$B$15,Paramètres!$A$1:$I$89,3,0)*VLOOKUP('Données projet'!$B$15,Paramètres!$A$1:$I$89,5,0)</f>
        <v>276.81263999999959</v>
      </c>
      <c r="EL104" s="14">
        <f t="shared" si="99"/>
        <v>66.292979927723621</v>
      </c>
      <c r="EM104" s="22">
        <f t="shared" si="73"/>
        <v>597.57562137411787</v>
      </c>
      <c r="EN104" s="62">
        <f t="shared" si="74"/>
        <v>890.90895470745113</v>
      </c>
      <c r="EO104" s="62">
        <f ca="1">AVERAGE(OFFSET($EN$3,0,0,'Données projet'!$E$15+1,1))-AVERAGE(OFFSET($H$3,0,0,'Données projet'!$E$15+1,1))</f>
        <v>457.16923206840744</v>
      </c>
      <c r="EP104" s="62">
        <f t="shared" si="100"/>
        <v>244.45149244446094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4.5999999999999996</v>
      </c>
      <c r="FE104" s="13">
        <f>IF('Données projet'!$A$218&gt;35,FE103+FD104-FM103,IF(A104&lt;'Données projet'!$A$218,$FB$205^A104,IF(A104='Données projet'!$A$218,'Données projet'!$B$218,FE103+FD104-FM103)))</f>
        <v>376.60000000000042</v>
      </c>
      <c r="FF104" s="18">
        <f>FE104*VLOOKUP('Données projet'!$B$16,Paramètres!$A$1:$I$89,3,0)*VLOOKUP('Données projet'!$B$16,Paramètres!$A$1:$I$89,5,0)</f>
        <v>252.62328000000031</v>
      </c>
      <c r="FG104" s="14">
        <f t="shared" si="101"/>
        <v>61.147335062546937</v>
      </c>
      <c r="FH104" s="22">
        <f t="shared" si="76"/>
        <v>546.48382123393628</v>
      </c>
      <c r="FI104" s="62">
        <f t="shared" si="77"/>
        <v>839.81715456726965</v>
      </c>
      <c r="FJ104" s="62">
        <f ca="1">AVERAGE(OFFSET($FI$3,0,0,'Données projet'!$E$16+1,1))-AVERAGE(OFFSET($H$3,0,0,'Données projet'!$E$16+1,1))</f>
        <v>385.97853124853452</v>
      </c>
      <c r="FK104" s="62">
        <f t="shared" si="102"/>
        <v>300.99118099739695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132.280299502248</v>
      </c>
      <c r="T105" s="62">
        <f t="shared" si="88"/>
        <v>337.98099449405339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15.054654867907612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2.6786967398327385E-11</v>
      </c>
      <c r="AC105" s="24">
        <f t="shared" si="57"/>
        <v>15.054654867934399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4.7</v>
      </c>
      <c r="AI105" s="14">
        <f>IF('Données projet'!$A$62&gt;35,AI104+AH105-AQ104,IF(A105&lt;'Données projet'!$A$62,$AF$205^A105,IF(A105='Données projet'!$A$62,'Données projet'!$B$62,AI104+AH105-AQ104)))</f>
        <v>290.89999999999958</v>
      </c>
      <c r="AJ105" s="14">
        <f>AI105*VLOOKUP('Données projet'!$B$10,Paramètres!$A$1:$I$89,3,0)*VLOOKUP('Données projet'!$B$10,Paramètres!$A$1:$I$89,5,0)</f>
        <v>263.20631999999961</v>
      </c>
      <c r="AK105" s="14">
        <f t="shared" si="89"/>
        <v>63.405347513378558</v>
      </c>
      <c r="AL105" s="22">
        <f t="shared" si="58"/>
        <v>568.84865425246687</v>
      </c>
      <c r="AM105" s="62">
        <f t="shared" si="59"/>
        <v>862.18198758580024</v>
      </c>
      <c r="AN105" s="62">
        <f ca="1">AVERAGE(OFFSET($AM$3,0,0,'Données projet'!$E$10+1,1))-AVERAGE(OFFSET($H$3,0,0,'Données projet'!$E$10+1,1))</f>
        <v>430.40491895612814</v>
      </c>
      <c r="AO105" s="62">
        <f t="shared" si="90"/>
        <v>231.36959598460686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1.1368683772161603E-13</v>
      </c>
      <c r="BE105" s="14">
        <f>BD105*VLOOKUP('Données projet'!$B$11,Paramètres!$A$1:$I$89,3,0)*VLOOKUP('Données projet'!$B$11,Paramètres!$A$1:$I$89,5,0)</f>
        <v>6.7984728957526396E-14</v>
      </c>
      <c r="BF105" s="14">
        <f t="shared" si="91"/>
        <v>1.0682447123141398E-12</v>
      </c>
      <c r="BG105" s="22">
        <f t="shared" si="61"/>
        <v>1.978932943548152E-12</v>
      </c>
      <c r="BH105" s="62">
        <f t="shared" si="62"/>
        <v>293.3333333333353</v>
      </c>
      <c r="BI105" s="62">
        <f ca="1">AVERAGE(OFFSET($BH$3,0,0,'Données projet'!$E$11+1,1))-AVERAGE(OFFSET($H$3,0,0,'Données projet'!$E$11+1,1))</f>
        <v>295.83974441964551</v>
      </c>
      <c r="BJ105" s="62">
        <f t="shared" si="92"/>
        <v>212.24900914818096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-5.6843418860808015E-14</v>
      </c>
      <c r="BZ105" s="14">
        <f>BY105*VLOOKUP('Données projet'!$B$12,Paramètres!$A$1:$I$89,3,0)*VLOOKUP('Données projet'!$B$12,Paramètres!$A$1:$I$89,5,0)</f>
        <v>-3.2514435588382188E-14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309.71642374647882</v>
      </c>
      <c r="CE105" s="62">
        <f t="shared" si="94"/>
        <v>266.63880397664315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0.33265162535958603</v>
      </c>
      <c r="CM105" s="23">
        <f>EXP(-LN(2)/2)*CM104+(1-EXP(-LN(2)/2))/(LN(2)/2)*CG105*CJ105*VLOOKUP('Données projet'!$B$12,Paramètres!$A$1:$I$89,3,0)*0.475*44/12</f>
        <v>1.1577751043242982E-10</v>
      </c>
      <c r="CN105" s="24">
        <f t="shared" si="66"/>
        <v>0.33265162547536353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-1.7053025658242404E-13</v>
      </c>
      <c r="CU105" s="18">
        <f>CT105*VLOOKUP('Données projet'!$B$13,Paramètres!$A$1:$I$89,3,0)*VLOOKUP('Données projet'!$B$13,Paramètres!$A$1:$I$89,5,0)</f>
        <v>-1.3567387213697657E-13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312.53381881960331</v>
      </c>
      <c r="CZ105" s="62">
        <f t="shared" si="96"/>
        <v>342.06887933351783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4.7</v>
      </c>
      <c r="DO105" s="13">
        <f>IF('Données projet'!$A$166&gt;35,DO104+DN105-DW104,IF(A105&lt;'Données projet'!$A$166,$DL$205^A105,IF(A105='Données projet'!$A$166,'Données projet'!$B$166,DO104+DN105-DW104)))</f>
        <v>290.89999999999958</v>
      </c>
      <c r="DP105" s="18">
        <f>DO105*VLOOKUP('Données projet'!$B$14,Paramètres!$A$1:$I$89,3,0)*VLOOKUP('Données projet'!$B$14,Paramètres!$A$1:$I$89,5,0)</f>
        <v>313.12475999999953</v>
      </c>
      <c r="DQ105" s="14">
        <f t="shared" si="97"/>
        <v>73.921023025363311</v>
      </c>
      <c r="DR105" s="22">
        <f t="shared" si="70"/>
        <v>674.10473876917354</v>
      </c>
      <c r="DS105" s="62">
        <f t="shared" si="71"/>
        <v>967.43807210250679</v>
      </c>
      <c r="DT105" s="62">
        <f ca="1">AVERAGE(OFFSET($DS$3,0,0,'Données projet'!$E$14+1,1))-AVERAGE(OFFSET($H$3,0,0,'Données projet'!$E$14+1,1))</f>
        <v>503.92230226365683</v>
      </c>
      <c r="DU105" s="62">
        <f t="shared" si="98"/>
        <v>267.2998309535638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4.7</v>
      </c>
      <c r="EJ105" s="13">
        <f>IF('Données projet'!$A$192&gt;35,EJ104+EI105-ER104,IF(A105&lt;'Données projet'!$A$192,$EG$205^A105,IF(A105='Données projet'!$A$192,'Données projet'!$B$192,EJ104+EI105-ER104)))</f>
        <v>290.89999999999958</v>
      </c>
      <c r="EK105" s="18">
        <f>EJ105*VLOOKUP('Données projet'!$B$15,Paramètres!$A$1:$I$89,3,0)*VLOOKUP('Données projet'!$B$15,Paramètres!$A$1:$I$89,5,0)</f>
        <v>281.35847999999964</v>
      </c>
      <c r="EL105" s="14">
        <f t="shared" si="99"/>
        <v>67.254013838398677</v>
      </c>
      <c r="EM105" s="22">
        <f t="shared" si="73"/>
        <v>607.166760101877</v>
      </c>
      <c r="EN105" s="62">
        <f t="shared" si="74"/>
        <v>900.50009343521037</v>
      </c>
      <c r="EO105" s="62">
        <f ca="1">AVERAGE(OFFSET($EN$3,0,0,'Données projet'!$E$15+1,1))-AVERAGE(OFFSET($H$3,0,0,'Données projet'!$E$15+1,1))</f>
        <v>457.16923206840744</v>
      </c>
      <c r="EP105" s="62">
        <f t="shared" si="100"/>
        <v>244.45149244446094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4.5999999999999996</v>
      </c>
      <c r="FE105" s="13">
        <f>IF('Données projet'!$A$218&gt;35,FE104+FD105-FM104,IF(A105&lt;'Données projet'!$A$218,$FB$205^A105,IF(A105='Données projet'!$A$218,'Données projet'!$B$218,FE104+FD105-FM104)))</f>
        <v>381.20000000000044</v>
      </c>
      <c r="FF105" s="18">
        <f>FE105*VLOOKUP('Données projet'!$B$16,Paramètres!$A$1:$I$89,3,0)*VLOOKUP('Données projet'!$B$16,Paramètres!$A$1:$I$89,5,0)</f>
        <v>255.7089600000003</v>
      </c>
      <c r="FG105" s="14">
        <f t="shared" si="101"/>
        <v>61.80681761285328</v>
      </c>
      <c r="FH105" s="22">
        <f t="shared" si="76"/>
        <v>553.00664600905327</v>
      </c>
      <c r="FI105" s="62">
        <f t="shared" si="77"/>
        <v>846.33997934238664</v>
      </c>
      <c r="FJ105" s="62">
        <f ca="1">AVERAGE(OFFSET($FI$3,0,0,'Données projet'!$E$16+1,1))-AVERAGE(OFFSET($H$3,0,0,'Données projet'!$E$16+1,1))</f>
        <v>385.97853124853452</v>
      </c>
      <c r="FK105" s="62">
        <f t="shared" si="102"/>
        <v>300.99118099739695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132.280299502248</v>
      </c>
      <c r="T106" s="62">
        <f t="shared" si="88"/>
        <v>337.98099449405339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14.759442268380724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1.8941246294780264E-11</v>
      </c>
      <c r="AC106" s="24">
        <f t="shared" si="57"/>
        <v>14.759442268399665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4.7</v>
      </c>
      <c r="AI106" s="14">
        <f>IF('Données projet'!$A$62&gt;35,AI105+AH106-AQ105,IF(A106&lt;'Données projet'!$A$62,$AF$205^A106,IF(A106='Données projet'!$A$62,'Données projet'!$B$62,AI105+AH106-AQ105)))</f>
        <v>295.59999999999957</v>
      </c>
      <c r="AJ106" s="14">
        <f>AI106*VLOOKUP('Données projet'!$B$10,Paramètres!$A$1:$I$89,3,0)*VLOOKUP('Données projet'!$B$10,Paramètres!$A$1:$I$89,5,0)</f>
        <v>267.45887999999962</v>
      </c>
      <c r="AK106" s="14">
        <f t="shared" si="89"/>
        <v>64.309683053152327</v>
      </c>
      <c r="AL106" s="22">
        <f t="shared" si="58"/>
        <v>577.83024731757303</v>
      </c>
      <c r="AM106" s="62">
        <f t="shared" si="59"/>
        <v>871.1635806509064</v>
      </c>
      <c r="AN106" s="62">
        <f ca="1">AVERAGE(OFFSET($AM$3,0,0,'Données projet'!$E$10+1,1))-AVERAGE(OFFSET($H$3,0,0,'Données projet'!$E$10+1,1))</f>
        <v>430.40491895612814</v>
      </c>
      <c r="AO106" s="62">
        <f t="shared" si="90"/>
        <v>231.36959598460686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1.1368683772161603E-13</v>
      </c>
      <c r="BE106" s="14">
        <f>BD106*VLOOKUP('Données projet'!$B$11,Paramètres!$A$1:$I$89,3,0)*VLOOKUP('Données projet'!$B$11,Paramètres!$A$1:$I$89,5,0)</f>
        <v>6.7984728957526396E-14</v>
      </c>
      <c r="BF106" s="14">
        <f t="shared" si="91"/>
        <v>1.0682447123141398E-12</v>
      </c>
      <c r="BG106" s="22">
        <f t="shared" si="61"/>
        <v>1.978932943548152E-12</v>
      </c>
      <c r="BH106" s="62">
        <f t="shared" si="62"/>
        <v>293.3333333333353</v>
      </c>
      <c r="BI106" s="62">
        <f ca="1">AVERAGE(OFFSET($BH$3,0,0,'Données projet'!$E$11+1,1))-AVERAGE(OFFSET($H$3,0,0,'Données projet'!$E$11+1,1))</f>
        <v>295.83974441964551</v>
      </c>
      <c r="BJ106" s="62">
        <f t="shared" si="92"/>
        <v>212.24900914818096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-5.6843418860808015E-14</v>
      </c>
      <c r="BZ106" s="14">
        <f>BY106*VLOOKUP('Données projet'!$B$12,Paramètres!$A$1:$I$89,3,0)*VLOOKUP('Données projet'!$B$12,Paramètres!$A$1:$I$89,5,0)</f>
        <v>-3.2514435588382188E-14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309.71642374647882</v>
      </c>
      <c r="CE106" s="62">
        <f t="shared" si="94"/>
        <v>266.63880397664315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0.32355524917073947</v>
      </c>
      <c r="CM106" s="23">
        <f>EXP(-LN(2)/2)*CM105+(1-EXP(-LN(2)/2))/(LN(2)/2)*CG106*CJ106*VLOOKUP('Données projet'!$B$12,Paramètres!$A$1:$I$89,3,0)*0.475*44/12</f>
        <v>8.186706273566738E-11</v>
      </c>
      <c r="CN106" s="24">
        <f t="shared" si="66"/>
        <v>0.32355524925260654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-1.7053025658242404E-13</v>
      </c>
      <c r="CU106" s="18">
        <f>CT106*VLOOKUP('Données projet'!$B$13,Paramètres!$A$1:$I$89,3,0)*VLOOKUP('Données projet'!$B$13,Paramètres!$A$1:$I$89,5,0)</f>
        <v>-1.3567387213697657E-13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312.53381881960331</v>
      </c>
      <c r="CZ106" s="62">
        <f t="shared" si="96"/>
        <v>342.06887933351783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4.7</v>
      </c>
      <c r="DO106" s="13">
        <f>IF('Données projet'!$A$166&gt;35,DO105+DN106-DW105,IF(A106&lt;'Données projet'!$A$166,$DL$205^A106,IF(A106='Données projet'!$A$166,'Données projet'!$B$166,DO105+DN106-DW105)))</f>
        <v>295.59999999999957</v>
      </c>
      <c r="DP106" s="18">
        <f>DO106*VLOOKUP('Données projet'!$B$14,Paramètres!$A$1:$I$89,3,0)*VLOOKUP('Données projet'!$B$14,Paramètres!$A$1:$I$89,5,0)</f>
        <v>318.18383999999952</v>
      </c>
      <c r="DQ106" s="14">
        <f t="shared" si="97"/>
        <v>74.975341168547786</v>
      </c>
      <c r="DR106" s="22">
        <f t="shared" si="70"/>
        <v>684.75224053521981</v>
      </c>
      <c r="DS106" s="62">
        <f t="shared" si="71"/>
        <v>978.08557386855318</v>
      </c>
      <c r="DT106" s="62">
        <f ca="1">AVERAGE(OFFSET($DS$3,0,0,'Données projet'!$E$14+1,1))-AVERAGE(OFFSET($H$3,0,0,'Données projet'!$E$14+1,1))</f>
        <v>503.92230226365683</v>
      </c>
      <c r="DU106" s="62">
        <f t="shared" si="98"/>
        <v>267.2998309535638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4.7</v>
      </c>
      <c r="EJ106" s="13">
        <f>IF('Données projet'!$A$192&gt;35,EJ105+EI106-ER105,IF(A106&lt;'Données projet'!$A$192,$EG$205^A106,IF(A106='Données projet'!$A$192,'Données projet'!$B$192,EJ105+EI106-ER105)))</f>
        <v>295.59999999999957</v>
      </c>
      <c r="EK106" s="18">
        <f>EJ106*VLOOKUP('Données projet'!$B$15,Paramètres!$A$1:$I$89,3,0)*VLOOKUP('Données projet'!$B$15,Paramètres!$A$1:$I$89,5,0)</f>
        <v>285.90431999999959</v>
      </c>
      <c r="EL106" s="14">
        <f t="shared" si="99"/>
        <v>68.21324199961451</v>
      </c>
      <c r="EM106" s="22">
        <f t="shared" si="73"/>
        <v>616.75475381599449</v>
      </c>
      <c r="EN106" s="62">
        <f t="shared" si="74"/>
        <v>910.08808714932775</v>
      </c>
      <c r="EO106" s="62">
        <f ca="1">AVERAGE(OFFSET($EN$3,0,0,'Données projet'!$E$15+1,1))-AVERAGE(OFFSET($H$3,0,0,'Données projet'!$E$15+1,1))</f>
        <v>457.16923206840744</v>
      </c>
      <c r="EP106" s="62">
        <f t="shared" si="100"/>
        <v>244.45149244446094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4.5999999999999996</v>
      </c>
      <c r="FE106" s="13">
        <f>IF('Données projet'!$A$218&gt;35,FE105+FD106-FM105,IF(A106&lt;'Données projet'!$A$218,$FB$205^A106,IF(A106='Données projet'!$A$218,'Données projet'!$B$218,FE105+FD106-FM105)))</f>
        <v>385.80000000000047</v>
      </c>
      <c r="FF106" s="18">
        <f>FE106*VLOOKUP('Données projet'!$B$16,Paramètres!$A$1:$I$89,3,0)*VLOOKUP('Données projet'!$B$16,Paramètres!$A$1:$I$89,5,0)</f>
        <v>258.7946400000003</v>
      </c>
      <c r="FG106" s="14">
        <f t="shared" si="101"/>
        <v>62.465374469259501</v>
      </c>
      <c r="FH106" s="22">
        <f t="shared" si="76"/>
        <v>559.52785853396074</v>
      </c>
      <c r="FI106" s="62">
        <f t="shared" si="77"/>
        <v>852.86119186729411</v>
      </c>
      <c r="FJ106" s="62">
        <f ca="1">AVERAGE(OFFSET($FI$3,0,0,'Données projet'!$E$16+1,1))-AVERAGE(OFFSET($H$3,0,0,'Données projet'!$E$16+1,1))</f>
        <v>385.97853124853452</v>
      </c>
      <c r="FK106" s="62">
        <f t="shared" si="102"/>
        <v>300.99118099739695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132.280299502248</v>
      </c>
      <c r="T107" s="62">
        <f t="shared" si="88"/>
        <v>337.98099449405339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14.470018607868651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1.3393483699163693E-11</v>
      </c>
      <c r="AC107" s="24">
        <f t="shared" si="57"/>
        <v>14.470018607882045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4.7</v>
      </c>
      <c r="AI107" s="14">
        <f>IF('Données projet'!$A$62&gt;35,AI106+AH107-AQ106,IF(A107&lt;'Données projet'!$A$62,$AF$205^A107,IF(A107='Données projet'!$A$62,'Données projet'!$B$62,AI106+AH107-AQ106)))</f>
        <v>300.29999999999956</v>
      </c>
      <c r="AJ107" s="14">
        <f>AI107*VLOOKUP('Données projet'!$B$10,Paramètres!$A$1:$I$89,3,0)*VLOOKUP('Données projet'!$B$10,Paramètres!$A$1:$I$89,5,0)</f>
        <v>271.71143999999958</v>
      </c>
      <c r="AK107" s="14">
        <f t="shared" si="89"/>
        <v>65.212346372467266</v>
      </c>
      <c r="AL107" s="22">
        <f t="shared" si="58"/>
        <v>586.80892793204634</v>
      </c>
      <c r="AM107" s="62">
        <f t="shared" si="59"/>
        <v>880.1422612653796</v>
      </c>
      <c r="AN107" s="62">
        <f ca="1">AVERAGE(OFFSET($AM$3,0,0,'Données projet'!$E$10+1,1))-AVERAGE(OFFSET($H$3,0,0,'Données projet'!$E$10+1,1))</f>
        <v>430.40491895612814</v>
      </c>
      <c r="AO107" s="62">
        <f t="shared" si="90"/>
        <v>231.36959598460686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1.1368683772161603E-13</v>
      </c>
      <c r="BE107" s="14">
        <f>BD107*VLOOKUP('Données projet'!$B$11,Paramètres!$A$1:$I$89,3,0)*VLOOKUP('Données projet'!$B$11,Paramètres!$A$1:$I$89,5,0)</f>
        <v>6.7984728957526396E-14</v>
      </c>
      <c r="BF107" s="14">
        <f t="shared" si="91"/>
        <v>1.0682447123141398E-12</v>
      </c>
      <c r="BG107" s="22">
        <f t="shared" si="61"/>
        <v>1.978932943548152E-12</v>
      </c>
      <c r="BH107" s="62">
        <f t="shared" si="62"/>
        <v>293.3333333333353</v>
      </c>
      <c r="BI107" s="62">
        <f ca="1">AVERAGE(OFFSET($BH$3,0,0,'Données projet'!$E$11+1,1))-AVERAGE(OFFSET($H$3,0,0,'Données projet'!$E$11+1,1))</f>
        <v>295.83974441964551</v>
      </c>
      <c r="BJ107" s="62">
        <f t="shared" si="92"/>
        <v>212.24900914818096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-5.6843418860808015E-14</v>
      </c>
      <c r="BZ107" s="14">
        <f>BY107*VLOOKUP('Données projet'!$B$12,Paramètres!$A$1:$I$89,3,0)*VLOOKUP('Données projet'!$B$12,Paramètres!$A$1:$I$89,5,0)</f>
        <v>-3.2514435588382188E-14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309.71642374647882</v>
      </c>
      <c r="CE107" s="62">
        <f t="shared" si="94"/>
        <v>266.63880397664315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0.31470761386713453</v>
      </c>
      <c r="CM107" s="23">
        <f>EXP(-LN(2)/2)*CM106+(1-EXP(-LN(2)/2))/(LN(2)/2)*CG107*CJ107*VLOOKUP('Données projet'!$B$12,Paramètres!$A$1:$I$89,3,0)*0.475*44/12</f>
        <v>5.7888755216214916E-11</v>
      </c>
      <c r="CN107" s="24">
        <f t="shared" si="66"/>
        <v>0.31470761392502328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-1.7053025658242404E-13</v>
      </c>
      <c r="CU107" s="18">
        <f>CT107*VLOOKUP('Données projet'!$B$13,Paramètres!$A$1:$I$89,3,0)*VLOOKUP('Données projet'!$B$13,Paramètres!$A$1:$I$89,5,0)</f>
        <v>-1.3567387213697657E-13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312.53381881960331</v>
      </c>
      <c r="CZ107" s="62">
        <f t="shared" si="96"/>
        <v>342.06887933351783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4.7</v>
      </c>
      <c r="DO107" s="13">
        <f>IF('Données projet'!$A$166&gt;35,DO106+DN107-DW106,IF(A107&lt;'Données projet'!$A$166,$DL$205^A107,IF(A107='Données projet'!$A$166,'Données projet'!$B$166,DO106+DN107-DW106)))</f>
        <v>300.29999999999956</v>
      </c>
      <c r="DP107" s="18">
        <f>DO107*VLOOKUP('Données projet'!$B$14,Paramètres!$A$1:$I$89,3,0)*VLOOKUP('Données projet'!$B$14,Paramètres!$A$1:$I$89,5,0)</f>
        <v>323.24291999999951</v>
      </c>
      <c r="DQ107" s="14">
        <f t="shared" si="97"/>
        <v>76.027709756183881</v>
      </c>
      <c r="DR107" s="22">
        <f t="shared" si="70"/>
        <v>695.39634682535268</v>
      </c>
      <c r="DS107" s="62">
        <f t="shared" si="71"/>
        <v>988.72968015868605</v>
      </c>
      <c r="DT107" s="62">
        <f ca="1">AVERAGE(OFFSET($DS$3,0,0,'Données projet'!$E$14+1,1))-AVERAGE(OFFSET($H$3,0,0,'Données projet'!$E$14+1,1))</f>
        <v>503.92230226365683</v>
      </c>
      <c r="DU107" s="62">
        <f t="shared" si="98"/>
        <v>267.2998309535638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4.7</v>
      </c>
      <c r="EJ107" s="13">
        <f>IF('Données projet'!$A$192&gt;35,EJ106+EI107-ER106,IF(A107&lt;'Données projet'!$A$192,$EG$205^A107,IF(A107='Données projet'!$A$192,'Données projet'!$B$192,EJ106+EI107-ER106)))</f>
        <v>300.29999999999956</v>
      </c>
      <c r="EK107" s="18">
        <f>EJ107*VLOOKUP('Données projet'!$B$15,Paramètres!$A$1:$I$89,3,0)*VLOOKUP('Données projet'!$B$15,Paramètres!$A$1:$I$89,5,0)</f>
        <v>290.45015999999958</v>
      </c>
      <c r="EL107" s="14">
        <f t="shared" si="99"/>
        <v>69.170696437598764</v>
      </c>
      <c r="EM107" s="22">
        <f t="shared" si="73"/>
        <v>626.33965829548379</v>
      </c>
      <c r="EN107" s="62">
        <f t="shared" si="74"/>
        <v>919.67299162881704</v>
      </c>
      <c r="EO107" s="62">
        <f ca="1">AVERAGE(OFFSET($EN$3,0,0,'Données projet'!$E$15+1,1))-AVERAGE(OFFSET($H$3,0,0,'Données projet'!$E$15+1,1))</f>
        <v>457.16923206840744</v>
      </c>
      <c r="EP107" s="62">
        <f t="shared" si="100"/>
        <v>244.45149244446094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4.5999999999999996</v>
      </c>
      <c r="FE107" s="13">
        <f>IF('Données projet'!$A$218&gt;35,FE106+FD107-FM106,IF(A107&lt;'Données projet'!$A$218,$FB$205^A107,IF(A107='Données projet'!$A$218,'Données projet'!$B$218,FE106+FD107-FM106)))</f>
        <v>390.40000000000049</v>
      </c>
      <c r="FF107" s="18">
        <f>FE107*VLOOKUP('Données projet'!$B$16,Paramètres!$A$1:$I$89,3,0)*VLOOKUP('Données projet'!$B$16,Paramètres!$A$1:$I$89,5,0)</f>
        <v>261.88032000000032</v>
      </c>
      <c r="FG107" s="14">
        <f t="shared" si="101"/>
        <v>63.123017945851778</v>
      </c>
      <c r="FH107" s="22">
        <f t="shared" si="76"/>
        <v>566.04748025569234</v>
      </c>
      <c r="FI107" s="62">
        <f t="shared" si="77"/>
        <v>859.38081358902559</v>
      </c>
      <c r="FJ107" s="62">
        <f ca="1">AVERAGE(OFFSET($FI$3,0,0,'Données projet'!$E$16+1,1))-AVERAGE(OFFSET($H$3,0,0,'Données projet'!$E$16+1,1))</f>
        <v>385.97853124853452</v>
      </c>
      <c r="FK107" s="62">
        <f t="shared" si="102"/>
        <v>300.99118099739695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132.280299502248</v>
      </c>
      <c r="T108" s="62">
        <f t="shared" si="88"/>
        <v>337.98099449405339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14.186270368808218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9.4706231473901322E-12</v>
      </c>
      <c r="AC108" s="24">
        <f t="shared" si="57"/>
        <v>14.186270368817688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305</v>
      </c>
      <c r="AG108" s="13">
        <f>VLOOKUP(A108,'Données projet'!$A$61:$I$81,9,0)</f>
        <v>4.7</v>
      </c>
      <c r="AH108" s="13">
        <f t="array" ref="AH108">INDEX(AG:AG,MIN(IF(ISNUMBER(AG108:AG304),ROW(AG108:AG304),"")))</f>
        <v>4.7</v>
      </c>
      <c r="AI108" s="14">
        <f>IF('Données projet'!$A$62&gt;35,AI107+AH108-AQ107,IF(A108&lt;'Données projet'!$A$62,$AF$205^A108,IF(A108='Données projet'!$A$62,'Données projet'!$B$62,AI107+AH108-AQ107)))</f>
        <v>304.99999999999955</v>
      </c>
      <c r="AJ108" s="14">
        <f>AI108*VLOOKUP('Données projet'!$B$10,Paramètres!$A$1:$I$89,3,0)*VLOOKUP('Données projet'!$B$10,Paramètres!$A$1:$I$89,5,0)</f>
        <v>275.9639999999996</v>
      </c>
      <c r="AK108" s="14">
        <f t="shared" si="89"/>
        <v>66.113366665488797</v>
      </c>
      <c r="AL108" s="22">
        <f t="shared" si="58"/>
        <v>595.7847469423923</v>
      </c>
      <c r="AM108" s="62">
        <f t="shared" si="59"/>
        <v>889.11808027572556</v>
      </c>
      <c r="AN108" s="62">
        <f ca="1">AVERAGE(OFFSET($AM$3,0,0,'Données projet'!$E$10+1,1))-AVERAGE(OFFSET($H$3,0,0,'Données projet'!$E$10+1,1))</f>
        <v>430.40491895612814</v>
      </c>
      <c r="AO108" s="62">
        <f t="shared" si="90"/>
        <v>231.36959598460686</v>
      </c>
      <c r="AP108" s="16">
        <f>IF(ISNA(VLOOKUP(A108,'Données projet'!$A$61:$I$81,3,0)),0,VLOOKUP(A108,'Données projet'!$A$61:$I$81,3,0))</f>
        <v>9</v>
      </c>
      <c r="AQ108" s="16">
        <f>IF(ISNA(VLOOKUP(A108,'Données projet'!$A$61:$I$81,4,0)),0,VLOOKUP(A108,'Données projet'!$A$61:$I$81,4,0))</f>
        <v>41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1.1368683772161603E-13</v>
      </c>
      <c r="BE108" s="14">
        <f>BD108*VLOOKUP('Données projet'!$B$11,Paramètres!$A$1:$I$89,3,0)*VLOOKUP('Données projet'!$B$11,Paramètres!$A$1:$I$89,5,0)</f>
        <v>6.7984728957526396E-14</v>
      </c>
      <c r="BF108" s="14">
        <f t="shared" si="91"/>
        <v>1.0682447123141398E-12</v>
      </c>
      <c r="BG108" s="22">
        <f t="shared" si="61"/>
        <v>1.978932943548152E-12</v>
      </c>
      <c r="BH108" s="62">
        <f t="shared" si="62"/>
        <v>293.3333333333353</v>
      </c>
      <c r="BI108" s="62">
        <f ca="1">AVERAGE(OFFSET($BH$3,0,0,'Données projet'!$E$11+1,1))-AVERAGE(OFFSET($H$3,0,0,'Données projet'!$E$11+1,1))</f>
        <v>295.83974441964551</v>
      </c>
      <c r="BJ108" s="62">
        <f t="shared" si="92"/>
        <v>212.24900914818096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-5.6843418860808015E-14</v>
      </c>
      <c r="BZ108" s="14">
        <f>BY108*VLOOKUP('Données projet'!$B$12,Paramètres!$A$1:$I$89,3,0)*VLOOKUP('Données projet'!$B$12,Paramètres!$A$1:$I$89,5,0)</f>
        <v>-3.2514435588382188E-14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309.71642374647882</v>
      </c>
      <c r="CE108" s="62">
        <f t="shared" si="94"/>
        <v>266.63880397664315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0.30610191761618361</v>
      </c>
      <c r="CM108" s="23">
        <f>EXP(-LN(2)/2)*CM107+(1-EXP(-LN(2)/2))/(LN(2)/2)*CG108*CJ108*VLOOKUP('Données projet'!$B$12,Paramètres!$A$1:$I$89,3,0)*0.475*44/12</f>
        <v>4.0933531367833696E-11</v>
      </c>
      <c r="CN108" s="24">
        <f t="shared" si="66"/>
        <v>0.30610191765711714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-1.7053025658242404E-13</v>
      </c>
      <c r="CU108" s="18">
        <f>CT108*VLOOKUP('Données projet'!$B$13,Paramètres!$A$1:$I$89,3,0)*VLOOKUP('Données projet'!$B$13,Paramètres!$A$1:$I$89,5,0)</f>
        <v>-1.3567387213697657E-13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312.53381881960331</v>
      </c>
      <c r="CZ108" s="62">
        <f t="shared" si="96"/>
        <v>342.06887933351783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>
        <f>VLOOKUP(A108,'Données projet'!$A$165:$I$185,2,0)</f>
        <v>305</v>
      </c>
      <c r="DM108" s="13">
        <f>VLOOKUP(A108,'Données projet'!$A$165:$I$185,9,0)</f>
        <v>4.7</v>
      </c>
      <c r="DN108" s="13">
        <f t="array" ref="DN108">INDEX(DM:DM,MIN(IF(ISNUMBER(DM108:DM304),ROW(DM108:DM304),"")))</f>
        <v>4.7</v>
      </c>
      <c r="DO108" s="13">
        <f>IF('Données projet'!$A$166&gt;35,DO107+DN108-DW107,IF(A108&lt;'Données projet'!$A$166,$DL$205^A108,IF(A108='Données projet'!$A$166,'Données projet'!$B$166,DO107+DN108-DW107)))</f>
        <v>304.99999999999955</v>
      </c>
      <c r="DP108" s="18">
        <f>DO108*VLOOKUP('Données projet'!$B$14,Paramètres!$A$1:$I$89,3,0)*VLOOKUP('Données projet'!$B$14,Paramètres!$A$1:$I$89,5,0)</f>
        <v>328.30199999999951</v>
      </c>
      <c r="DQ108" s="14">
        <f t="shared" si="97"/>
        <v>77.078162824242781</v>
      </c>
      <c r="DR108" s="22">
        <f t="shared" si="70"/>
        <v>706.03711691888873</v>
      </c>
      <c r="DS108" s="62">
        <f t="shared" si="71"/>
        <v>999.3704502522221</v>
      </c>
      <c r="DT108" s="62">
        <f ca="1">AVERAGE(OFFSET($DS$3,0,0,'Données projet'!$E$14+1,1))-AVERAGE(OFFSET($H$3,0,0,'Données projet'!$E$14+1,1))</f>
        <v>503.92230226365683</v>
      </c>
      <c r="DU108" s="62">
        <f t="shared" si="98"/>
        <v>267.2998309535638</v>
      </c>
      <c r="DV108" s="16">
        <f>IF(ISNA(VLOOKUP(A108,'Données projet'!$A$165:$I$185,3,0)),0,VLOOKUP(A108,'Données projet'!$A$165:$I$185,3,0))</f>
        <v>9</v>
      </c>
      <c r="DW108" s="16">
        <f>IF(ISNA(VLOOKUP(A108,'Données projet'!$A$165:$I$185,4,0)),0,VLOOKUP(A108,'Données projet'!$A$165:$I$185,4,0))</f>
        <v>41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>
        <f>VLOOKUP(A108,'Données projet'!$A$191:$I$211,2,0)</f>
        <v>305</v>
      </c>
      <c r="EH108" s="13">
        <f>VLOOKUP(A108,'Données projet'!$A$191:$I$211,9,0)</f>
        <v>4.7</v>
      </c>
      <c r="EI108" s="13">
        <f t="array" ref="EI108">INDEX(EH:EH,MIN(IF(ISNUMBER(EH108:EH304),ROW(EH108:EH304),"")))</f>
        <v>4.7</v>
      </c>
      <c r="EJ108" s="13">
        <f>IF('Données projet'!$A$192&gt;35,EJ107+EI108-ER107,IF(A108&lt;'Données projet'!$A$192,$EG$205^A108,IF(A108='Données projet'!$A$192,'Données projet'!$B$192,EJ107+EI108-ER107)))</f>
        <v>304.99999999999955</v>
      </c>
      <c r="EK108" s="18">
        <f>EJ108*VLOOKUP('Données projet'!$B$15,Paramètres!$A$1:$I$89,3,0)*VLOOKUP('Données projet'!$B$15,Paramètres!$A$1:$I$89,5,0)</f>
        <v>294.99599999999958</v>
      </c>
      <c r="EL108" s="14">
        <f t="shared" si="99"/>
        <v>70.126408118585317</v>
      </c>
      <c r="EM108" s="22">
        <f t="shared" si="73"/>
        <v>635.92152747320199</v>
      </c>
      <c r="EN108" s="62">
        <f t="shared" si="74"/>
        <v>929.25486080653536</v>
      </c>
      <c r="EO108" s="62">
        <f ca="1">AVERAGE(OFFSET($EN$3,0,0,'Données projet'!$E$15+1,1))-AVERAGE(OFFSET($H$3,0,0,'Données projet'!$E$15+1,1))</f>
        <v>457.16923206840744</v>
      </c>
      <c r="EP108" s="62">
        <f t="shared" si="100"/>
        <v>244.45149244446094</v>
      </c>
      <c r="EQ108" s="16">
        <f>IF(ISNA(VLOOKUP(A108,'Données projet'!$A$191:$I$211,3,0)),0,VLOOKUP(A108,'Données projet'!$A$191:$I$211,3,0))</f>
        <v>9</v>
      </c>
      <c r="ER108" s="16">
        <f>IF(ISNA(VLOOKUP(A108,'Données projet'!$A$191:$I$211,4,0)),0,VLOOKUP(A108,'Données projet'!$A$191:$I$211,4,0))</f>
        <v>41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>
        <f>VLOOKUP(A108,'Données projet'!$A$217:$I$237,2,0)</f>
        <v>395</v>
      </c>
      <c r="FC108" s="13">
        <f>VLOOKUP(A108,'Données projet'!$A$217:$I$237,9,0)</f>
        <v>4.5999999999999996</v>
      </c>
      <c r="FD108" s="13">
        <f t="array" ref="FD108">INDEX(FC:FC,MIN(IF(ISNUMBER(FC108:FC304),ROW(FC108:FC304),"")))</f>
        <v>4.5999999999999996</v>
      </c>
      <c r="FE108" s="13">
        <f>IF('Données projet'!$A$218&gt;35,FE107+FD108-FM107,IF(A108&lt;'Données projet'!$A$218,$FB$205^A108,IF(A108='Données projet'!$A$218,'Données projet'!$B$218,FE107+FD108-FM107)))</f>
        <v>395.00000000000051</v>
      </c>
      <c r="FF108" s="18">
        <f>FE108*VLOOKUP('Données projet'!$B$16,Paramètres!$A$1:$I$89,3,0)*VLOOKUP('Données projet'!$B$16,Paramètres!$A$1:$I$89,5,0)</f>
        <v>264.96600000000035</v>
      </c>
      <c r="FG108" s="14">
        <f t="shared" si="101"/>
        <v>63.779760049828461</v>
      </c>
      <c r="FH108" s="22">
        <f t="shared" si="76"/>
        <v>572.56553208678508</v>
      </c>
      <c r="FI108" s="62">
        <f t="shared" si="77"/>
        <v>865.89886542011845</v>
      </c>
      <c r="FJ108" s="62">
        <f ca="1">AVERAGE(OFFSET($FI$3,0,0,'Données projet'!$E$16+1,1))-AVERAGE(OFFSET($H$3,0,0,'Données projet'!$E$16+1,1))</f>
        <v>385.97853124853452</v>
      </c>
      <c r="FK108" s="62">
        <f t="shared" si="102"/>
        <v>300.99118099739695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132.280299502248</v>
      </c>
      <c r="T109" s="62">
        <f t="shared" si="88"/>
        <v>337.98099449405339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13.908086259646424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6.6967418495818463E-12</v>
      </c>
      <c r="AC109" s="24">
        <f t="shared" si="57"/>
        <v>13.908086259653121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</v>
      </c>
      <c r="AI109" s="14">
        <f>IF('Données projet'!$A$62&gt;35,AI108+AH109-AQ108,IF(A109&lt;'Données projet'!$A$62,$AF$205^A109,IF(A109='Données projet'!$A$62,'Données projet'!$B$62,AI108+AH109-AQ108)))</f>
        <v>267.99999999999955</v>
      </c>
      <c r="AJ109" s="14">
        <f>AI109*VLOOKUP('Données projet'!$B$10,Paramètres!$A$1:$I$89,3,0)*VLOOKUP('Données projet'!$B$10,Paramètres!$A$1:$I$89,5,0)</f>
        <v>242.48639999999955</v>
      </c>
      <c r="AK109" s="14">
        <f t="shared" si="89"/>
        <v>58.97417023537232</v>
      </c>
      <c r="AL109" s="22">
        <f t="shared" si="58"/>
        <v>525.0438264932726</v>
      </c>
      <c r="AM109" s="62">
        <f t="shared" si="59"/>
        <v>818.37715982660598</v>
      </c>
      <c r="AN109" s="62">
        <f ca="1">AVERAGE(OFFSET($AM$3,0,0,'Données projet'!$E$10+1,1))-AVERAGE(OFFSET($H$3,0,0,'Données projet'!$E$10+1,1))</f>
        <v>430.40491895612814</v>
      </c>
      <c r="AO109" s="62">
        <f t="shared" si="90"/>
        <v>231.36959598460686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1.1368683772161603E-13</v>
      </c>
      <c r="BE109" s="14">
        <f>BD109*VLOOKUP('Données projet'!$B$11,Paramètres!$A$1:$I$89,3,0)*VLOOKUP('Données projet'!$B$11,Paramètres!$A$1:$I$89,5,0)</f>
        <v>6.7984728957526396E-14</v>
      </c>
      <c r="BF109" s="14">
        <f t="shared" si="91"/>
        <v>1.0682447123141398E-12</v>
      </c>
      <c r="BG109" s="22">
        <f t="shared" si="61"/>
        <v>1.978932943548152E-12</v>
      </c>
      <c r="BH109" s="62">
        <f t="shared" si="62"/>
        <v>293.3333333333353</v>
      </c>
      <c r="BI109" s="62">
        <f ca="1">AVERAGE(OFFSET($BH$3,0,0,'Données projet'!$E$11+1,1))-AVERAGE(OFFSET($H$3,0,0,'Données projet'!$E$11+1,1))</f>
        <v>295.83974441964551</v>
      </c>
      <c r="BJ109" s="62">
        <f t="shared" si="92"/>
        <v>212.24900914818096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-5.6843418860808015E-14</v>
      </c>
      <c r="BZ109" s="14">
        <f>BY109*VLOOKUP('Données projet'!$B$12,Paramètres!$A$1:$I$89,3,0)*VLOOKUP('Données projet'!$B$12,Paramètres!$A$1:$I$89,5,0)</f>
        <v>-3.2514435588382188E-14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309.71642374647882</v>
      </c>
      <c r="CE109" s="62">
        <f t="shared" si="94"/>
        <v>266.63880397664315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0.29773154458176881</v>
      </c>
      <c r="CM109" s="23">
        <f>EXP(-LN(2)/2)*CM108+(1-EXP(-LN(2)/2))/(LN(2)/2)*CG109*CJ109*VLOOKUP('Données projet'!$B$12,Paramètres!$A$1:$I$89,3,0)*0.475*44/12</f>
        <v>2.8944377608107461E-11</v>
      </c>
      <c r="CN109" s="24">
        <f t="shared" si="66"/>
        <v>0.29773154461071322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-1.7053025658242404E-13</v>
      </c>
      <c r="CU109" s="18">
        <f>CT109*VLOOKUP('Données projet'!$B$13,Paramètres!$A$1:$I$89,3,0)*VLOOKUP('Données projet'!$B$13,Paramètres!$A$1:$I$89,5,0)</f>
        <v>-1.3567387213697657E-13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312.53381881960331</v>
      </c>
      <c r="CZ109" s="62">
        <f t="shared" si="96"/>
        <v>342.06887933351783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4</v>
      </c>
      <c r="DO109" s="13">
        <f>IF('Données projet'!$A$166&gt;35,DO108+DN109-DW108,IF(A109&lt;'Données projet'!$A$166,$DL$205^A109,IF(A109='Données projet'!$A$166,'Données projet'!$B$166,DO108+DN109-DW108)))</f>
        <v>267.99999999999955</v>
      </c>
      <c r="DP109" s="18">
        <f>DO109*VLOOKUP('Données projet'!$B$14,Paramètres!$A$1:$I$89,3,0)*VLOOKUP('Données projet'!$B$14,Paramètres!$A$1:$I$89,5,0)</f>
        <v>288.47519999999952</v>
      </c>
      <c r="DQ109" s="14">
        <f t="shared" si="97"/>
        <v>68.754942080410729</v>
      </c>
      <c r="DR109" s="22">
        <f t="shared" si="70"/>
        <v>622.17583079004783</v>
      </c>
      <c r="DS109" s="62">
        <f t="shared" si="71"/>
        <v>915.5091641233812</v>
      </c>
      <c r="DT109" s="62">
        <f ca="1">AVERAGE(OFFSET($DS$3,0,0,'Données projet'!$E$14+1,1))-AVERAGE(OFFSET($H$3,0,0,'Données projet'!$E$14+1,1))</f>
        <v>503.92230226365683</v>
      </c>
      <c r="DU109" s="62">
        <f t="shared" si="98"/>
        <v>267.2998309535638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4</v>
      </c>
      <c r="EJ109" s="13">
        <f>IF('Données projet'!$A$192&gt;35,EJ108+EI109-ER108,IF(A109&lt;'Données projet'!$A$192,$EG$205^A109,IF(A109='Données projet'!$A$192,'Données projet'!$B$192,EJ108+EI109-ER108)))</f>
        <v>267.99999999999955</v>
      </c>
      <c r="EK109" s="18">
        <f>EJ109*VLOOKUP('Données projet'!$B$15,Paramètres!$A$1:$I$89,3,0)*VLOOKUP('Données projet'!$B$15,Paramètres!$A$1:$I$89,5,0)</f>
        <v>259.20959999999957</v>
      </c>
      <c r="EL109" s="14">
        <f t="shared" si="99"/>
        <v>62.553866774106652</v>
      </c>
      <c r="EM109" s="22">
        <f t="shared" si="73"/>
        <v>560.40470463156839</v>
      </c>
      <c r="EN109" s="62">
        <f t="shared" si="74"/>
        <v>853.73803796490165</v>
      </c>
      <c r="EO109" s="62">
        <f ca="1">AVERAGE(OFFSET($EN$3,0,0,'Données projet'!$E$15+1,1))-AVERAGE(OFFSET($H$3,0,0,'Données projet'!$E$15+1,1))</f>
        <v>457.16923206840744</v>
      </c>
      <c r="EP109" s="62">
        <f t="shared" si="100"/>
        <v>244.45149244446094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4.4000000000000004</v>
      </c>
      <c r="FE109" s="13">
        <f>IF('Données projet'!$A$218&gt;35,FE108+FD109-FM108,IF(A109&lt;'Données projet'!$A$218,$FB$205^A109,IF(A109='Données projet'!$A$218,'Données projet'!$B$218,FE108+FD109-FM108)))</f>
        <v>399.40000000000049</v>
      </c>
      <c r="FF109" s="18">
        <f>FE109*VLOOKUP('Données projet'!$B$16,Paramètres!$A$1:$I$89,3,0)*VLOOKUP('Données projet'!$B$16,Paramètres!$A$1:$I$89,5,0)</f>
        <v>267.91752000000037</v>
      </c>
      <c r="FG109" s="14">
        <f t="shared" si="101"/>
        <v>64.40711551265882</v>
      </c>
      <c r="FH109" s="22">
        <f t="shared" si="76"/>
        <v>578.79874018454814</v>
      </c>
      <c r="FI109" s="62">
        <f t="shared" si="77"/>
        <v>872.13207351788151</v>
      </c>
      <c r="FJ109" s="62">
        <f ca="1">AVERAGE(OFFSET($FI$3,0,0,'Données projet'!$E$16+1,1))-AVERAGE(OFFSET($H$3,0,0,'Données projet'!$E$16+1,1))</f>
        <v>385.97853124853452</v>
      </c>
      <c r="FK109" s="62">
        <f t="shared" si="102"/>
        <v>300.99118099739695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132.280299502248</v>
      </c>
      <c r="T110" s="62">
        <f t="shared" si="88"/>
        <v>337.98099449405339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13.635357171189741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4.7353115736950661E-12</v>
      </c>
      <c r="AC110" s="24">
        <f t="shared" si="57"/>
        <v>13.635357171194476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</v>
      </c>
      <c r="AI110" s="14">
        <f>IF('Données projet'!$A$62&gt;35,AI109+AH110-AQ109,IF(A110&lt;'Données projet'!$A$62,$AF$205^A110,IF(A110='Données projet'!$A$62,'Données projet'!$B$62,AI109+AH110-AQ109)))</f>
        <v>271.99999999999955</v>
      </c>
      <c r="AJ110" s="14">
        <f>AI110*VLOOKUP('Données projet'!$B$10,Paramètres!$A$1:$I$89,3,0)*VLOOKUP('Données projet'!$B$10,Paramètres!$A$1:$I$89,5,0)</f>
        <v>246.10559999999958</v>
      </c>
      <c r="AK110" s="14">
        <f t="shared" si="89"/>
        <v>59.751253234371873</v>
      </c>
      <c r="AL110" s="22">
        <f t="shared" si="58"/>
        <v>532.70068604986363</v>
      </c>
      <c r="AM110" s="62">
        <f t="shared" si="59"/>
        <v>826.03401938319689</v>
      </c>
      <c r="AN110" s="62">
        <f ca="1">AVERAGE(OFFSET($AM$3,0,0,'Données projet'!$E$10+1,1))-AVERAGE(OFFSET($H$3,0,0,'Données projet'!$E$10+1,1))</f>
        <v>430.40491895612814</v>
      </c>
      <c r="AO110" s="62">
        <f t="shared" si="90"/>
        <v>231.36959598460686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1.1368683772161603E-13</v>
      </c>
      <c r="BE110" s="14">
        <f>BD110*VLOOKUP('Données projet'!$B$11,Paramètres!$A$1:$I$89,3,0)*VLOOKUP('Données projet'!$B$11,Paramètres!$A$1:$I$89,5,0)</f>
        <v>6.7984728957526396E-14</v>
      </c>
      <c r="BF110" s="14">
        <f t="shared" si="91"/>
        <v>1.0682447123141398E-12</v>
      </c>
      <c r="BG110" s="22">
        <f t="shared" si="61"/>
        <v>1.978932943548152E-12</v>
      </c>
      <c r="BH110" s="62">
        <f t="shared" si="62"/>
        <v>293.3333333333353</v>
      </c>
      <c r="BI110" s="62">
        <f ca="1">AVERAGE(OFFSET($BH$3,0,0,'Données projet'!$E$11+1,1))-AVERAGE(OFFSET($H$3,0,0,'Données projet'!$E$11+1,1))</f>
        <v>295.83974441964551</v>
      </c>
      <c r="BJ110" s="62">
        <f t="shared" si="92"/>
        <v>212.24900914818096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-5.6843418860808015E-14</v>
      </c>
      <c r="BZ110" s="14">
        <f>BY110*VLOOKUP('Données projet'!$B$12,Paramètres!$A$1:$I$89,3,0)*VLOOKUP('Données projet'!$B$12,Paramètres!$A$1:$I$89,5,0)</f>
        <v>-3.2514435588382188E-14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309.71642374647882</v>
      </c>
      <c r="CE110" s="62">
        <f t="shared" si="94"/>
        <v>266.63880397664315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0.28959005983815889</v>
      </c>
      <c r="CM110" s="23">
        <f>EXP(-LN(2)/2)*CM109+(1-EXP(-LN(2)/2))/(LN(2)/2)*CG110*CJ110*VLOOKUP('Données projet'!$B$12,Paramètres!$A$1:$I$89,3,0)*0.475*44/12</f>
        <v>2.0466765683916851E-11</v>
      </c>
      <c r="CN110" s="24">
        <f t="shared" si="66"/>
        <v>0.28959005985862563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-1.7053025658242404E-13</v>
      </c>
      <c r="CU110" s="18">
        <f>CT110*VLOOKUP('Données projet'!$B$13,Paramètres!$A$1:$I$89,3,0)*VLOOKUP('Données projet'!$B$13,Paramètres!$A$1:$I$89,5,0)</f>
        <v>-1.3567387213697657E-13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312.53381881960331</v>
      </c>
      <c r="CZ110" s="62">
        <f t="shared" si="96"/>
        <v>342.06887933351783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4</v>
      </c>
      <c r="DO110" s="13">
        <f>IF('Données projet'!$A$166&gt;35,DO109+DN110-DW109,IF(A110&lt;'Données projet'!$A$166,$DL$205^A110,IF(A110='Données projet'!$A$166,'Données projet'!$B$166,DO109+DN110-DW109)))</f>
        <v>271.99999999999955</v>
      </c>
      <c r="DP110" s="18">
        <f>DO110*VLOOKUP('Données projet'!$B$14,Paramètres!$A$1:$I$89,3,0)*VLOOKUP('Données projet'!$B$14,Paramètres!$A$1:$I$89,5,0)</f>
        <v>292.78079999999949</v>
      </c>
      <c r="DQ110" s="14">
        <f t="shared" si="97"/>
        <v>69.660903052386161</v>
      </c>
      <c r="DR110" s="22">
        <f t="shared" si="70"/>
        <v>631.25263281623836</v>
      </c>
      <c r="DS110" s="62">
        <f t="shared" si="71"/>
        <v>924.58596614957173</v>
      </c>
      <c r="DT110" s="62">
        <f ca="1">AVERAGE(OFFSET($DS$3,0,0,'Données projet'!$E$14+1,1))-AVERAGE(OFFSET($H$3,0,0,'Données projet'!$E$14+1,1))</f>
        <v>503.92230226365683</v>
      </c>
      <c r="DU110" s="62">
        <f t="shared" si="98"/>
        <v>267.2998309535638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4</v>
      </c>
      <c r="EJ110" s="13">
        <f>IF('Données projet'!$A$192&gt;35,EJ109+EI110-ER109,IF(A110&lt;'Données projet'!$A$192,$EG$205^A110,IF(A110='Données projet'!$A$192,'Données projet'!$B$192,EJ109+EI110-ER109)))</f>
        <v>271.99999999999955</v>
      </c>
      <c r="EK110" s="18">
        <f>EJ110*VLOOKUP('Données projet'!$B$15,Paramètres!$A$1:$I$89,3,0)*VLOOKUP('Données projet'!$B$15,Paramètres!$A$1:$I$89,5,0)</f>
        <v>263.07839999999959</v>
      </c>
      <c r="EL110" s="14">
        <f t="shared" si="99"/>
        <v>63.378118242127854</v>
      </c>
      <c r="EM110" s="22">
        <f t="shared" si="73"/>
        <v>568.57843593837197</v>
      </c>
      <c r="EN110" s="62">
        <f t="shared" si="74"/>
        <v>861.91176927170523</v>
      </c>
      <c r="EO110" s="62">
        <f ca="1">AVERAGE(OFFSET($EN$3,0,0,'Données projet'!$E$15+1,1))-AVERAGE(OFFSET($H$3,0,0,'Données projet'!$E$15+1,1))</f>
        <v>457.16923206840744</v>
      </c>
      <c r="EP110" s="62">
        <f t="shared" si="100"/>
        <v>244.45149244446094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4.4000000000000004</v>
      </c>
      <c r="FE110" s="13">
        <f>IF('Données projet'!$A$218&gt;35,FE109+FD110-FM109,IF(A110&lt;'Données projet'!$A$218,$FB$205^A110,IF(A110='Données projet'!$A$218,'Données projet'!$B$218,FE109+FD110-FM109)))</f>
        <v>403.80000000000047</v>
      </c>
      <c r="FF110" s="18">
        <f>FE110*VLOOKUP('Données projet'!$B$16,Paramètres!$A$1:$I$89,3,0)*VLOOKUP('Données projet'!$B$16,Paramètres!$A$1:$I$89,5,0)</f>
        <v>270.86904000000033</v>
      </c>
      <c r="FG110" s="14">
        <f t="shared" si="101"/>
        <v>65.033667001224174</v>
      </c>
      <c r="FH110" s="22">
        <f t="shared" si="76"/>
        <v>585.03054802713257</v>
      </c>
      <c r="FI110" s="62">
        <f t="shared" si="77"/>
        <v>878.36388136046594</v>
      </c>
      <c r="FJ110" s="62">
        <f ca="1">AVERAGE(OFFSET($FI$3,0,0,'Données projet'!$E$16+1,1))-AVERAGE(OFFSET($H$3,0,0,'Données projet'!$E$16+1,1))</f>
        <v>385.97853124853452</v>
      </c>
      <c r="FK110" s="62">
        <f t="shared" si="102"/>
        <v>300.99118099739695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132.280299502248</v>
      </c>
      <c r="T111" s="62">
        <f t="shared" si="88"/>
        <v>337.98099449405339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13.367976133809373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3.3483709247909232E-12</v>
      </c>
      <c r="AC111" s="24">
        <f t="shared" si="57"/>
        <v>13.367976133812721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</v>
      </c>
      <c r="AI111" s="14">
        <f>IF('Données projet'!$A$62&gt;35,AI110+AH111-AQ110,IF(A111&lt;'Données projet'!$A$62,$AF$205^A111,IF(A111='Données projet'!$A$62,'Données projet'!$B$62,AI110+AH111-AQ110)))</f>
        <v>275.99999999999955</v>
      </c>
      <c r="AJ111" s="14">
        <f>AI111*VLOOKUP('Données projet'!$B$10,Paramètres!$A$1:$I$89,3,0)*VLOOKUP('Données projet'!$B$10,Paramètres!$A$1:$I$89,5,0)</f>
        <v>249.72479999999959</v>
      </c>
      <c r="AK111" s="14">
        <f t="shared" si="89"/>
        <v>60.527007137298092</v>
      </c>
      <c r="AL111" s="22">
        <f t="shared" si="58"/>
        <v>540.35523076412676</v>
      </c>
      <c r="AM111" s="62">
        <f t="shared" si="59"/>
        <v>833.68856409746013</v>
      </c>
      <c r="AN111" s="62">
        <f ca="1">AVERAGE(OFFSET($AM$3,0,0,'Données projet'!$E$10+1,1))-AVERAGE(OFFSET($H$3,0,0,'Données projet'!$E$10+1,1))</f>
        <v>430.40491895612814</v>
      </c>
      <c r="AO111" s="62">
        <f t="shared" si="90"/>
        <v>231.36959598460686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1.1368683772161603E-13</v>
      </c>
      <c r="BE111" s="14">
        <f>BD111*VLOOKUP('Données projet'!$B$11,Paramètres!$A$1:$I$89,3,0)*VLOOKUP('Données projet'!$B$11,Paramètres!$A$1:$I$89,5,0)</f>
        <v>6.7984728957526396E-14</v>
      </c>
      <c r="BF111" s="14">
        <f t="shared" si="91"/>
        <v>1.0682447123141398E-12</v>
      </c>
      <c r="BG111" s="22">
        <f t="shared" si="61"/>
        <v>1.978932943548152E-12</v>
      </c>
      <c r="BH111" s="62">
        <f t="shared" si="62"/>
        <v>293.3333333333353</v>
      </c>
      <c r="BI111" s="62">
        <f ca="1">AVERAGE(OFFSET($BH$3,0,0,'Données projet'!$E$11+1,1))-AVERAGE(OFFSET($H$3,0,0,'Données projet'!$E$11+1,1))</f>
        <v>295.83974441964551</v>
      </c>
      <c r="BJ111" s="62">
        <f t="shared" si="92"/>
        <v>212.24900914818096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-5.6843418860808015E-14</v>
      </c>
      <c r="BZ111" s="14">
        <f>BY111*VLOOKUP('Données projet'!$B$12,Paramètres!$A$1:$I$89,3,0)*VLOOKUP('Données projet'!$B$12,Paramètres!$A$1:$I$89,5,0)</f>
        <v>-3.2514435588382188E-14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309.71642374647882</v>
      </c>
      <c r="CE111" s="62">
        <f t="shared" si="94"/>
        <v>266.63880397664315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0.28167120442300503</v>
      </c>
      <c r="CM111" s="23">
        <f>EXP(-LN(2)/2)*CM110+(1-EXP(-LN(2)/2))/(LN(2)/2)*CG111*CJ111*VLOOKUP('Données projet'!$B$12,Paramètres!$A$1:$I$89,3,0)*0.475*44/12</f>
        <v>1.4472188804053734E-11</v>
      </c>
      <c r="CN111" s="24">
        <f t="shared" si="66"/>
        <v>0.28167120443747723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-1.7053025658242404E-13</v>
      </c>
      <c r="CU111" s="18">
        <f>CT111*VLOOKUP('Données projet'!$B$13,Paramètres!$A$1:$I$89,3,0)*VLOOKUP('Données projet'!$B$13,Paramètres!$A$1:$I$89,5,0)</f>
        <v>-1.3567387213697657E-13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312.53381881960331</v>
      </c>
      <c r="CZ111" s="62">
        <f t="shared" si="96"/>
        <v>342.06887933351783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4</v>
      </c>
      <c r="DO111" s="13">
        <f>IF('Données projet'!$A$166&gt;35,DO110+DN111-DW110,IF(A111&lt;'Données projet'!$A$166,$DL$205^A111,IF(A111='Données projet'!$A$166,'Données projet'!$B$166,DO110+DN111-DW110)))</f>
        <v>275.99999999999955</v>
      </c>
      <c r="DP111" s="18">
        <f>DO111*VLOOKUP('Données projet'!$B$14,Paramètres!$A$1:$I$89,3,0)*VLOOKUP('Données projet'!$B$14,Paramètres!$A$1:$I$89,5,0)</f>
        <v>297.08639999999951</v>
      </c>
      <c r="DQ111" s="14">
        <f t="shared" si="97"/>
        <v>70.565314499829526</v>
      </c>
      <c r="DR111" s="22">
        <f t="shared" si="70"/>
        <v>640.32673608720222</v>
      </c>
      <c r="DS111" s="62">
        <f t="shared" si="71"/>
        <v>933.66006942053559</v>
      </c>
      <c r="DT111" s="62">
        <f ca="1">AVERAGE(OFFSET($DS$3,0,0,'Données projet'!$E$14+1,1))-AVERAGE(OFFSET($H$3,0,0,'Données projet'!$E$14+1,1))</f>
        <v>503.92230226365683</v>
      </c>
      <c r="DU111" s="62">
        <f t="shared" si="98"/>
        <v>267.2998309535638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4</v>
      </c>
      <c r="EJ111" s="13">
        <f>IF('Données projet'!$A$192&gt;35,EJ110+EI111-ER110,IF(A111&lt;'Données projet'!$A$192,$EG$205^A111,IF(A111='Données projet'!$A$192,'Données projet'!$B$192,EJ110+EI111-ER110)))</f>
        <v>275.99999999999955</v>
      </c>
      <c r="EK111" s="18">
        <f>EJ111*VLOOKUP('Données projet'!$B$15,Paramètres!$A$1:$I$89,3,0)*VLOOKUP('Données projet'!$B$15,Paramètres!$A$1:$I$89,5,0)</f>
        <v>266.94719999999955</v>
      </c>
      <c r="EL111" s="14">
        <f t="shared" si="99"/>
        <v>64.200959938746266</v>
      </c>
      <c r="EM111" s="22">
        <f t="shared" si="73"/>
        <v>576.74971189331563</v>
      </c>
      <c r="EN111" s="62">
        <f t="shared" si="74"/>
        <v>870.08304522664889</v>
      </c>
      <c r="EO111" s="62">
        <f ca="1">AVERAGE(OFFSET($EN$3,0,0,'Données projet'!$E$15+1,1))-AVERAGE(OFFSET($H$3,0,0,'Données projet'!$E$15+1,1))</f>
        <v>457.16923206840744</v>
      </c>
      <c r="EP111" s="62">
        <f t="shared" si="100"/>
        <v>244.45149244446094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4.4000000000000004</v>
      </c>
      <c r="FE111" s="13">
        <f>IF('Données projet'!$A$218&gt;35,FE110+FD111-FM110,IF(A111&lt;'Données projet'!$A$218,$FB$205^A111,IF(A111='Données projet'!$A$218,'Données projet'!$B$218,FE110+FD111-FM110)))</f>
        <v>408.20000000000044</v>
      </c>
      <c r="FF111" s="18">
        <f>FE111*VLOOKUP('Données projet'!$B$16,Paramètres!$A$1:$I$89,3,0)*VLOOKUP('Données projet'!$B$16,Paramètres!$A$1:$I$89,5,0)</f>
        <v>273.82056000000028</v>
      </c>
      <c r="FG111" s="14">
        <f t="shared" si="101"/>
        <v>65.659424289926918</v>
      </c>
      <c r="FH111" s="22">
        <f t="shared" si="76"/>
        <v>591.2609726382899</v>
      </c>
      <c r="FI111" s="62">
        <f t="shared" si="77"/>
        <v>884.59430597162327</v>
      </c>
      <c r="FJ111" s="62">
        <f ca="1">AVERAGE(OFFSET($FI$3,0,0,'Données projet'!$E$16+1,1))-AVERAGE(OFFSET($H$3,0,0,'Données projet'!$E$16+1,1))</f>
        <v>385.97853124853452</v>
      </c>
      <c r="FK111" s="62">
        <f t="shared" si="102"/>
        <v>300.99118099739695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132.280299502248</v>
      </c>
      <c r="T112" s="62">
        <f t="shared" si="88"/>
        <v>337.98099449405339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13.105838275485706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2.367655786847533E-12</v>
      </c>
      <c r="AC112" s="24">
        <f t="shared" si="57"/>
        <v>13.105838275488074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</v>
      </c>
      <c r="AI112" s="14">
        <f>IF('Données projet'!$A$62&gt;35,AI111+AH112-AQ111,IF(A112&lt;'Données projet'!$A$62,$AF$205^A112,IF(A112='Données projet'!$A$62,'Données projet'!$B$62,AI111+AH112-AQ111)))</f>
        <v>279.99999999999955</v>
      </c>
      <c r="AJ112" s="14">
        <f>AI112*VLOOKUP('Données projet'!$B$10,Paramètres!$A$1:$I$89,3,0)*VLOOKUP('Données projet'!$B$10,Paramètres!$A$1:$I$89,5,0)</f>
        <v>253.34399999999957</v>
      </c>
      <c r="AK112" s="14">
        <f t="shared" si="89"/>
        <v>61.301453431926198</v>
      </c>
      <c r="AL112" s="22">
        <f t="shared" si="58"/>
        <v>548.00749806060401</v>
      </c>
      <c r="AM112" s="62">
        <f t="shared" si="59"/>
        <v>841.34083139393738</v>
      </c>
      <c r="AN112" s="62">
        <f ca="1">AVERAGE(OFFSET($AM$3,0,0,'Données projet'!$E$10+1,1))-AVERAGE(OFFSET($H$3,0,0,'Données projet'!$E$10+1,1))</f>
        <v>430.40491895612814</v>
      </c>
      <c r="AO112" s="62">
        <f t="shared" si="90"/>
        <v>231.36959598460686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1.1368683772161603E-13</v>
      </c>
      <c r="BE112" s="14">
        <f>BD112*VLOOKUP('Données projet'!$B$11,Paramètres!$A$1:$I$89,3,0)*VLOOKUP('Données projet'!$B$11,Paramètres!$A$1:$I$89,5,0)</f>
        <v>6.7984728957526396E-14</v>
      </c>
      <c r="BF112" s="14">
        <f t="shared" si="91"/>
        <v>1.0682447123141398E-12</v>
      </c>
      <c r="BG112" s="22">
        <f t="shared" si="61"/>
        <v>1.978932943548152E-12</v>
      </c>
      <c r="BH112" s="62">
        <f t="shared" si="62"/>
        <v>293.3333333333353</v>
      </c>
      <c r="BI112" s="62">
        <f ca="1">AVERAGE(OFFSET($BH$3,0,0,'Données projet'!$E$11+1,1))-AVERAGE(OFFSET($H$3,0,0,'Données projet'!$E$11+1,1))</f>
        <v>295.83974441964551</v>
      </c>
      <c r="BJ112" s="62">
        <f t="shared" si="92"/>
        <v>212.24900914818096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-5.6843418860808015E-14</v>
      </c>
      <c r="BZ112" s="14">
        <f>BY112*VLOOKUP('Données projet'!$B$12,Paramètres!$A$1:$I$89,3,0)*VLOOKUP('Données projet'!$B$12,Paramètres!$A$1:$I$89,5,0)</f>
        <v>-3.2514435588382188E-14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309.71642374647882</v>
      </c>
      <c r="CE112" s="62">
        <f t="shared" si="94"/>
        <v>266.63880397664315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0.27396889052561307</v>
      </c>
      <c r="CM112" s="23">
        <f>EXP(-LN(2)/2)*CM111+(1-EXP(-LN(2)/2))/(LN(2)/2)*CG112*CJ112*VLOOKUP('Données projet'!$B$12,Paramètres!$A$1:$I$89,3,0)*0.475*44/12</f>
        <v>1.0233382841958427E-11</v>
      </c>
      <c r="CN112" s="24">
        <f t="shared" si="66"/>
        <v>0.27396889053584644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-1.7053025658242404E-13</v>
      </c>
      <c r="CU112" s="18">
        <f>CT112*VLOOKUP('Données projet'!$B$13,Paramètres!$A$1:$I$89,3,0)*VLOOKUP('Données projet'!$B$13,Paramètres!$A$1:$I$89,5,0)</f>
        <v>-1.3567387213697657E-13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312.53381881960331</v>
      </c>
      <c r="CZ112" s="62">
        <f t="shared" si="96"/>
        <v>342.06887933351783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4</v>
      </c>
      <c r="DO112" s="13">
        <f>IF('Données projet'!$A$166&gt;35,DO111+DN112-DW111,IF(A112&lt;'Données projet'!$A$166,$DL$205^A112,IF(A112='Données projet'!$A$166,'Données projet'!$B$166,DO111+DN112-DW111)))</f>
        <v>279.99999999999955</v>
      </c>
      <c r="DP112" s="18">
        <f>DO112*VLOOKUP('Données projet'!$B$14,Paramètres!$A$1:$I$89,3,0)*VLOOKUP('Données projet'!$B$14,Paramètres!$A$1:$I$89,5,0)</f>
        <v>301.39199999999948</v>
      </c>
      <c r="DQ112" s="14">
        <f t="shared" si="97"/>
        <v>71.468201474229161</v>
      </c>
      <c r="DR112" s="22">
        <f t="shared" si="70"/>
        <v>649.39818423428153</v>
      </c>
      <c r="DS112" s="62">
        <f t="shared" si="71"/>
        <v>942.7315175676149</v>
      </c>
      <c r="DT112" s="62">
        <f ca="1">AVERAGE(OFFSET($DS$3,0,0,'Données projet'!$E$14+1,1))-AVERAGE(OFFSET($H$3,0,0,'Données projet'!$E$14+1,1))</f>
        <v>503.92230226365683</v>
      </c>
      <c r="DU112" s="62">
        <f t="shared" si="98"/>
        <v>267.2998309535638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4</v>
      </c>
      <c r="EJ112" s="13">
        <f>IF('Données projet'!$A$192&gt;35,EJ111+EI112-ER111,IF(A112&lt;'Données projet'!$A$192,$EG$205^A112,IF(A112='Données projet'!$A$192,'Données projet'!$B$192,EJ111+EI112-ER111)))</f>
        <v>279.99999999999955</v>
      </c>
      <c r="EK112" s="18">
        <f>EJ112*VLOOKUP('Données projet'!$B$15,Paramètres!$A$1:$I$89,3,0)*VLOOKUP('Données projet'!$B$15,Paramètres!$A$1:$I$89,5,0)</f>
        <v>270.81599999999958</v>
      </c>
      <c r="EL112" s="14">
        <f t="shared" si="99"/>
        <v>65.022414656032197</v>
      </c>
      <c r="EM112" s="22">
        <f t="shared" si="73"/>
        <v>584.91857219258861</v>
      </c>
      <c r="EN112" s="62">
        <f t="shared" si="74"/>
        <v>878.25190552592198</v>
      </c>
      <c r="EO112" s="62">
        <f ca="1">AVERAGE(OFFSET($EN$3,0,0,'Données projet'!$E$15+1,1))-AVERAGE(OFFSET($H$3,0,0,'Données projet'!$E$15+1,1))</f>
        <v>457.16923206840744</v>
      </c>
      <c r="EP112" s="62">
        <f t="shared" si="100"/>
        <v>244.45149244446094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4.4000000000000004</v>
      </c>
      <c r="FE112" s="13">
        <f>IF('Données projet'!$A$218&gt;35,FE111+FD112-FM111,IF(A112&lt;'Données projet'!$A$218,$FB$205^A112,IF(A112='Données projet'!$A$218,'Données projet'!$B$218,FE111+FD112-FM111)))</f>
        <v>412.60000000000042</v>
      </c>
      <c r="FF112" s="18">
        <f>FE112*VLOOKUP('Données projet'!$B$16,Paramètres!$A$1:$I$89,3,0)*VLOOKUP('Données projet'!$B$16,Paramètres!$A$1:$I$89,5,0)</f>
        <v>276.7720800000003</v>
      </c>
      <c r="FG112" s="14">
        <f t="shared" si="101"/>
        <v>66.284396930315822</v>
      </c>
      <c r="FH112" s="22">
        <f t="shared" si="76"/>
        <v>597.49003065363388</v>
      </c>
      <c r="FI112" s="62">
        <f t="shared" si="77"/>
        <v>890.82336398696725</v>
      </c>
      <c r="FJ112" s="62">
        <f ca="1">AVERAGE(OFFSET($FI$3,0,0,'Données projet'!$E$16+1,1))-AVERAGE(OFFSET($H$3,0,0,'Données projet'!$E$16+1,1))</f>
        <v>385.97853124853452</v>
      </c>
      <c r="FK112" s="62">
        <f t="shared" si="102"/>
        <v>300.99118099739695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132.280299502248</v>
      </c>
      <c r="T113" s="62">
        <f t="shared" si="88"/>
        <v>337.98099449405339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12.848840780675459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1.6741854623954616E-12</v>
      </c>
      <c r="AC113" s="24">
        <f t="shared" si="57"/>
        <v>12.848840780677133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4</v>
      </c>
      <c r="AI113" s="14">
        <f>IF('Données projet'!$A$62&gt;35,AI112+AH113-AQ112,IF(A113&lt;'Données projet'!$A$62,$AF$205^A113,IF(A113='Données projet'!$A$62,'Données projet'!$B$62,AI112+AH113-AQ112)))</f>
        <v>283.99999999999955</v>
      </c>
      <c r="AJ113" s="14">
        <f>AI113*VLOOKUP('Données projet'!$B$10,Paramètres!$A$1:$I$89,3,0)*VLOOKUP('Données projet'!$B$10,Paramètres!$A$1:$I$89,5,0)</f>
        <v>256.96319999999957</v>
      </c>
      <c r="AK113" s="14">
        <f t="shared" si="89"/>
        <v>62.07461295683791</v>
      </c>
      <c r="AL113" s="22">
        <f t="shared" si="58"/>
        <v>555.6575242331586</v>
      </c>
      <c r="AM113" s="62">
        <f t="shared" si="59"/>
        <v>848.99085756649197</v>
      </c>
      <c r="AN113" s="62">
        <f ca="1">AVERAGE(OFFSET($AM$3,0,0,'Données projet'!$E$10+1,1))-AVERAGE(OFFSET($H$3,0,0,'Données projet'!$E$10+1,1))</f>
        <v>430.40491895612814</v>
      </c>
      <c r="AO113" s="62">
        <f t="shared" si="90"/>
        <v>231.36959598460686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1.1368683772161603E-13</v>
      </c>
      <c r="BE113" s="14">
        <f>BD113*VLOOKUP('Données projet'!$B$11,Paramètres!$A$1:$I$89,3,0)*VLOOKUP('Données projet'!$B$11,Paramètres!$A$1:$I$89,5,0)</f>
        <v>6.7984728957526396E-14</v>
      </c>
      <c r="BF113" s="14">
        <f t="shared" si="91"/>
        <v>1.0682447123141398E-12</v>
      </c>
      <c r="BG113" s="22">
        <f t="shared" si="61"/>
        <v>1.978932943548152E-12</v>
      </c>
      <c r="BH113" s="62">
        <f t="shared" si="62"/>
        <v>293.3333333333353</v>
      </c>
      <c r="BI113" s="62">
        <f ca="1">AVERAGE(OFFSET($BH$3,0,0,'Données projet'!$E$11+1,1))-AVERAGE(OFFSET($H$3,0,0,'Données projet'!$E$11+1,1))</f>
        <v>295.83974441964551</v>
      </c>
      <c r="BJ113" s="62">
        <f t="shared" si="92"/>
        <v>212.24900914818096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-5.6843418860808015E-14</v>
      </c>
      <c r="BZ113" s="14">
        <f>BY113*VLOOKUP('Données projet'!$B$12,Paramètres!$A$1:$I$89,3,0)*VLOOKUP('Données projet'!$B$12,Paramètres!$A$1:$I$89,5,0)</f>
        <v>-3.2514435588382188E-14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309.71642374647882</v>
      </c>
      <c r="CE113" s="62">
        <f t="shared" si="94"/>
        <v>266.63880397664315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0.26647719680679238</v>
      </c>
      <c r="CM113" s="23">
        <f>EXP(-LN(2)/2)*CM112+(1-EXP(-LN(2)/2))/(LN(2)/2)*CG113*CJ113*VLOOKUP('Données projet'!$B$12,Paramètres!$A$1:$I$89,3,0)*0.475*44/12</f>
        <v>7.2360944020268678E-12</v>
      </c>
      <c r="CN113" s="24">
        <f t="shared" si="66"/>
        <v>0.26647719681402848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-1.7053025658242404E-13</v>
      </c>
      <c r="CU113" s="18">
        <f>CT113*VLOOKUP('Données projet'!$B$13,Paramètres!$A$1:$I$89,3,0)*VLOOKUP('Données projet'!$B$13,Paramètres!$A$1:$I$89,5,0)</f>
        <v>-1.3567387213697657E-13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312.53381881960331</v>
      </c>
      <c r="CZ113" s="62">
        <f t="shared" si="96"/>
        <v>342.06887933351783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4</v>
      </c>
      <c r="DO113" s="13">
        <f>IF('Données projet'!$A$166&gt;35,DO112+DN113-DW112,IF(A113&lt;'Données projet'!$A$166,$DL$205^A113,IF(A113='Données projet'!$A$166,'Données projet'!$B$166,DO112+DN113-DW112)))</f>
        <v>283.99999999999955</v>
      </c>
      <c r="DP113" s="18">
        <f>DO113*VLOOKUP('Données projet'!$B$14,Paramètres!$A$1:$I$89,3,0)*VLOOKUP('Données projet'!$B$14,Paramètres!$A$1:$I$89,5,0)</f>
        <v>305.69759999999951</v>
      </c>
      <c r="DQ113" s="14">
        <f t="shared" si="97"/>
        <v>72.36958827021229</v>
      </c>
      <c r="DR113" s="22">
        <f t="shared" si="70"/>
        <v>658.46701957061885</v>
      </c>
      <c r="DS113" s="62">
        <f t="shared" si="71"/>
        <v>951.80035290395222</v>
      </c>
      <c r="DT113" s="62">
        <f ca="1">AVERAGE(OFFSET($DS$3,0,0,'Données projet'!$E$14+1,1))-AVERAGE(OFFSET($H$3,0,0,'Données projet'!$E$14+1,1))</f>
        <v>503.92230226365683</v>
      </c>
      <c r="DU113" s="62">
        <f t="shared" si="98"/>
        <v>267.2998309535638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4</v>
      </c>
      <c r="EJ113" s="13">
        <f>IF('Données projet'!$A$192&gt;35,EJ112+EI113-ER112,IF(A113&lt;'Données projet'!$A$192,$EG$205^A113,IF(A113='Données projet'!$A$192,'Données projet'!$B$192,EJ112+EI113-ER112)))</f>
        <v>283.99999999999955</v>
      </c>
      <c r="EK113" s="18">
        <f>EJ113*VLOOKUP('Données projet'!$B$15,Paramètres!$A$1:$I$89,3,0)*VLOOKUP('Données projet'!$B$15,Paramètres!$A$1:$I$89,5,0)</f>
        <v>274.6847999999996</v>
      </c>
      <c r="EL113" s="14">
        <f t="shared" si="99"/>
        <v>65.842504497456602</v>
      </c>
      <c r="EM113" s="22">
        <f t="shared" si="73"/>
        <v>593.08505533306948</v>
      </c>
      <c r="EN113" s="62">
        <f t="shared" si="74"/>
        <v>886.41838866640273</v>
      </c>
      <c r="EO113" s="62">
        <f ca="1">AVERAGE(OFFSET($EN$3,0,0,'Données projet'!$E$15+1,1))-AVERAGE(OFFSET($H$3,0,0,'Données projet'!$E$15+1,1))</f>
        <v>457.16923206840744</v>
      </c>
      <c r="EP113" s="62">
        <f t="shared" si="100"/>
        <v>244.45149244446094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>
        <f>VLOOKUP(A113,'Données projet'!$A$217:$I$237,2,0)</f>
        <v>417</v>
      </c>
      <c r="FC113" s="13">
        <f>VLOOKUP(A113,'Données projet'!$A$217:$I$237,9,0)</f>
        <v>4.4000000000000004</v>
      </c>
      <c r="FD113" s="13">
        <f t="array" ref="FD113">INDEX(FC:FC,MIN(IF(ISNUMBER(FC113:FC309),ROW(FC113:FC309),"")))</f>
        <v>4.4000000000000004</v>
      </c>
      <c r="FE113" s="13">
        <f>IF('Données projet'!$A$218&gt;35,FE112+FD113-FM112,IF(A113&lt;'Données projet'!$A$218,$FB$205^A113,IF(A113='Données projet'!$A$218,'Données projet'!$B$218,FE112+FD113-FM112)))</f>
        <v>417.0000000000004</v>
      </c>
      <c r="FF113" s="18">
        <f>FE113*VLOOKUP('Données projet'!$B$16,Paramètres!$A$1:$I$89,3,0)*VLOOKUP('Données projet'!$B$16,Paramètres!$A$1:$I$89,5,0)</f>
        <v>279.72360000000026</v>
      </c>
      <c r="FG113" s="14">
        <f t="shared" si="101"/>
        <v>66.908594258487696</v>
      </c>
      <c r="FH113" s="22">
        <f t="shared" si="76"/>
        <v>603.71773833353313</v>
      </c>
      <c r="FI113" s="62">
        <f t="shared" si="77"/>
        <v>897.05107166686639</v>
      </c>
      <c r="FJ113" s="62">
        <f ca="1">AVERAGE(OFFSET($FI$3,0,0,'Données projet'!$E$16+1,1))-AVERAGE(OFFSET($H$3,0,0,'Données projet'!$E$16+1,1))</f>
        <v>385.97853124853452</v>
      </c>
      <c r="FK113" s="62">
        <f t="shared" si="102"/>
        <v>300.99118099739695</v>
      </c>
      <c r="FL113" s="16">
        <f>IF(ISNA(VLOOKUP(A113,'Données projet'!$A$217:$I$237,3,0)),0,VLOOKUP(A113,'Données projet'!$A$217:$I$237,3,0))</f>
        <v>10</v>
      </c>
      <c r="FM113" s="16">
        <f>IF(ISNA(VLOOKUP(A113,'Données projet'!$A$217:$I$237,4,0)),0,VLOOKUP(A113,'Données projet'!$A$217:$I$237,4,0))</f>
        <v>417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132.280299502248</v>
      </c>
      <c r="T114" s="62">
        <f t="shared" si="88"/>
        <v>337.98099449405339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12.596882849985448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1.1838278934237665E-12</v>
      </c>
      <c r="AC114" s="24">
        <f t="shared" si="57"/>
        <v>12.596882849986631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</v>
      </c>
      <c r="AI114" s="14">
        <f>IF('Données projet'!$A$62&gt;35,AI113+AH114-AQ113,IF(A114&lt;'Données projet'!$A$62,$AF$205^A114,IF(A114='Données projet'!$A$62,'Données projet'!$B$62,AI113+AH114-AQ113)))</f>
        <v>287.99999999999955</v>
      </c>
      <c r="AJ114" s="14">
        <f>AI114*VLOOKUP('Données projet'!$B$10,Paramètres!$A$1:$I$89,3,0)*VLOOKUP('Données projet'!$B$10,Paramètres!$A$1:$I$89,5,0)</f>
        <v>260.58239999999961</v>
      </c>
      <c r="AK114" s="14">
        <f t="shared" si="89"/>
        <v>62.846505929896793</v>
      </c>
      <c r="AL114" s="22">
        <f t="shared" si="58"/>
        <v>563.30534449456957</v>
      </c>
      <c r="AM114" s="62">
        <f t="shared" si="59"/>
        <v>856.63867782790294</v>
      </c>
      <c r="AN114" s="62">
        <f ca="1">AVERAGE(OFFSET($AM$3,0,0,'Données projet'!$E$10+1,1))-AVERAGE(OFFSET($H$3,0,0,'Données projet'!$E$10+1,1))</f>
        <v>430.40491895612814</v>
      </c>
      <c r="AO114" s="62">
        <f t="shared" si="90"/>
        <v>231.36959598460686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1.1368683772161603E-13</v>
      </c>
      <c r="BE114" s="14">
        <f>BD114*VLOOKUP('Données projet'!$B$11,Paramètres!$A$1:$I$89,3,0)*VLOOKUP('Données projet'!$B$11,Paramètres!$A$1:$I$89,5,0)</f>
        <v>6.7984728957526396E-14</v>
      </c>
      <c r="BF114" s="14">
        <f t="shared" si="91"/>
        <v>1.0682447123141398E-12</v>
      </c>
      <c r="BG114" s="22">
        <f t="shared" si="61"/>
        <v>1.978932943548152E-12</v>
      </c>
      <c r="BH114" s="62">
        <f t="shared" si="62"/>
        <v>293.3333333333353</v>
      </c>
      <c r="BI114" s="62">
        <f ca="1">AVERAGE(OFFSET($BH$3,0,0,'Données projet'!$E$11+1,1))-AVERAGE(OFFSET($H$3,0,0,'Données projet'!$E$11+1,1))</f>
        <v>295.83974441964551</v>
      </c>
      <c r="BJ114" s="62">
        <f t="shared" si="92"/>
        <v>212.24900914818096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-5.6843418860808015E-14</v>
      </c>
      <c r="BZ114" s="14">
        <f>BY114*VLOOKUP('Données projet'!$B$12,Paramètres!$A$1:$I$89,3,0)*VLOOKUP('Données projet'!$B$12,Paramètres!$A$1:$I$89,5,0)</f>
        <v>-3.2514435588382188E-14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309.71642374647882</v>
      </c>
      <c r="CE114" s="62">
        <f t="shared" si="94"/>
        <v>266.63880397664315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0.25919036384668392</v>
      </c>
      <c r="CM114" s="23">
        <f>EXP(-LN(2)/2)*CM113+(1-EXP(-LN(2)/2))/(LN(2)/2)*CG114*CJ114*VLOOKUP('Données projet'!$B$12,Paramètres!$A$1:$I$89,3,0)*0.475*44/12</f>
        <v>5.1166914209792145E-12</v>
      </c>
      <c r="CN114" s="24">
        <f t="shared" si="66"/>
        <v>0.25919036385180061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-1.7053025658242404E-13</v>
      </c>
      <c r="CU114" s="18">
        <f>CT114*VLOOKUP('Données projet'!$B$13,Paramètres!$A$1:$I$89,3,0)*VLOOKUP('Données projet'!$B$13,Paramètres!$A$1:$I$89,5,0)</f>
        <v>-1.3567387213697657E-13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312.53381881960331</v>
      </c>
      <c r="CZ114" s="62">
        <f t="shared" si="96"/>
        <v>342.06887933351783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4</v>
      </c>
      <c r="DO114" s="13">
        <f>IF('Données projet'!$A$166&gt;35,DO113+DN114-DW113,IF(A114&lt;'Données projet'!$A$166,$DL$205^A114,IF(A114='Données projet'!$A$166,'Données projet'!$B$166,DO113+DN114-DW113)))</f>
        <v>287.99999999999955</v>
      </c>
      <c r="DP114" s="18">
        <f>DO114*VLOOKUP('Données projet'!$B$14,Paramètres!$A$1:$I$89,3,0)*VLOOKUP('Données projet'!$B$14,Paramètres!$A$1:$I$89,5,0)</f>
        <v>310.00319999999948</v>
      </c>
      <c r="DQ114" s="14">
        <f t="shared" si="97"/>
        <v>73.269498458742731</v>
      </c>
      <c r="DR114" s="22">
        <f t="shared" si="70"/>
        <v>667.5332831489759</v>
      </c>
      <c r="DS114" s="62">
        <f t="shared" si="71"/>
        <v>960.86661648230915</v>
      </c>
      <c r="DT114" s="62">
        <f ca="1">AVERAGE(OFFSET($DS$3,0,0,'Données projet'!$E$14+1,1))-AVERAGE(OFFSET($H$3,0,0,'Données projet'!$E$14+1,1))</f>
        <v>503.92230226365683</v>
      </c>
      <c r="DU114" s="62">
        <f t="shared" si="98"/>
        <v>267.2998309535638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4</v>
      </c>
      <c r="EJ114" s="13">
        <f>IF('Données projet'!$A$192&gt;35,EJ113+EI114-ER113,IF(A114&lt;'Données projet'!$A$192,$EG$205^A114,IF(A114='Données projet'!$A$192,'Données projet'!$B$192,EJ113+EI114-ER113)))</f>
        <v>287.99999999999955</v>
      </c>
      <c r="EK114" s="18">
        <f>EJ114*VLOOKUP('Données projet'!$B$15,Paramètres!$A$1:$I$89,3,0)*VLOOKUP('Données projet'!$B$15,Paramètres!$A$1:$I$89,5,0)</f>
        <v>278.55359999999956</v>
      </c>
      <c r="EL114" s="14">
        <f t="shared" si="99"/>
        <v>66.661250908095042</v>
      </c>
      <c r="EM114" s="22">
        <f t="shared" si="73"/>
        <v>601.24919866493144</v>
      </c>
      <c r="EN114" s="62">
        <f t="shared" si="74"/>
        <v>894.58253199826481</v>
      </c>
      <c r="EO114" s="62">
        <f ca="1">AVERAGE(OFFSET($EN$3,0,0,'Données projet'!$E$15+1,1))-AVERAGE(OFFSET($H$3,0,0,'Données projet'!$E$15+1,1))</f>
        <v>457.16923206840744</v>
      </c>
      <c r="EP114" s="62">
        <f t="shared" si="100"/>
        <v>244.45149244446094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3.979039320256561E-13</v>
      </c>
      <c r="FF114" s="18">
        <f>FE114*VLOOKUP('Données projet'!$B$16,Paramètres!$A$1:$I$89,3,0)*VLOOKUP('Données projet'!$B$16,Paramètres!$A$1:$I$89,5,0)</f>
        <v>2.669139576028101E-13</v>
      </c>
      <c r="FG114" s="14">
        <f t="shared" si="101"/>
        <v>3.5767923834585247E-12</v>
      </c>
      <c r="FH114" s="22">
        <f t="shared" si="76"/>
        <v>6.6944552106818241E-12</v>
      </c>
      <c r="FI114" s="62">
        <f t="shared" si="77"/>
        <v>293.33333333334002</v>
      </c>
      <c r="FJ114" s="62">
        <f ca="1">AVERAGE(OFFSET($FI$3,0,0,'Données projet'!$E$16+1,1))-AVERAGE(OFFSET($H$3,0,0,'Données projet'!$E$16+1,1))</f>
        <v>385.97853124853452</v>
      </c>
      <c r="FK114" s="62">
        <f t="shared" si="102"/>
        <v>300.99118099739695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132.280299502248</v>
      </c>
      <c r="T115" s="62">
        <f t="shared" si="88"/>
        <v>337.98099449405339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12.349865660637105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8.3709273119773079E-13</v>
      </c>
      <c r="AC115" s="24">
        <f t="shared" si="57"/>
        <v>12.349865660637942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</v>
      </c>
      <c r="AI115" s="14">
        <f>IF('Données projet'!$A$62&gt;35,AI114+AH115-AQ114,IF(A115&lt;'Données projet'!$A$62,$AF$205^A115,IF(A115='Données projet'!$A$62,'Données projet'!$B$62,AI114+AH115-AQ114)))</f>
        <v>291.99999999999955</v>
      </c>
      <c r="AJ115" s="14">
        <f>AI115*VLOOKUP('Données projet'!$B$10,Paramètres!$A$1:$I$89,3,0)*VLOOKUP('Données projet'!$B$10,Paramètres!$A$1:$I$89,5,0)</f>
        <v>264.20159999999959</v>
      </c>
      <c r="AK115" s="14">
        <f t="shared" si="89"/>
        <v>63.617151975096654</v>
      </c>
      <c r="AL115" s="22">
        <f t="shared" si="58"/>
        <v>570.95099302329265</v>
      </c>
      <c r="AM115" s="62">
        <f t="shared" si="59"/>
        <v>864.28432635662602</v>
      </c>
      <c r="AN115" s="62">
        <f ca="1">AVERAGE(OFFSET($AM$3,0,0,'Données projet'!$E$10+1,1))-AVERAGE(OFFSET($H$3,0,0,'Données projet'!$E$10+1,1))</f>
        <v>430.40491895612814</v>
      </c>
      <c r="AO115" s="62">
        <f t="shared" si="90"/>
        <v>231.36959598460686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1.1368683772161603E-13</v>
      </c>
      <c r="BE115" s="14">
        <f>BD115*VLOOKUP('Données projet'!$B$11,Paramètres!$A$1:$I$89,3,0)*VLOOKUP('Données projet'!$B$11,Paramètres!$A$1:$I$89,5,0)</f>
        <v>6.7984728957526396E-14</v>
      </c>
      <c r="BF115" s="14">
        <f t="shared" si="91"/>
        <v>1.0682447123141398E-12</v>
      </c>
      <c r="BG115" s="22">
        <f t="shared" si="61"/>
        <v>1.978932943548152E-12</v>
      </c>
      <c r="BH115" s="62">
        <f t="shared" si="62"/>
        <v>293.3333333333353</v>
      </c>
      <c r="BI115" s="62">
        <f ca="1">AVERAGE(OFFSET($BH$3,0,0,'Données projet'!$E$11+1,1))-AVERAGE(OFFSET($H$3,0,0,'Données projet'!$E$11+1,1))</f>
        <v>295.83974441964551</v>
      </c>
      <c r="BJ115" s="62">
        <f t="shared" si="92"/>
        <v>212.24900914818096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-5.6843418860808015E-14</v>
      </c>
      <c r="BZ115" s="14">
        <f>BY115*VLOOKUP('Données projet'!$B$12,Paramètres!$A$1:$I$89,3,0)*VLOOKUP('Données projet'!$B$12,Paramètres!$A$1:$I$89,5,0)</f>
        <v>-3.2514435588382188E-14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309.71642374647882</v>
      </c>
      <c r="CE115" s="62">
        <f t="shared" si="94"/>
        <v>266.63880397664315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0.25210278971706751</v>
      </c>
      <c r="CM115" s="23">
        <f>EXP(-LN(2)/2)*CM114+(1-EXP(-LN(2)/2))/(LN(2)/2)*CG115*CJ115*VLOOKUP('Données projet'!$B$12,Paramètres!$A$1:$I$89,3,0)*0.475*44/12</f>
        <v>3.6180472010134347E-12</v>
      </c>
      <c r="CN115" s="24">
        <f t="shared" si="66"/>
        <v>0.25210278972068556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-1.7053025658242404E-13</v>
      </c>
      <c r="CU115" s="18">
        <f>CT115*VLOOKUP('Données projet'!$B$13,Paramètres!$A$1:$I$89,3,0)*VLOOKUP('Données projet'!$B$13,Paramètres!$A$1:$I$89,5,0)</f>
        <v>-1.3567387213697657E-13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312.53381881960331</v>
      </c>
      <c r="CZ115" s="62">
        <f t="shared" si="96"/>
        <v>342.06887933351783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4</v>
      </c>
      <c r="DO115" s="13">
        <f>IF('Données projet'!$A$166&gt;35,DO114+DN115-DW114,IF(A115&lt;'Données projet'!$A$166,$DL$205^A115,IF(A115='Données projet'!$A$166,'Données projet'!$B$166,DO114+DN115-DW114)))</f>
        <v>291.99999999999955</v>
      </c>
      <c r="DP115" s="18">
        <f>DO115*VLOOKUP('Données projet'!$B$14,Paramètres!$A$1:$I$89,3,0)*VLOOKUP('Données projet'!$B$14,Paramètres!$A$1:$I$89,5,0)</f>
        <v>314.30879999999951</v>
      </c>
      <c r="DQ115" s="14">
        <f t="shared" si="97"/>
        <v>74.167954918422311</v>
      </c>
      <c r="DR115" s="22">
        <f t="shared" si="70"/>
        <v>676.59701481625132</v>
      </c>
      <c r="DS115" s="62">
        <f t="shared" si="71"/>
        <v>969.93034814958469</v>
      </c>
      <c r="DT115" s="62">
        <f ca="1">AVERAGE(OFFSET($DS$3,0,0,'Données projet'!$E$14+1,1))-AVERAGE(OFFSET($H$3,0,0,'Données projet'!$E$14+1,1))</f>
        <v>503.92230226365683</v>
      </c>
      <c r="DU115" s="62">
        <f t="shared" si="98"/>
        <v>267.2998309535638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4</v>
      </c>
      <c r="EJ115" s="13">
        <f>IF('Données projet'!$A$192&gt;35,EJ114+EI115-ER114,IF(A115&lt;'Données projet'!$A$192,$EG$205^A115,IF(A115='Données projet'!$A$192,'Données projet'!$B$192,EJ114+EI115-ER114)))</f>
        <v>291.99999999999955</v>
      </c>
      <c r="EK115" s="18">
        <f>EJ115*VLOOKUP('Données projet'!$B$15,Paramètres!$A$1:$I$89,3,0)*VLOOKUP('Données projet'!$B$15,Paramètres!$A$1:$I$89,5,0)</f>
        <v>282.42239999999953</v>
      </c>
      <c r="EL115" s="14">
        <f t="shared" si="99"/>
        <v>67.478674703106122</v>
      </c>
      <c r="EM115" s="22">
        <f t="shared" si="73"/>
        <v>609.41103844124234</v>
      </c>
      <c r="EN115" s="62">
        <f t="shared" si="74"/>
        <v>902.74437177457571</v>
      </c>
      <c r="EO115" s="62">
        <f ca="1">AVERAGE(OFFSET($EN$3,0,0,'Données projet'!$E$15+1,1))-AVERAGE(OFFSET($H$3,0,0,'Données projet'!$E$15+1,1))</f>
        <v>457.16923206840744</v>
      </c>
      <c r="EP115" s="62">
        <f t="shared" si="100"/>
        <v>244.45149244446094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3.979039320256561E-13</v>
      </c>
      <c r="FF115" s="18">
        <f>FE115*VLOOKUP('Données projet'!$B$16,Paramètres!$A$1:$I$89,3,0)*VLOOKUP('Données projet'!$B$16,Paramètres!$A$1:$I$89,5,0)</f>
        <v>2.669139576028101E-13</v>
      </c>
      <c r="FG115" s="14">
        <f t="shared" si="101"/>
        <v>3.5767923834585247E-12</v>
      </c>
      <c r="FH115" s="22">
        <f t="shared" si="76"/>
        <v>6.6944552106818241E-12</v>
      </c>
      <c r="FI115" s="62">
        <f t="shared" si="77"/>
        <v>293.33333333334002</v>
      </c>
      <c r="FJ115" s="62">
        <f ca="1">AVERAGE(OFFSET($FI$3,0,0,'Données projet'!$E$16+1,1))-AVERAGE(OFFSET($H$3,0,0,'Données projet'!$E$16+1,1))</f>
        <v>385.97853124853452</v>
      </c>
      <c r="FK115" s="62">
        <f t="shared" si="102"/>
        <v>300.99118099739695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132.280299502248</v>
      </c>
      <c r="T116" s="62">
        <f t="shared" si="88"/>
        <v>337.98099449405339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12.107692327706275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5.9191394671188326E-13</v>
      </c>
      <c r="AC116" s="24">
        <f t="shared" si="57"/>
        <v>12.107692327706866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</v>
      </c>
      <c r="AI116" s="14">
        <f>IF('Données projet'!$A$62&gt;35,AI115+AH116-AQ115,IF(A116&lt;'Données projet'!$A$62,$AF$205^A116,IF(A116='Données projet'!$A$62,'Données projet'!$B$62,AI115+AH116-AQ115)))</f>
        <v>295.99999999999955</v>
      </c>
      <c r="AJ116" s="14">
        <f>AI116*VLOOKUP('Données projet'!$B$10,Paramètres!$A$1:$I$89,3,0)*VLOOKUP('Données projet'!$B$10,Paramètres!$A$1:$I$89,5,0)</f>
        <v>267.82079999999956</v>
      </c>
      <c r="AK116" s="14">
        <f t="shared" si="89"/>
        <v>64.386570147897245</v>
      </c>
      <c r="AL116" s="22">
        <f t="shared" si="58"/>
        <v>578.59450300758692</v>
      </c>
      <c r="AM116" s="62">
        <f t="shared" si="59"/>
        <v>871.92783634092029</v>
      </c>
      <c r="AN116" s="62">
        <f ca="1">AVERAGE(OFFSET($AM$3,0,0,'Données projet'!$E$10+1,1))-AVERAGE(OFFSET($H$3,0,0,'Données projet'!$E$10+1,1))</f>
        <v>430.40491895612814</v>
      </c>
      <c r="AO116" s="62">
        <f t="shared" si="90"/>
        <v>231.36959598460686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1.1368683772161603E-13</v>
      </c>
      <c r="BE116" s="14">
        <f>BD116*VLOOKUP('Données projet'!$B$11,Paramètres!$A$1:$I$89,3,0)*VLOOKUP('Données projet'!$B$11,Paramètres!$A$1:$I$89,5,0)</f>
        <v>6.7984728957526396E-14</v>
      </c>
      <c r="BF116" s="14">
        <f t="shared" si="91"/>
        <v>1.0682447123141398E-12</v>
      </c>
      <c r="BG116" s="22">
        <f t="shared" si="61"/>
        <v>1.978932943548152E-12</v>
      </c>
      <c r="BH116" s="62">
        <f t="shared" si="62"/>
        <v>293.3333333333353</v>
      </c>
      <c r="BI116" s="62">
        <f ca="1">AVERAGE(OFFSET($BH$3,0,0,'Données projet'!$E$11+1,1))-AVERAGE(OFFSET($H$3,0,0,'Données projet'!$E$11+1,1))</f>
        <v>295.83974441964551</v>
      </c>
      <c r="BJ116" s="62">
        <f t="shared" si="92"/>
        <v>212.24900914818096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-5.6843418860808015E-14</v>
      </c>
      <c r="BZ116" s="14">
        <f>BY116*VLOOKUP('Données projet'!$B$12,Paramètres!$A$1:$I$89,3,0)*VLOOKUP('Données projet'!$B$12,Paramètres!$A$1:$I$89,5,0)</f>
        <v>-3.2514435588382188E-14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309.71642374647882</v>
      </c>
      <c r="CE116" s="62">
        <f t="shared" si="94"/>
        <v>266.63880397664315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0.24520902567474478</v>
      </c>
      <c r="CM116" s="23">
        <f>EXP(-LN(2)/2)*CM115+(1-EXP(-LN(2)/2))/(LN(2)/2)*CG116*CJ116*VLOOKUP('Données projet'!$B$12,Paramètres!$A$1:$I$89,3,0)*0.475*44/12</f>
        <v>2.5583457104896076E-12</v>
      </c>
      <c r="CN116" s="24">
        <f t="shared" si="66"/>
        <v>0.24520902567730313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-1.7053025658242404E-13</v>
      </c>
      <c r="CU116" s="18">
        <f>CT116*VLOOKUP('Données projet'!$B$13,Paramètres!$A$1:$I$89,3,0)*VLOOKUP('Données projet'!$B$13,Paramètres!$A$1:$I$89,5,0)</f>
        <v>-1.3567387213697657E-13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312.53381881960331</v>
      </c>
      <c r="CZ116" s="62">
        <f t="shared" si="96"/>
        <v>342.06887933351783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4</v>
      </c>
      <c r="DO116" s="13">
        <f>IF('Données projet'!$A$166&gt;35,DO115+DN116-DW115,IF(A116&lt;'Données projet'!$A$166,$DL$205^A116,IF(A116='Données projet'!$A$166,'Données projet'!$B$166,DO115+DN116-DW115)))</f>
        <v>295.99999999999955</v>
      </c>
      <c r="DP116" s="18">
        <f>DO116*VLOOKUP('Données projet'!$B$14,Paramètres!$A$1:$I$89,3,0)*VLOOKUP('Données projet'!$B$14,Paramètres!$A$1:$I$89,5,0)</f>
        <v>318.61439999999948</v>
      </c>
      <c r="DQ116" s="14">
        <f t="shared" si="97"/>
        <v>75.064979865028363</v>
      </c>
      <c r="DR116" s="22">
        <f t="shared" si="70"/>
        <v>685.65825326492347</v>
      </c>
      <c r="DS116" s="62">
        <f t="shared" si="71"/>
        <v>978.99158659825684</v>
      </c>
      <c r="DT116" s="62">
        <f ca="1">AVERAGE(OFFSET($DS$3,0,0,'Données projet'!$E$14+1,1))-AVERAGE(OFFSET($H$3,0,0,'Données projet'!$E$14+1,1))</f>
        <v>503.92230226365683</v>
      </c>
      <c r="DU116" s="62">
        <f t="shared" si="98"/>
        <v>267.2998309535638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4</v>
      </c>
      <c r="EJ116" s="13">
        <f>IF('Données projet'!$A$192&gt;35,EJ115+EI116-ER115,IF(A116&lt;'Données projet'!$A$192,$EG$205^A116,IF(A116='Données projet'!$A$192,'Données projet'!$B$192,EJ115+EI116-ER115)))</f>
        <v>295.99999999999955</v>
      </c>
      <c r="EK116" s="18">
        <f>EJ116*VLOOKUP('Données projet'!$B$15,Paramètres!$A$1:$I$89,3,0)*VLOOKUP('Données projet'!$B$15,Paramètres!$A$1:$I$89,5,0)</f>
        <v>286.29119999999961</v>
      </c>
      <c r="EL116" s="14">
        <f t="shared" si="99"/>
        <v>68.294796094604337</v>
      </c>
      <c r="EM116" s="22">
        <f t="shared" si="73"/>
        <v>617.57060986476847</v>
      </c>
      <c r="EN116" s="62">
        <f t="shared" si="74"/>
        <v>910.90394319810184</v>
      </c>
      <c r="EO116" s="62">
        <f ca="1">AVERAGE(OFFSET($EN$3,0,0,'Données projet'!$E$15+1,1))-AVERAGE(OFFSET($H$3,0,0,'Données projet'!$E$15+1,1))</f>
        <v>457.16923206840744</v>
      </c>
      <c r="EP116" s="62">
        <f t="shared" si="100"/>
        <v>244.45149244446094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3.979039320256561E-13</v>
      </c>
      <c r="FF116" s="18">
        <f>FE116*VLOOKUP('Données projet'!$B$16,Paramètres!$A$1:$I$89,3,0)*VLOOKUP('Données projet'!$B$16,Paramètres!$A$1:$I$89,5,0)</f>
        <v>2.669139576028101E-13</v>
      </c>
      <c r="FG116" s="14">
        <f t="shared" si="101"/>
        <v>3.5767923834585247E-12</v>
      </c>
      <c r="FH116" s="22">
        <f t="shared" si="76"/>
        <v>6.6944552106818241E-12</v>
      </c>
      <c r="FI116" s="62">
        <f t="shared" si="77"/>
        <v>293.33333333334002</v>
      </c>
      <c r="FJ116" s="62">
        <f ca="1">AVERAGE(OFFSET($FI$3,0,0,'Données projet'!$E$16+1,1))-AVERAGE(OFFSET($H$3,0,0,'Données projet'!$E$16+1,1))</f>
        <v>385.97853124853452</v>
      </c>
      <c r="FK116" s="62">
        <f t="shared" si="102"/>
        <v>300.99118099739695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132.280299502248</v>
      </c>
      <c r="T117" s="62">
        <f t="shared" si="88"/>
        <v>337.98099449405339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11.87026786612307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4.185463655988654E-13</v>
      </c>
      <c r="AC117" s="24">
        <f t="shared" si="57"/>
        <v>11.870267866123489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</v>
      </c>
      <c r="AI117" s="14">
        <f>IF('Données projet'!$A$62&gt;35,AI116+AH117-AQ116,IF(A117&lt;'Données projet'!$A$62,$AF$205^A117,IF(A117='Données projet'!$A$62,'Données projet'!$B$62,AI116+AH117-AQ116)))</f>
        <v>299.99999999999955</v>
      </c>
      <c r="AJ117" s="14">
        <f>AI117*VLOOKUP('Données projet'!$B$10,Paramètres!$A$1:$I$89,3,0)*VLOOKUP('Données projet'!$B$10,Paramètres!$A$1:$I$89,5,0)</f>
        <v>271.43999999999954</v>
      </c>
      <c r="AK117" s="14">
        <f t="shared" si="89"/>
        <v>65.154778959151116</v>
      </c>
      <c r="AL117" s="22">
        <f t="shared" si="58"/>
        <v>586.23590668718737</v>
      </c>
      <c r="AM117" s="62">
        <f t="shared" si="59"/>
        <v>879.56924002052074</v>
      </c>
      <c r="AN117" s="62">
        <f ca="1">AVERAGE(OFFSET($AM$3,0,0,'Données projet'!$E$10+1,1))-AVERAGE(OFFSET($H$3,0,0,'Données projet'!$E$10+1,1))</f>
        <v>430.40491895612814</v>
      </c>
      <c r="AO117" s="62">
        <f t="shared" si="90"/>
        <v>231.36959598460686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1.1368683772161603E-13</v>
      </c>
      <c r="BE117" s="14">
        <f>BD117*VLOOKUP('Données projet'!$B$11,Paramètres!$A$1:$I$89,3,0)*VLOOKUP('Données projet'!$B$11,Paramètres!$A$1:$I$89,5,0)</f>
        <v>6.7984728957526396E-14</v>
      </c>
      <c r="BF117" s="14">
        <f t="shared" si="91"/>
        <v>1.0682447123141398E-12</v>
      </c>
      <c r="BG117" s="22">
        <f t="shared" si="61"/>
        <v>1.978932943548152E-12</v>
      </c>
      <c r="BH117" s="62">
        <f t="shared" si="62"/>
        <v>293.3333333333353</v>
      </c>
      <c r="BI117" s="62">
        <f ca="1">AVERAGE(OFFSET($BH$3,0,0,'Données projet'!$E$11+1,1))-AVERAGE(OFFSET($H$3,0,0,'Données projet'!$E$11+1,1))</f>
        <v>295.83974441964551</v>
      </c>
      <c r="BJ117" s="62">
        <f t="shared" si="92"/>
        <v>212.24900914818096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-5.6843418860808015E-14</v>
      </c>
      <c r="BZ117" s="14">
        <f>BY117*VLOOKUP('Données projet'!$B$12,Paramètres!$A$1:$I$89,3,0)*VLOOKUP('Données projet'!$B$12,Paramètres!$A$1:$I$89,5,0)</f>
        <v>-3.2514435588382188E-14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309.71642374647882</v>
      </c>
      <c r="CE117" s="62">
        <f t="shared" si="94"/>
        <v>266.63880397664315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0.23850377197268666</v>
      </c>
      <c r="CM117" s="23">
        <f>EXP(-LN(2)/2)*CM116+(1-EXP(-LN(2)/2))/(LN(2)/2)*CG117*CJ117*VLOOKUP('Données projet'!$B$12,Paramètres!$A$1:$I$89,3,0)*0.475*44/12</f>
        <v>1.8090236005067176E-12</v>
      </c>
      <c r="CN117" s="24">
        <f t="shared" si="66"/>
        <v>0.23850377197449568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-1.7053025658242404E-13</v>
      </c>
      <c r="CU117" s="18">
        <f>CT117*VLOOKUP('Données projet'!$B$13,Paramètres!$A$1:$I$89,3,0)*VLOOKUP('Données projet'!$B$13,Paramètres!$A$1:$I$89,5,0)</f>
        <v>-1.3567387213697657E-13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312.53381881960331</v>
      </c>
      <c r="CZ117" s="62">
        <f t="shared" si="96"/>
        <v>342.06887933351783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4</v>
      </c>
      <c r="DO117" s="13">
        <f>IF('Données projet'!$A$166&gt;35,DO116+DN117-DW116,IF(A117&lt;'Données projet'!$A$166,$DL$205^A117,IF(A117='Données projet'!$A$166,'Données projet'!$B$166,DO116+DN117-DW116)))</f>
        <v>299.99999999999955</v>
      </c>
      <c r="DP117" s="18">
        <f>DO117*VLOOKUP('Données projet'!$B$14,Paramètres!$A$1:$I$89,3,0)*VLOOKUP('Données projet'!$B$14,Paramètres!$A$1:$I$89,5,0)</f>
        <v>322.9199999999995</v>
      </c>
      <c r="DQ117" s="14">
        <f t="shared" si="97"/>
        <v>75.960594879408688</v>
      </c>
      <c r="DR117" s="22">
        <f t="shared" si="70"/>
        <v>694.71703608163591</v>
      </c>
      <c r="DS117" s="62">
        <f t="shared" si="71"/>
        <v>988.05036941496928</v>
      </c>
      <c r="DT117" s="62">
        <f ca="1">AVERAGE(OFFSET($DS$3,0,0,'Données projet'!$E$14+1,1))-AVERAGE(OFFSET($H$3,0,0,'Données projet'!$E$14+1,1))</f>
        <v>503.92230226365683</v>
      </c>
      <c r="DU117" s="62">
        <f t="shared" si="98"/>
        <v>267.2998309535638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4</v>
      </c>
      <c r="EJ117" s="13">
        <f>IF('Données projet'!$A$192&gt;35,EJ116+EI117-ER116,IF(A117&lt;'Données projet'!$A$192,$EG$205^A117,IF(A117='Données projet'!$A$192,'Données projet'!$B$192,EJ116+EI117-ER116)))</f>
        <v>299.99999999999955</v>
      </c>
      <c r="EK117" s="18">
        <f>EJ117*VLOOKUP('Données projet'!$B$15,Paramètres!$A$1:$I$89,3,0)*VLOOKUP('Données projet'!$B$15,Paramètres!$A$1:$I$89,5,0)</f>
        <v>290.15999999999957</v>
      </c>
      <c r="EL117" s="14">
        <f t="shared" si="99"/>
        <v>69.10963471703981</v>
      </c>
      <c r="EM117" s="22">
        <f t="shared" si="73"/>
        <v>625.72794713217684</v>
      </c>
      <c r="EN117" s="62">
        <f t="shared" si="74"/>
        <v>919.06128046551021</v>
      </c>
      <c r="EO117" s="62">
        <f ca="1">AVERAGE(OFFSET($EN$3,0,0,'Données projet'!$E$15+1,1))-AVERAGE(OFFSET($H$3,0,0,'Données projet'!$E$15+1,1))</f>
        <v>457.16923206840744</v>
      </c>
      <c r="EP117" s="62">
        <f t="shared" si="100"/>
        <v>244.45149244446094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3.979039320256561E-13</v>
      </c>
      <c r="FF117" s="18">
        <f>FE117*VLOOKUP('Données projet'!$B$16,Paramètres!$A$1:$I$89,3,0)*VLOOKUP('Données projet'!$B$16,Paramètres!$A$1:$I$89,5,0)</f>
        <v>2.669139576028101E-13</v>
      </c>
      <c r="FG117" s="14">
        <f t="shared" si="101"/>
        <v>3.5767923834585247E-12</v>
      </c>
      <c r="FH117" s="22">
        <f t="shared" si="76"/>
        <v>6.6944552106818241E-12</v>
      </c>
      <c r="FI117" s="62">
        <f t="shared" si="77"/>
        <v>293.33333333334002</v>
      </c>
      <c r="FJ117" s="62">
        <f ca="1">AVERAGE(OFFSET($FI$3,0,0,'Données projet'!$E$16+1,1))-AVERAGE(OFFSET($H$3,0,0,'Données projet'!$E$16+1,1))</f>
        <v>385.97853124853452</v>
      </c>
      <c r="FK117" s="62">
        <f t="shared" si="102"/>
        <v>300.99118099739695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132.280299502248</v>
      </c>
      <c r="T118" s="62">
        <f t="shared" si="88"/>
        <v>337.98099449405339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11.63749915341689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2.9595697335594163E-13</v>
      </c>
      <c r="AC118" s="24">
        <f t="shared" si="57"/>
        <v>11.637499153417187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304</v>
      </c>
      <c r="AG118" s="13">
        <f>VLOOKUP(A118,'Données projet'!$A$61:$I$81,9,0)</f>
        <v>4</v>
      </c>
      <c r="AH118" s="13">
        <f t="array" ref="AH118">INDEX(AG:AG,MIN(IF(ISNUMBER(AG118:AG314),ROW(AG118:AG314),"")))</f>
        <v>4</v>
      </c>
      <c r="AI118" s="14">
        <f>IF('Données projet'!$A$62&gt;35,AI117+AH118-AQ117,IF(A118&lt;'Données projet'!$A$62,$AF$205^A118,IF(A118='Données projet'!$A$62,'Données projet'!$B$62,AI117+AH118-AQ117)))</f>
        <v>303.99999999999955</v>
      </c>
      <c r="AJ118" s="14">
        <f>AI118*VLOOKUP('Données projet'!$B$10,Paramètres!$A$1:$I$89,3,0)*VLOOKUP('Données projet'!$B$10,Paramètres!$A$1:$I$89,5,0)</f>
        <v>275.05919999999958</v>
      </c>
      <c r="AK118" s="14">
        <f t="shared" si="89"/>
        <v>65.921796397718268</v>
      </c>
      <c r="AL118" s="22">
        <f t="shared" si="58"/>
        <v>593.87523539269193</v>
      </c>
      <c r="AM118" s="62">
        <f t="shared" si="59"/>
        <v>887.20856872602531</v>
      </c>
      <c r="AN118" s="62">
        <f ca="1">AVERAGE(OFFSET($AM$3,0,0,'Données projet'!$E$10+1,1))-AVERAGE(OFFSET($H$3,0,0,'Données projet'!$E$10+1,1))</f>
        <v>430.40491895612814</v>
      </c>
      <c r="AO118" s="62">
        <f t="shared" si="90"/>
        <v>231.36959598460686</v>
      </c>
      <c r="AP118" s="16">
        <f>IF(ISNA(VLOOKUP(A118,'Données projet'!$A$61:$I$81,3,0)),0,VLOOKUP(A118,'Données projet'!$A$61:$I$81,3,0))</f>
        <v>10</v>
      </c>
      <c r="AQ118" s="16">
        <f>IF(ISNA(VLOOKUP(A118,'Données projet'!$A$61:$I$81,4,0)),0,VLOOKUP(A118,'Données projet'!$A$61:$I$81,4,0))</f>
        <v>37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1.1368683772161603E-13</v>
      </c>
      <c r="BE118" s="14">
        <f>BD118*VLOOKUP('Données projet'!$B$11,Paramètres!$A$1:$I$89,3,0)*VLOOKUP('Données projet'!$B$11,Paramètres!$A$1:$I$89,5,0)</f>
        <v>6.7984728957526396E-14</v>
      </c>
      <c r="BF118" s="14">
        <f t="shared" si="91"/>
        <v>1.0682447123141398E-12</v>
      </c>
      <c r="BG118" s="22">
        <f t="shared" si="61"/>
        <v>1.978932943548152E-12</v>
      </c>
      <c r="BH118" s="62">
        <f t="shared" si="62"/>
        <v>293.3333333333353</v>
      </c>
      <c r="BI118" s="62">
        <f ca="1">AVERAGE(OFFSET($BH$3,0,0,'Données projet'!$E$11+1,1))-AVERAGE(OFFSET($H$3,0,0,'Données projet'!$E$11+1,1))</f>
        <v>295.83974441964551</v>
      </c>
      <c r="BJ118" s="62">
        <f t="shared" si="92"/>
        <v>212.24900914818096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-5.6843418860808015E-14</v>
      </c>
      <c r="BZ118" s="14">
        <f>BY118*VLOOKUP('Données projet'!$B$12,Paramètres!$A$1:$I$89,3,0)*VLOOKUP('Données projet'!$B$12,Paramètres!$A$1:$I$89,5,0)</f>
        <v>-3.2514435588382188E-14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309.71642374647882</v>
      </c>
      <c r="CE118" s="62">
        <f t="shared" si="94"/>
        <v>266.63880397664315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0.23198187378572527</v>
      </c>
      <c r="CM118" s="23">
        <f>EXP(-LN(2)/2)*CM117+(1-EXP(-LN(2)/2))/(LN(2)/2)*CG118*CJ118*VLOOKUP('Données projet'!$B$12,Paramètres!$A$1:$I$89,3,0)*0.475*44/12</f>
        <v>1.279172855244804E-12</v>
      </c>
      <c r="CN118" s="24">
        <f t="shared" si="66"/>
        <v>0.23198187378700444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-1.7053025658242404E-13</v>
      </c>
      <c r="CU118" s="18">
        <f>CT118*VLOOKUP('Données projet'!$B$13,Paramètres!$A$1:$I$89,3,0)*VLOOKUP('Données projet'!$B$13,Paramètres!$A$1:$I$89,5,0)</f>
        <v>-1.3567387213697657E-13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312.53381881960331</v>
      </c>
      <c r="CZ118" s="62">
        <f t="shared" si="96"/>
        <v>342.06887933351783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>
        <f>VLOOKUP(A118,'Données projet'!$A$165:$I$185,2,0)</f>
        <v>304</v>
      </c>
      <c r="DM118" s="13">
        <f>VLOOKUP(A118,'Données projet'!$A$165:$I$185,9,0)</f>
        <v>4</v>
      </c>
      <c r="DN118" s="13">
        <f t="array" ref="DN118">INDEX(DM:DM,MIN(IF(ISNUMBER(DM118:DM314),ROW(DM118:DM314),"")))</f>
        <v>4</v>
      </c>
      <c r="DO118" s="13">
        <f>IF('Données projet'!$A$166&gt;35,DO117+DN118-DW117,IF(A118&lt;'Données projet'!$A$166,$DL$205^A118,IF(A118='Données projet'!$A$166,'Données projet'!$B$166,DO117+DN118-DW117)))</f>
        <v>303.99999999999955</v>
      </c>
      <c r="DP118" s="18">
        <f>DO118*VLOOKUP('Données projet'!$B$14,Paramètres!$A$1:$I$89,3,0)*VLOOKUP('Données projet'!$B$14,Paramètres!$A$1:$I$89,5,0)</f>
        <v>327.22559999999953</v>
      </c>
      <c r="DQ118" s="14">
        <f t="shared" si="97"/>
        <v>76.85482093384698</v>
      </c>
      <c r="DR118" s="22">
        <f t="shared" si="70"/>
        <v>703.77339979311603</v>
      </c>
      <c r="DS118" s="62">
        <f t="shared" si="71"/>
        <v>997.1067331264494</v>
      </c>
      <c r="DT118" s="62">
        <f ca="1">AVERAGE(OFFSET($DS$3,0,0,'Données projet'!$E$14+1,1))-AVERAGE(OFFSET($H$3,0,0,'Données projet'!$E$14+1,1))</f>
        <v>503.92230226365683</v>
      </c>
      <c r="DU118" s="62">
        <f t="shared" si="98"/>
        <v>267.2998309535638</v>
      </c>
      <c r="DV118" s="16">
        <f>IF(ISNA(VLOOKUP(A118,'Données projet'!$A$165:$I$185,3,0)),0,VLOOKUP(A118,'Données projet'!$A$165:$I$185,3,0))</f>
        <v>10</v>
      </c>
      <c r="DW118" s="16">
        <f>IF(ISNA(VLOOKUP(A118,'Données projet'!$A$165:$I$185,4,0)),0,VLOOKUP(A118,'Données projet'!$A$165:$I$185,4,0))</f>
        <v>37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>
        <f>VLOOKUP(A118,'Données projet'!$A$191:$I$211,2,0)</f>
        <v>304</v>
      </c>
      <c r="EH118" s="13">
        <f>VLOOKUP(A118,'Données projet'!$A$191:$I$211,9,0)</f>
        <v>4</v>
      </c>
      <c r="EI118" s="13">
        <f t="array" ref="EI118">INDEX(EH:EH,MIN(IF(ISNUMBER(EH118:EH314),ROW(EH118:EH314),"")))</f>
        <v>4</v>
      </c>
      <c r="EJ118" s="13">
        <f>IF('Données projet'!$A$192&gt;35,EJ117+EI118-ER117,IF(A118&lt;'Données projet'!$A$192,$EG$205^A118,IF(A118='Données projet'!$A$192,'Données projet'!$B$192,EJ117+EI118-ER117)))</f>
        <v>303.99999999999955</v>
      </c>
      <c r="EK118" s="18">
        <f>EJ118*VLOOKUP('Données projet'!$B$15,Paramètres!$A$1:$I$89,3,0)*VLOOKUP('Données projet'!$B$15,Paramètres!$A$1:$I$89,5,0)</f>
        <v>294.02879999999953</v>
      </c>
      <c r="EL118" s="14">
        <f t="shared" si="99"/>
        <v>69.923209651185601</v>
      </c>
      <c r="EM118" s="22">
        <f t="shared" si="73"/>
        <v>633.88308347581403</v>
      </c>
      <c r="EN118" s="62">
        <f t="shared" si="74"/>
        <v>927.2164168091474</v>
      </c>
      <c r="EO118" s="62">
        <f ca="1">AVERAGE(OFFSET($EN$3,0,0,'Données projet'!$E$15+1,1))-AVERAGE(OFFSET($H$3,0,0,'Données projet'!$E$15+1,1))</f>
        <v>457.16923206840744</v>
      </c>
      <c r="EP118" s="62">
        <f t="shared" si="100"/>
        <v>244.45149244446094</v>
      </c>
      <c r="EQ118" s="16">
        <f>IF(ISNA(VLOOKUP(A118,'Données projet'!$A$191:$I$211,3,0)),0,VLOOKUP(A118,'Données projet'!$A$191:$I$211,3,0))</f>
        <v>10</v>
      </c>
      <c r="ER118" s="16">
        <f>IF(ISNA(VLOOKUP(A118,'Données projet'!$A$191:$I$211,4,0)),0,VLOOKUP(A118,'Données projet'!$A$191:$I$211,4,0))</f>
        <v>37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3.979039320256561E-13</v>
      </c>
      <c r="FF118" s="18">
        <f>FE118*VLOOKUP('Données projet'!$B$16,Paramètres!$A$1:$I$89,3,0)*VLOOKUP('Données projet'!$B$16,Paramètres!$A$1:$I$89,5,0)</f>
        <v>2.669139576028101E-13</v>
      </c>
      <c r="FG118" s="14">
        <f t="shared" si="101"/>
        <v>3.5767923834585247E-12</v>
      </c>
      <c r="FH118" s="22">
        <f t="shared" si="76"/>
        <v>6.6944552106818241E-12</v>
      </c>
      <c r="FI118" s="62">
        <f t="shared" si="77"/>
        <v>293.33333333334002</v>
      </c>
      <c r="FJ118" s="62">
        <f ca="1">AVERAGE(OFFSET($FI$3,0,0,'Données projet'!$E$16+1,1))-AVERAGE(OFFSET($H$3,0,0,'Données projet'!$E$16+1,1))</f>
        <v>385.97853124853452</v>
      </c>
      <c r="FK118" s="62">
        <f t="shared" si="102"/>
        <v>300.99118099739695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132.280299502248</v>
      </c>
      <c r="T119" s="62">
        <f t="shared" si="88"/>
        <v>337.98099449405339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11.409294893191982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2.092731827994327E-13</v>
      </c>
      <c r="AC119" s="24">
        <f t="shared" si="57"/>
        <v>11.409294893192191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3.4</v>
      </c>
      <c r="AI119" s="14">
        <f>IF('Données projet'!$A$62&gt;35,AI118+AH119-AQ118,IF(A119&lt;'Données projet'!$A$62,$AF$205^A119,IF(A119='Données projet'!$A$62,'Données projet'!$B$62,AI118+AH119-AQ118)))</f>
        <v>270.39999999999952</v>
      </c>
      <c r="AJ119" s="14">
        <f>AI119*VLOOKUP('Données projet'!$B$10,Paramètres!$A$1:$I$89,3,0)*VLOOKUP('Données projet'!$B$10,Paramètres!$A$1:$I$89,5,0)</f>
        <v>244.65791999999956</v>
      </c>
      <c r="AK119" s="14">
        <f t="shared" si="89"/>
        <v>59.44058075210858</v>
      </c>
      <c r="AL119" s="22">
        <f t="shared" si="58"/>
        <v>529.63822214325501</v>
      </c>
      <c r="AM119" s="62">
        <f t="shared" si="59"/>
        <v>822.97155547658826</v>
      </c>
      <c r="AN119" s="62">
        <f ca="1">AVERAGE(OFFSET($AM$3,0,0,'Données projet'!$E$10+1,1))-AVERAGE(OFFSET($H$3,0,0,'Données projet'!$E$10+1,1))</f>
        <v>430.40491895612814</v>
      </c>
      <c r="AO119" s="62">
        <f t="shared" si="90"/>
        <v>231.36959598460686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1.1368683772161603E-13</v>
      </c>
      <c r="BE119" s="14">
        <f>BD119*VLOOKUP('Données projet'!$B$11,Paramètres!$A$1:$I$89,3,0)*VLOOKUP('Données projet'!$B$11,Paramètres!$A$1:$I$89,5,0)</f>
        <v>6.7984728957526396E-14</v>
      </c>
      <c r="BF119" s="14">
        <f t="shared" si="91"/>
        <v>1.0682447123141398E-12</v>
      </c>
      <c r="BG119" s="22">
        <f t="shared" si="61"/>
        <v>1.978932943548152E-12</v>
      </c>
      <c r="BH119" s="62">
        <f t="shared" si="62"/>
        <v>293.3333333333353</v>
      </c>
      <c r="BI119" s="62">
        <f ca="1">AVERAGE(OFFSET($BH$3,0,0,'Données projet'!$E$11+1,1))-AVERAGE(OFFSET($H$3,0,0,'Données projet'!$E$11+1,1))</f>
        <v>295.83974441964551</v>
      </c>
      <c r="BJ119" s="62">
        <f t="shared" si="92"/>
        <v>212.24900914818096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-5.6843418860808015E-14</v>
      </c>
      <c r="BZ119" s="14">
        <f>BY119*VLOOKUP('Données projet'!$B$12,Paramètres!$A$1:$I$89,3,0)*VLOOKUP('Données projet'!$B$12,Paramètres!$A$1:$I$89,5,0)</f>
        <v>-3.2514435588382188E-14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309.71642374647882</v>
      </c>
      <c r="CE119" s="62">
        <f t="shared" si="94"/>
        <v>266.63880397664315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0.22563831724765807</v>
      </c>
      <c r="CM119" s="23">
        <f>EXP(-LN(2)/2)*CM118+(1-EXP(-LN(2)/2))/(LN(2)/2)*CG119*CJ119*VLOOKUP('Données projet'!$B$12,Paramètres!$A$1:$I$89,3,0)*0.475*44/12</f>
        <v>9.0451180025335898E-13</v>
      </c>
      <c r="CN119" s="24">
        <f t="shared" si="66"/>
        <v>0.22563831724856256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-1.7053025658242404E-13</v>
      </c>
      <c r="CU119" s="18">
        <f>CT119*VLOOKUP('Données projet'!$B$13,Paramètres!$A$1:$I$89,3,0)*VLOOKUP('Données projet'!$B$13,Paramètres!$A$1:$I$89,5,0)</f>
        <v>-1.3567387213697657E-13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312.53381881960331</v>
      </c>
      <c r="CZ119" s="62">
        <f t="shared" si="96"/>
        <v>342.06887933351783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3.4</v>
      </c>
      <c r="DO119" s="13">
        <f>IF('Données projet'!$A$166&gt;35,DO118+DN119-DW118,IF(A119&lt;'Données projet'!$A$166,$DL$205^A119,IF(A119='Données projet'!$A$166,'Données projet'!$B$166,DO118+DN119-DW118)))</f>
        <v>270.39999999999952</v>
      </c>
      <c r="DP119" s="18">
        <f>DO119*VLOOKUP('Données projet'!$B$14,Paramètres!$A$1:$I$89,3,0)*VLOOKUP('Données projet'!$B$14,Paramètres!$A$1:$I$89,5,0)</f>
        <v>291.05855999999949</v>
      </c>
      <c r="DQ119" s="14">
        <f t="shared" si="97"/>
        <v>69.298706035645793</v>
      </c>
      <c r="DR119" s="22">
        <f t="shared" si="70"/>
        <v>627.62223834541555</v>
      </c>
      <c r="DS119" s="62">
        <f t="shared" si="71"/>
        <v>920.95557167874881</v>
      </c>
      <c r="DT119" s="62">
        <f ca="1">AVERAGE(OFFSET($DS$3,0,0,'Données projet'!$E$14+1,1))-AVERAGE(OFFSET($H$3,0,0,'Données projet'!$E$14+1,1))</f>
        <v>503.92230226365683</v>
      </c>
      <c r="DU119" s="62">
        <f t="shared" si="98"/>
        <v>267.2998309535638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3.4</v>
      </c>
      <c r="EJ119" s="13">
        <f>IF('Données projet'!$A$192&gt;35,EJ118+EI119-ER118,IF(A119&lt;'Données projet'!$A$192,$EG$205^A119,IF(A119='Données projet'!$A$192,'Données projet'!$B$192,EJ118+EI119-ER118)))</f>
        <v>270.39999999999952</v>
      </c>
      <c r="EK119" s="18">
        <f>EJ119*VLOOKUP('Données projet'!$B$15,Paramètres!$A$1:$I$89,3,0)*VLOOKUP('Données projet'!$B$15,Paramètres!$A$1:$I$89,5,0)</f>
        <v>261.53087999999957</v>
      </c>
      <c r="EL119" s="14">
        <f t="shared" si="99"/>
        <v>63.048588127701258</v>
      </c>
      <c r="EM119" s="22">
        <f t="shared" si="73"/>
        <v>565.30924032241217</v>
      </c>
      <c r="EN119" s="62">
        <f t="shared" si="74"/>
        <v>858.64257365574554</v>
      </c>
      <c r="EO119" s="62">
        <f ca="1">AVERAGE(OFFSET($EN$3,0,0,'Données projet'!$E$15+1,1))-AVERAGE(OFFSET($H$3,0,0,'Données projet'!$E$15+1,1))</f>
        <v>457.16923206840744</v>
      </c>
      <c r="EP119" s="62">
        <f t="shared" si="100"/>
        <v>244.45149244446094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3.979039320256561E-13</v>
      </c>
      <c r="FF119" s="18">
        <f>FE119*VLOOKUP('Données projet'!$B$16,Paramètres!$A$1:$I$89,3,0)*VLOOKUP('Données projet'!$B$16,Paramètres!$A$1:$I$89,5,0)</f>
        <v>2.669139576028101E-13</v>
      </c>
      <c r="FG119" s="14">
        <f t="shared" si="101"/>
        <v>3.5767923834585247E-12</v>
      </c>
      <c r="FH119" s="22">
        <f t="shared" si="76"/>
        <v>6.6944552106818241E-12</v>
      </c>
      <c r="FI119" s="62">
        <f t="shared" si="77"/>
        <v>293.33333333334002</v>
      </c>
      <c r="FJ119" s="62">
        <f ca="1">AVERAGE(OFFSET($FI$3,0,0,'Données projet'!$E$16+1,1))-AVERAGE(OFFSET($H$3,0,0,'Données projet'!$E$16+1,1))</f>
        <v>385.97853124853452</v>
      </c>
      <c r="FK119" s="62">
        <f t="shared" si="102"/>
        <v>300.99118099739695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132.280299502248</v>
      </c>
      <c r="T120" s="62">
        <f t="shared" si="88"/>
        <v>337.98099449405339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11.185565579319229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1.4797848667797082E-13</v>
      </c>
      <c r="AC120" s="24">
        <f t="shared" si="57"/>
        <v>11.185565579319377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3.4</v>
      </c>
      <c r="AI120" s="14">
        <f>IF('Données projet'!$A$62&gt;35,AI119+AH120-AQ119,IF(A120&lt;'Données projet'!$A$62,$AF$205^A120,IF(A120='Données projet'!$A$62,'Données projet'!$B$62,AI119+AH120-AQ119)))</f>
        <v>273.7999999999995</v>
      </c>
      <c r="AJ120" s="14">
        <f>AI120*VLOOKUP('Données projet'!$B$10,Paramètres!$A$1:$I$89,3,0)*VLOOKUP('Données projet'!$B$10,Paramètres!$A$1:$I$89,5,0)</f>
        <v>247.73423999999952</v>
      </c>
      <c r="AK120" s="14">
        <f t="shared" si="89"/>
        <v>60.100505665695003</v>
      </c>
      <c r="AL120" s="22">
        <f t="shared" si="58"/>
        <v>536.14551536775127</v>
      </c>
      <c r="AM120" s="62">
        <f t="shared" si="59"/>
        <v>829.47884870108464</v>
      </c>
      <c r="AN120" s="62">
        <f ca="1">AVERAGE(OFFSET($AM$3,0,0,'Données projet'!$E$10+1,1))-AVERAGE(OFFSET($H$3,0,0,'Données projet'!$E$10+1,1))</f>
        <v>430.40491895612814</v>
      </c>
      <c r="AO120" s="62">
        <f t="shared" si="90"/>
        <v>231.36959598460686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1.1368683772161603E-13</v>
      </c>
      <c r="BE120" s="14">
        <f>BD120*VLOOKUP('Données projet'!$B$11,Paramètres!$A$1:$I$89,3,0)*VLOOKUP('Données projet'!$B$11,Paramètres!$A$1:$I$89,5,0)</f>
        <v>6.7984728957526396E-14</v>
      </c>
      <c r="BF120" s="14">
        <f t="shared" si="91"/>
        <v>1.0682447123141398E-12</v>
      </c>
      <c r="BG120" s="22">
        <f t="shared" si="61"/>
        <v>1.978932943548152E-12</v>
      </c>
      <c r="BH120" s="62">
        <f t="shared" si="62"/>
        <v>293.3333333333353</v>
      </c>
      <c r="BI120" s="62">
        <f ca="1">AVERAGE(OFFSET($BH$3,0,0,'Données projet'!$E$11+1,1))-AVERAGE(OFFSET($H$3,0,0,'Données projet'!$E$11+1,1))</f>
        <v>295.83974441964551</v>
      </c>
      <c r="BJ120" s="62">
        <f t="shared" si="92"/>
        <v>212.24900914818096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-5.6843418860808015E-14</v>
      </c>
      <c r="BZ120" s="14">
        <f>BY120*VLOOKUP('Données projet'!$B$12,Paramètres!$A$1:$I$89,3,0)*VLOOKUP('Données projet'!$B$12,Paramètres!$A$1:$I$89,5,0)</f>
        <v>-3.2514435588382188E-14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309.71642374647882</v>
      </c>
      <c r="CE120" s="62">
        <f t="shared" si="94"/>
        <v>266.63880397664315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0.21946822559671744</v>
      </c>
      <c r="CM120" s="23">
        <f>EXP(-LN(2)/2)*CM119+(1-EXP(-LN(2)/2))/(LN(2)/2)*CG120*CJ120*VLOOKUP('Données projet'!$B$12,Paramètres!$A$1:$I$89,3,0)*0.475*44/12</f>
        <v>6.3958642762240211E-13</v>
      </c>
      <c r="CN120" s="24">
        <f t="shared" si="66"/>
        <v>0.21946822559735704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-1.7053025658242404E-13</v>
      </c>
      <c r="CU120" s="18">
        <f>CT120*VLOOKUP('Données projet'!$B$13,Paramètres!$A$1:$I$89,3,0)*VLOOKUP('Données projet'!$B$13,Paramètres!$A$1:$I$89,5,0)</f>
        <v>-1.3567387213697657E-13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312.53381881960331</v>
      </c>
      <c r="CZ120" s="62">
        <f t="shared" si="96"/>
        <v>342.06887933351783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3.4</v>
      </c>
      <c r="DO120" s="13">
        <f>IF('Données projet'!$A$166&gt;35,DO119+DN120-DW119,IF(A120&lt;'Données projet'!$A$166,$DL$205^A120,IF(A120='Données projet'!$A$166,'Données projet'!$B$166,DO119+DN120-DW119)))</f>
        <v>273.7999999999995</v>
      </c>
      <c r="DP120" s="18">
        <f>DO120*VLOOKUP('Données projet'!$B$14,Paramètres!$A$1:$I$89,3,0)*VLOOKUP('Données projet'!$B$14,Paramètres!$A$1:$I$89,5,0)</f>
        <v>294.71831999999944</v>
      </c>
      <c r="DQ120" s="14">
        <f t="shared" si="97"/>
        <v>70.068078441055988</v>
      </c>
      <c r="DR120" s="22">
        <f t="shared" si="70"/>
        <v>635.33631061817152</v>
      </c>
      <c r="DS120" s="62">
        <f t="shared" si="71"/>
        <v>928.6696439515049</v>
      </c>
      <c r="DT120" s="62">
        <f ca="1">AVERAGE(OFFSET($DS$3,0,0,'Données projet'!$E$14+1,1))-AVERAGE(OFFSET($H$3,0,0,'Données projet'!$E$14+1,1))</f>
        <v>503.92230226365683</v>
      </c>
      <c r="DU120" s="62">
        <f t="shared" si="98"/>
        <v>267.2998309535638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3.4</v>
      </c>
      <c r="EJ120" s="13">
        <f>IF('Données projet'!$A$192&gt;35,EJ119+EI120-ER119,IF(A120&lt;'Données projet'!$A$192,$EG$205^A120,IF(A120='Données projet'!$A$192,'Données projet'!$B$192,EJ119+EI120-ER119)))</f>
        <v>273.7999999999995</v>
      </c>
      <c r="EK120" s="18">
        <f>EJ120*VLOOKUP('Données projet'!$B$15,Paramètres!$A$1:$I$89,3,0)*VLOOKUP('Données projet'!$B$15,Paramètres!$A$1:$I$89,5,0)</f>
        <v>264.81935999999951</v>
      </c>
      <c r="EL120" s="14">
        <f t="shared" si="99"/>
        <v>63.748570085236949</v>
      </c>
      <c r="EM120" s="22">
        <f t="shared" si="73"/>
        <v>572.2558115651201</v>
      </c>
      <c r="EN120" s="62">
        <f t="shared" si="74"/>
        <v>865.58914489845347</v>
      </c>
      <c r="EO120" s="62">
        <f ca="1">AVERAGE(OFFSET($EN$3,0,0,'Données projet'!$E$15+1,1))-AVERAGE(OFFSET($H$3,0,0,'Données projet'!$E$15+1,1))</f>
        <v>457.16923206840744</v>
      </c>
      <c r="EP120" s="62">
        <f t="shared" si="100"/>
        <v>244.45149244446094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3.979039320256561E-13</v>
      </c>
      <c r="FF120" s="18">
        <f>FE120*VLOOKUP('Données projet'!$B$16,Paramètres!$A$1:$I$89,3,0)*VLOOKUP('Données projet'!$B$16,Paramètres!$A$1:$I$89,5,0)</f>
        <v>2.669139576028101E-13</v>
      </c>
      <c r="FG120" s="14">
        <f t="shared" si="101"/>
        <v>3.5767923834585247E-12</v>
      </c>
      <c r="FH120" s="22">
        <f t="shared" si="76"/>
        <v>6.6944552106818241E-12</v>
      </c>
      <c r="FI120" s="62">
        <f t="shared" si="77"/>
        <v>293.33333333334002</v>
      </c>
      <c r="FJ120" s="62">
        <f ca="1">AVERAGE(OFFSET($FI$3,0,0,'Données projet'!$E$16+1,1))-AVERAGE(OFFSET($H$3,0,0,'Données projet'!$E$16+1,1))</f>
        <v>385.97853124853452</v>
      </c>
      <c r="FK120" s="62">
        <f t="shared" si="102"/>
        <v>300.99118099739695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132.280299502248</v>
      </c>
      <c r="T121" s="62">
        <f t="shared" si="88"/>
        <v>337.98099449405339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10.966223460830115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1.0463659139971635E-13</v>
      </c>
      <c r="AC121" s="24">
        <f t="shared" si="57"/>
        <v>10.96622346083022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3.4</v>
      </c>
      <c r="AI121" s="14">
        <f>IF('Données projet'!$A$62&gt;35,AI120+AH121-AQ120,IF(A121&lt;'Données projet'!$A$62,$AF$205^A121,IF(A121='Données projet'!$A$62,'Données projet'!$B$62,AI120+AH121-AQ120)))</f>
        <v>277.19999999999948</v>
      </c>
      <c r="AJ121" s="14">
        <f>AI121*VLOOKUP('Données projet'!$B$10,Paramètres!$A$1:$I$89,3,0)*VLOOKUP('Données projet'!$B$10,Paramètres!$A$1:$I$89,5,0)</f>
        <v>250.81055999999953</v>
      </c>
      <c r="AK121" s="14">
        <f t="shared" si="89"/>
        <v>60.759477364108577</v>
      </c>
      <c r="AL121" s="22">
        <f t="shared" si="58"/>
        <v>542.65114840915487</v>
      </c>
      <c r="AM121" s="62">
        <f t="shared" si="59"/>
        <v>835.98448174248824</v>
      </c>
      <c r="AN121" s="62">
        <f ca="1">AVERAGE(OFFSET($AM$3,0,0,'Données projet'!$E$10+1,1))-AVERAGE(OFFSET($H$3,0,0,'Données projet'!$E$10+1,1))</f>
        <v>430.40491895612814</v>
      </c>
      <c r="AO121" s="62">
        <f t="shared" si="90"/>
        <v>231.36959598460686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1.1368683772161603E-13</v>
      </c>
      <c r="BE121" s="14">
        <f>BD121*VLOOKUP('Données projet'!$B$11,Paramètres!$A$1:$I$89,3,0)*VLOOKUP('Données projet'!$B$11,Paramètres!$A$1:$I$89,5,0)</f>
        <v>6.7984728957526396E-14</v>
      </c>
      <c r="BF121" s="14">
        <f t="shared" si="91"/>
        <v>1.0682447123141398E-12</v>
      </c>
      <c r="BG121" s="22">
        <f t="shared" si="61"/>
        <v>1.978932943548152E-12</v>
      </c>
      <c r="BH121" s="62">
        <f t="shared" si="62"/>
        <v>293.3333333333353</v>
      </c>
      <c r="BI121" s="62">
        <f ca="1">AVERAGE(OFFSET($BH$3,0,0,'Données projet'!$E$11+1,1))-AVERAGE(OFFSET($H$3,0,0,'Données projet'!$E$11+1,1))</f>
        <v>295.83974441964551</v>
      </c>
      <c r="BJ121" s="62">
        <f t="shared" si="92"/>
        <v>212.24900914818096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-5.6843418860808015E-14</v>
      </c>
      <c r="BZ121" s="14">
        <f>BY121*VLOOKUP('Données projet'!$B$12,Paramètres!$A$1:$I$89,3,0)*VLOOKUP('Données projet'!$B$12,Paramètres!$A$1:$I$89,5,0)</f>
        <v>-3.2514435588382188E-14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309.71642374647882</v>
      </c>
      <c r="CE121" s="62">
        <f t="shared" si="94"/>
        <v>266.63880397664315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0.21346685542644281</v>
      </c>
      <c r="CM121" s="23">
        <f>EXP(-LN(2)/2)*CM120+(1-EXP(-LN(2)/2))/(LN(2)/2)*CG121*CJ121*VLOOKUP('Données projet'!$B$12,Paramètres!$A$1:$I$89,3,0)*0.475*44/12</f>
        <v>4.5225590012667954E-13</v>
      </c>
      <c r="CN121" s="24">
        <f t="shared" si="66"/>
        <v>0.21346685542689506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-1.7053025658242404E-13</v>
      </c>
      <c r="CU121" s="18">
        <f>CT121*VLOOKUP('Données projet'!$B$13,Paramètres!$A$1:$I$89,3,0)*VLOOKUP('Données projet'!$B$13,Paramètres!$A$1:$I$89,5,0)</f>
        <v>-1.3567387213697657E-13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312.53381881960331</v>
      </c>
      <c r="CZ121" s="62">
        <f t="shared" si="96"/>
        <v>342.06887933351783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3.4</v>
      </c>
      <c r="DO121" s="13">
        <f>IF('Données projet'!$A$166&gt;35,DO120+DN121-DW120,IF(A121&lt;'Données projet'!$A$166,$DL$205^A121,IF(A121='Données projet'!$A$166,'Données projet'!$B$166,DO120+DN121-DW120)))</f>
        <v>277.19999999999948</v>
      </c>
      <c r="DP121" s="18">
        <f>DO121*VLOOKUP('Données projet'!$B$14,Paramètres!$A$1:$I$89,3,0)*VLOOKUP('Données projet'!$B$14,Paramètres!$A$1:$I$89,5,0)</f>
        <v>298.37807999999944</v>
      </c>
      <c r="DQ121" s="14">
        <f t="shared" si="97"/>
        <v>70.83633954208085</v>
      </c>
      <c r="DR121" s="22">
        <f t="shared" si="70"/>
        <v>643.04844736912321</v>
      </c>
      <c r="DS121" s="62">
        <f t="shared" si="71"/>
        <v>936.38178070245658</v>
      </c>
      <c r="DT121" s="62">
        <f ca="1">AVERAGE(OFFSET($DS$3,0,0,'Données projet'!$E$14+1,1))-AVERAGE(OFFSET($H$3,0,0,'Données projet'!$E$14+1,1))</f>
        <v>503.92230226365683</v>
      </c>
      <c r="DU121" s="62">
        <f t="shared" si="98"/>
        <v>267.2998309535638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3.4</v>
      </c>
      <c r="EJ121" s="13">
        <f>IF('Données projet'!$A$192&gt;35,EJ120+EI121-ER120,IF(A121&lt;'Données projet'!$A$192,$EG$205^A121,IF(A121='Données projet'!$A$192,'Données projet'!$B$192,EJ120+EI121-ER120)))</f>
        <v>277.19999999999948</v>
      </c>
      <c r="EK121" s="18">
        <f>EJ121*VLOOKUP('Données projet'!$B$15,Paramètres!$A$1:$I$89,3,0)*VLOOKUP('Données projet'!$B$15,Paramètres!$A$1:$I$89,5,0)</f>
        <v>268.1078399999995</v>
      </c>
      <c r="EL121" s="14">
        <f t="shared" si="99"/>
        <v>64.447540968014124</v>
      </c>
      <c r="EM121" s="22">
        <f t="shared" si="73"/>
        <v>579.20062185262373</v>
      </c>
      <c r="EN121" s="62">
        <f t="shared" si="74"/>
        <v>872.53395518595698</v>
      </c>
      <c r="EO121" s="62">
        <f ca="1">AVERAGE(OFFSET($EN$3,0,0,'Données projet'!$E$15+1,1))-AVERAGE(OFFSET($H$3,0,0,'Données projet'!$E$15+1,1))</f>
        <v>457.16923206840744</v>
      </c>
      <c r="EP121" s="62">
        <f t="shared" si="100"/>
        <v>244.45149244446094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3.979039320256561E-13</v>
      </c>
      <c r="FF121" s="18">
        <f>FE121*VLOOKUP('Données projet'!$B$16,Paramètres!$A$1:$I$89,3,0)*VLOOKUP('Données projet'!$B$16,Paramètres!$A$1:$I$89,5,0)</f>
        <v>2.669139576028101E-13</v>
      </c>
      <c r="FG121" s="14">
        <f t="shared" si="101"/>
        <v>3.5767923834585247E-12</v>
      </c>
      <c r="FH121" s="22">
        <f t="shared" si="76"/>
        <v>6.6944552106818241E-12</v>
      </c>
      <c r="FI121" s="62">
        <f t="shared" si="77"/>
        <v>293.33333333334002</v>
      </c>
      <c r="FJ121" s="62">
        <f ca="1">AVERAGE(OFFSET($FI$3,0,0,'Données projet'!$E$16+1,1))-AVERAGE(OFFSET($H$3,0,0,'Données projet'!$E$16+1,1))</f>
        <v>385.97853124853452</v>
      </c>
      <c r="FK121" s="62">
        <f t="shared" si="102"/>
        <v>300.99118099739695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132.280299502248</v>
      </c>
      <c r="T122" s="62">
        <f t="shared" si="88"/>
        <v>337.98099449405339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10.75118250749909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7.3989243338985408E-14</v>
      </c>
      <c r="AC122" s="24">
        <f t="shared" si="57"/>
        <v>10.751182507499164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3.4</v>
      </c>
      <c r="AI122" s="14">
        <f>IF('Données projet'!$A$62&gt;35,AI121+AH122-AQ121,IF(A122&lt;'Données projet'!$A$62,$AF$205^A122,IF(A122='Données projet'!$A$62,'Données projet'!$B$62,AI121+AH122-AQ121)))</f>
        <v>280.59999999999945</v>
      </c>
      <c r="AJ122" s="14">
        <f>AI122*VLOOKUP('Données projet'!$B$10,Paramètres!$A$1:$I$89,3,0)*VLOOKUP('Données projet'!$B$10,Paramètres!$A$1:$I$89,5,0)</f>
        <v>253.88687999999951</v>
      </c>
      <c r="AK122" s="14">
        <f t="shared" si="89"/>
        <v>61.41750889127686</v>
      </c>
      <c r="AL122" s="22">
        <f t="shared" si="58"/>
        <v>549.1551439856396</v>
      </c>
      <c r="AM122" s="62">
        <f t="shared" si="59"/>
        <v>842.48847731897285</v>
      </c>
      <c r="AN122" s="62">
        <f ca="1">AVERAGE(OFFSET($AM$3,0,0,'Données projet'!$E$10+1,1))-AVERAGE(OFFSET($H$3,0,0,'Données projet'!$E$10+1,1))</f>
        <v>430.40491895612814</v>
      </c>
      <c r="AO122" s="62">
        <f t="shared" si="90"/>
        <v>231.36959598460686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1.1368683772161603E-13</v>
      </c>
      <c r="BE122" s="14">
        <f>BD122*VLOOKUP('Données projet'!$B$11,Paramètres!$A$1:$I$89,3,0)*VLOOKUP('Données projet'!$B$11,Paramètres!$A$1:$I$89,5,0)</f>
        <v>6.7984728957526396E-14</v>
      </c>
      <c r="BF122" s="14">
        <f t="shared" si="91"/>
        <v>1.0682447123141398E-12</v>
      </c>
      <c r="BG122" s="22">
        <f t="shared" si="61"/>
        <v>1.978932943548152E-12</v>
      </c>
      <c r="BH122" s="62">
        <f t="shared" si="62"/>
        <v>293.3333333333353</v>
      </c>
      <c r="BI122" s="62">
        <f ca="1">AVERAGE(OFFSET($BH$3,0,0,'Données projet'!$E$11+1,1))-AVERAGE(OFFSET($H$3,0,0,'Données projet'!$E$11+1,1))</f>
        <v>295.83974441964551</v>
      </c>
      <c r="BJ122" s="62">
        <f t="shared" si="92"/>
        <v>212.24900914818096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-5.6843418860808015E-14</v>
      </c>
      <c r="BZ122" s="14">
        <f>BY122*VLOOKUP('Données projet'!$B$12,Paramètres!$A$1:$I$89,3,0)*VLOOKUP('Données projet'!$B$12,Paramètres!$A$1:$I$89,5,0)</f>
        <v>-3.2514435588382188E-14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309.71642374647882</v>
      </c>
      <c r="CE122" s="62">
        <f t="shared" si="94"/>
        <v>266.63880397664315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0.20762959303907269</v>
      </c>
      <c r="CM122" s="23">
        <f>EXP(-LN(2)/2)*CM121+(1-EXP(-LN(2)/2))/(LN(2)/2)*CG122*CJ122*VLOOKUP('Données projet'!$B$12,Paramètres!$A$1:$I$89,3,0)*0.475*44/12</f>
        <v>3.1979321381120111E-13</v>
      </c>
      <c r="CN122" s="24">
        <f t="shared" si="66"/>
        <v>0.20762959303939249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-1.7053025658242404E-13</v>
      </c>
      <c r="CU122" s="18">
        <f>CT122*VLOOKUP('Données projet'!$B$13,Paramètres!$A$1:$I$89,3,0)*VLOOKUP('Données projet'!$B$13,Paramètres!$A$1:$I$89,5,0)</f>
        <v>-1.3567387213697657E-13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312.53381881960331</v>
      </c>
      <c r="CZ122" s="62">
        <f t="shared" si="96"/>
        <v>342.06887933351783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3.4</v>
      </c>
      <c r="DO122" s="13">
        <f>IF('Données projet'!$A$166&gt;35,DO121+DN122-DW121,IF(A122&lt;'Données projet'!$A$166,$DL$205^A122,IF(A122='Données projet'!$A$166,'Données projet'!$B$166,DO121+DN122-DW121)))</f>
        <v>280.59999999999945</v>
      </c>
      <c r="DP122" s="18">
        <f>DO122*VLOOKUP('Données projet'!$B$14,Paramètres!$A$1:$I$89,3,0)*VLOOKUP('Données projet'!$B$14,Paramètres!$A$1:$I$89,5,0)</f>
        <v>302.03783999999939</v>
      </c>
      <c r="DQ122" s="14">
        <f t="shared" si="97"/>
        <v>71.603504545962494</v>
      </c>
      <c r="DR122" s="22">
        <f t="shared" si="70"/>
        <v>650.75867508421697</v>
      </c>
      <c r="DS122" s="62">
        <f t="shared" si="71"/>
        <v>944.09200841755023</v>
      </c>
      <c r="DT122" s="62">
        <f ca="1">AVERAGE(OFFSET($DS$3,0,0,'Données projet'!$E$14+1,1))-AVERAGE(OFFSET($H$3,0,0,'Données projet'!$E$14+1,1))</f>
        <v>503.92230226365683</v>
      </c>
      <c r="DU122" s="62">
        <f t="shared" si="98"/>
        <v>267.2998309535638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3.4</v>
      </c>
      <c r="EJ122" s="13">
        <f>IF('Données projet'!$A$192&gt;35,EJ121+EI122-ER121,IF(A122&lt;'Données projet'!$A$192,$EG$205^A122,IF(A122='Données projet'!$A$192,'Données projet'!$B$192,EJ121+EI122-ER121)))</f>
        <v>280.59999999999945</v>
      </c>
      <c r="EK122" s="18">
        <f>EJ122*VLOOKUP('Données projet'!$B$15,Paramètres!$A$1:$I$89,3,0)*VLOOKUP('Données projet'!$B$15,Paramètres!$A$1:$I$89,5,0)</f>
        <v>271.39631999999949</v>
      </c>
      <c r="EL122" s="14">
        <f t="shared" si="99"/>
        <v>65.145514611718866</v>
      </c>
      <c r="EM122" s="22">
        <f t="shared" si="73"/>
        <v>586.14369528207601</v>
      </c>
      <c r="EN122" s="62">
        <f t="shared" si="74"/>
        <v>879.47702861540938</v>
      </c>
      <c r="EO122" s="62">
        <f ca="1">AVERAGE(OFFSET($EN$3,0,0,'Données projet'!$E$15+1,1))-AVERAGE(OFFSET($H$3,0,0,'Données projet'!$E$15+1,1))</f>
        <v>457.16923206840744</v>
      </c>
      <c r="EP122" s="62">
        <f t="shared" si="100"/>
        <v>244.45149244446094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3.979039320256561E-13</v>
      </c>
      <c r="FF122" s="18">
        <f>FE122*VLOOKUP('Données projet'!$B$16,Paramètres!$A$1:$I$89,3,0)*VLOOKUP('Données projet'!$B$16,Paramètres!$A$1:$I$89,5,0)</f>
        <v>2.669139576028101E-13</v>
      </c>
      <c r="FG122" s="14">
        <f t="shared" si="101"/>
        <v>3.5767923834585247E-12</v>
      </c>
      <c r="FH122" s="22">
        <f t="shared" si="76"/>
        <v>6.6944552106818241E-12</v>
      </c>
      <c r="FI122" s="62">
        <f t="shared" si="77"/>
        <v>293.33333333334002</v>
      </c>
      <c r="FJ122" s="62">
        <f ca="1">AVERAGE(OFFSET($FI$3,0,0,'Données projet'!$E$16+1,1))-AVERAGE(OFFSET($H$3,0,0,'Données projet'!$E$16+1,1))</f>
        <v>385.97853124853452</v>
      </c>
      <c r="FK122" s="62">
        <f t="shared" si="102"/>
        <v>300.99118099739695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132.280299502248</v>
      </c>
      <c r="T123" s="62">
        <f t="shared" si="88"/>
        <v>337.98099449405339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10.540358376100855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5.2318295699858174E-14</v>
      </c>
      <c r="AC123" s="24">
        <f t="shared" si="57"/>
        <v>10.540358376100906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3.4</v>
      </c>
      <c r="AI123" s="14">
        <f>IF('Données projet'!$A$62&gt;35,AI122+AH123-AQ122,IF(A123&lt;'Données projet'!$A$62,$AF$205^A123,IF(A123='Données projet'!$A$62,'Données projet'!$B$62,AI122+AH123-AQ122)))</f>
        <v>283.99999999999943</v>
      </c>
      <c r="AJ123" s="14">
        <f>AI123*VLOOKUP('Données projet'!$B$10,Paramètres!$A$1:$I$89,3,0)*VLOOKUP('Données projet'!$B$10,Paramètres!$A$1:$I$89,5,0)</f>
        <v>256.96319999999946</v>
      </c>
      <c r="AK123" s="14">
        <f t="shared" si="89"/>
        <v>62.07461295683791</v>
      </c>
      <c r="AL123" s="22">
        <f t="shared" si="58"/>
        <v>555.65752423315837</v>
      </c>
      <c r="AM123" s="62">
        <f t="shared" si="59"/>
        <v>848.99085756649174</v>
      </c>
      <c r="AN123" s="62">
        <f ca="1">AVERAGE(OFFSET($AM$3,0,0,'Données projet'!$E$10+1,1))-AVERAGE(OFFSET($H$3,0,0,'Données projet'!$E$10+1,1))</f>
        <v>430.40491895612814</v>
      </c>
      <c r="AO123" s="62">
        <f t="shared" si="90"/>
        <v>231.36959598460686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1.1368683772161603E-13</v>
      </c>
      <c r="BE123" s="14">
        <f>BD123*VLOOKUP('Données projet'!$B$11,Paramètres!$A$1:$I$89,3,0)*VLOOKUP('Données projet'!$B$11,Paramètres!$A$1:$I$89,5,0)</f>
        <v>6.7984728957526396E-14</v>
      </c>
      <c r="BF123" s="14">
        <f t="shared" si="91"/>
        <v>1.0682447123141398E-12</v>
      </c>
      <c r="BG123" s="22">
        <f t="shared" si="61"/>
        <v>1.978932943548152E-12</v>
      </c>
      <c r="BH123" s="62">
        <f t="shared" si="62"/>
        <v>293.3333333333353</v>
      </c>
      <c r="BI123" s="62">
        <f ca="1">AVERAGE(OFFSET($BH$3,0,0,'Données projet'!$E$11+1,1))-AVERAGE(OFFSET($H$3,0,0,'Données projet'!$E$11+1,1))</f>
        <v>295.83974441964551</v>
      </c>
      <c r="BJ123" s="62">
        <f t="shared" si="92"/>
        <v>212.24900914818096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-5.6843418860808015E-14</v>
      </c>
      <c r="BZ123" s="14">
        <f>BY123*VLOOKUP('Données projet'!$B$12,Paramètres!$A$1:$I$89,3,0)*VLOOKUP('Données projet'!$B$12,Paramètres!$A$1:$I$89,5,0)</f>
        <v>-3.2514435588382188E-14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309.71642374647882</v>
      </c>
      <c r="CE123" s="62">
        <f t="shared" si="94"/>
        <v>266.63880397664315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0.2019519508986535</v>
      </c>
      <c r="CM123" s="23">
        <f>EXP(-LN(2)/2)*CM122+(1-EXP(-LN(2)/2))/(LN(2)/2)*CG123*CJ123*VLOOKUP('Données projet'!$B$12,Paramètres!$A$1:$I$89,3,0)*0.475*44/12</f>
        <v>2.261279500633398E-13</v>
      </c>
      <c r="CN123" s="24">
        <f t="shared" si="66"/>
        <v>0.20195195089887963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-1.7053025658242404E-13</v>
      </c>
      <c r="CU123" s="18">
        <f>CT123*VLOOKUP('Données projet'!$B$13,Paramètres!$A$1:$I$89,3,0)*VLOOKUP('Données projet'!$B$13,Paramètres!$A$1:$I$89,5,0)</f>
        <v>-1.3567387213697657E-13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312.53381881960331</v>
      </c>
      <c r="CZ123" s="62">
        <f t="shared" si="96"/>
        <v>342.06887933351783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3.4</v>
      </c>
      <c r="DO123" s="13">
        <f>IF('Données projet'!$A$166&gt;35,DO122+DN123-DW122,IF(A123&lt;'Données projet'!$A$166,$DL$205^A123,IF(A123='Données projet'!$A$166,'Données projet'!$B$166,DO122+DN123-DW122)))</f>
        <v>283.99999999999943</v>
      </c>
      <c r="DP123" s="18">
        <f>DO123*VLOOKUP('Données projet'!$B$14,Paramètres!$A$1:$I$89,3,0)*VLOOKUP('Données projet'!$B$14,Paramètres!$A$1:$I$89,5,0)</f>
        <v>305.69759999999934</v>
      </c>
      <c r="DQ123" s="14">
        <f t="shared" si="97"/>
        <v>72.369588270212233</v>
      </c>
      <c r="DR123" s="22">
        <f t="shared" si="70"/>
        <v>658.46701957061839</v>
      </c>
      <c r="DS123" s="62">
        <f t="shared" si="71"/>
        <v>951.80035290395176</v>
      </c>
      <c r="DT123" s="62">
        <f ca="1">AVERAGE(OFFSET($DS$3,0,0,'Données projet'!$E$14+1,1))-AVERAGE(OFFSET($H$3,0,0,'Données projet'!$E$14+1,1))</f>
        <v>503.92230226365683</v>
      </c>
      <c r="DU123" s="62">
        <f t="shared" si="98"/>
        <v>267.2998309535638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3.4</v>
      </c>
      <c r="EJ123" s="13">
        <f>IF('Données projet'!$A$192&gt;35,EJ122+EI123-ER122,IF(A123&lt;'Données projet'!$A$192,$EG$205^A123,IF(A123='Données projet'!$A$192,'Données projet'!$B$192,EJ122+EI123-ER122)))</f>
        <v>283.99999999999943</v>
      </c>
      <c r="EK123" s="18">
        <f>EJ123*VLOOKUP('Données projet'!$B$15,Paramètres!$A$1:$I$89,3,0)*VLOOKUP('Données projet'!$B$15,Paramètres!$A$1:$I$89,5,0)</f>
        <v>274.68479999999943</v>
      </c>
      <c r="EL123" s="14">
        <f t="shared" si="99"/>
        <v>65.842504497456545</v>
      </c>
      <c r="EM123" s="22">
        <f t="shared" si="73"/>
        <v>593.08505533306914</v>
      </c>
      <c r="EN123" s="62">
        <f t="shared" si="74"/>
        <v>886.41838866640251</v>
      </c>
      <c r="EO123" s="62">
        <f ca="1">AVERAGE(OFFSET($EN$3,0,0,'Données projet'!$E$15+1,1))-AVERAGE(OFFSET($H$3,0,0,'Données projet'!$E$15+1,1))</f>
        <v>457.16923206840744</v>
      </c>
      <c r="EP123" s="62">
        <f t="shared" si="100"/>
        <v>244.45149244446094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3.979039320256561E-13</v>
      </c>
      <c r="FF123" s="18">
        <f>FE123*VLOOKUP('Données projet'!$B$16,Paramètres!$A$1:$I$89,3,0)*VLOOKUP('Données projet'!$B$16,Paramètres!$A$1:$I$89,5,0)</f>
        <v>2.669139576028101E-13</v>
      </c>
      <c r="FG123" s="14">
        <f t="shared" si="101"/>
        <v>3.5767923834585247E-12</v>
      </c>
      <c r="FH123" s="22">
        <f t="shared" si="76"/>
        <v>6.6944552106818241E-12</v>
      </c>
      <c r="FI123" s="62">
        <f t="shared" si="77"/>
        <v>293.33333333334002</v>
      </c>
      <c r="FJ123" s="62">
        <f ca="1">AVERAGE(OFFSET($FI$3,0,0,'Données projet'!$E$16+1,1))-AVERAGE(OFFSET($H$3,0,0,'Données projet'!$E$16+1,1))</f>
        <v>385.97853124853452</v>
      </c>
      <c r="FK123" s="62">
        <f t="shared" si="102"/>
        <v>300.99118099739695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132.280299502248</v>
      </c>
      <c r="T124" s="62">
        <f t="shared" si="88"/>
        <v>337.98099449405339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10.333668377329317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3.6994621669492704E-14</v>
      </c>
      <c r="AC124" s="24">
        <f t="shared" si="57"/>
        <v>10.333668377329355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3.4</v>
      </c>
      <c r="AI124" s="14">
        <f>IF('Données projet'!$A$62&gt;35,AI123+AH124-AQ123,IF(A124&lt;'Données projet'!$A$62,$AF$205^A124,IF(A124='Données projet'!$A$62,'Données projet'!$B$62,AI123+AH124-AQ123)))</f>
        <v>287.39999999999941</v>
      </c>
      <c r="AJ124" s="14">
        <f>AI124*VLOOKUP('Données projet'!$B$10,Paramètres!$A$1:$I$89,3,0)*VLOOKUP('Données projet'!$B$10,Paramètres!$A$1:$I$89,5,0)</f>
        <v>260.03951999999947</v>
      </c>
      <c r="AK124" s="14">
        <f t="shared" si="89"/>
        <v>62.730801948604764</v>
      </c>
      <c r="AL124" s="22">
        <f t="shared" si="58"/>
        <v>562.1583107271523</v>
      </c>
      <c r="AM124" s="62">
        <f t="shared" si="59"/>
        <v>855.49164406048567</v>
      </c>
      <c r="AN124" s="62">
        <f ca="1">AVERAGE(OFFSET($AM$3,0,0,'Données projet'!$E$10+1,1))-AVERAGE(OFFSET($H$3,0,0,'Données projet'!$E$10+1,1))</f>
        <v>430.40491895612814</v>
      </c>
      <c r="AO124" s="62">
        <f t="shared" si="90"/>
        <v>231.36959598460686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1.1368683772161603E-13</v>
      </c>
      <c r="BE124" s="14">
        <f>BD124*VLOOKUP('Données projet'!$B$11,Paramètres!$A$1:$I$89,3,0)*VLOOKUP('Données projet'!$B$11,Paramètres!$A$1:$I$89,5,0)</f>
        <v>6.7984728957526396E-14</v>
      </c>
      <c r="BF124" s="14">
        <f t="shared" si="91"/>
        <v>1.0682447123141398E-12</v>
      </c>
      <c r="BG124" s="22">
        <f t="shared" si="61"/>
        <v>1.978932943548152E-12</v>
      </c>
      <c r="BH124" s="62">
        <f t="shared" si="62"/>
        <v>293.3333333333353</v>
      </c>
      <c r="BI124" s="62">
        <f ca="1">AVERAGE(OFFSET($BH$3,0,0,'Données projet'!$E$11+1,1))-AVERAGE(OFFSET($H$3,0,0,'Données projet'!$E$11+1,1))</f>
        <v>295.83974441964551</v>
      </c>
      <c r="BJ124" s="62">
        <f t="shared" si="92"/>
        <v>212.24900914818096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-5.6843418860808015E-14</v>
      </c>
      <c r="BZ124" s="14">
        <f>BY124*VLOOKUP('Données projet'!$B$12,Paramètres!$A$1:$I$89,3,0)*VLOOKUP('Données projet'!$B$12,Paramètres!$A$1:$I$89,5,0)</f>
        <v>-3.2514435588382188E-14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309.71642374647882</v>
      </c>
      <c r="CE124" s="62">
        <f t="shared" si="94"/>
        <v>266.63880397664315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0.1964295641811383</v>
      </c>
      <c r="CM124" s="23">
        <f>EXP(-LN(2)/2)*CM123+(1-EXP(-LN(2)/2))/(LN(2)/2)*CG124*CJ124*VLOOKUP('Données projet'!$B$12,Paramètres!$A$1:$I$89,3,0)*0.475*44/12</f>
        <v>1.5989660690560058E-13</v>
      </c>
      <c r="CN124" s="24">
        <f t="shared" si="66"/>
        <v>0.1964295641812982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-1.7053025658242404E-13</v>
      </c>
      <c r="CU124" s="18">
        <f>CT124*VLOOKUP('Données projet'!$B$13,Paramètres!$A$1:$I$89,3,0)*VLOOKUP('Données projet'!$B$13,Paramètres!$A$1:$I$89,5,0)</f>
        <v>-1.3567387213697657E-13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312.53381881960331</v>
      </c>
      <c r="CZ124" s="62">
        <f t="shared" si="96"/>
        <v>342.06887933351783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3.4</v>
      </c>
      <c r="DO124" s="13">
        <f>IF('Données projet'!$A$166&gt;35,DO123+DN124-DW123,IF(A124&lt;'Données projet'!$A$166,$DL$205^A124,IF(A124='Données projet'!$A$166,'Données projet'!$B$166,DO123+DN124-DW123)))</f>
        <v>287.39999999999941</v>
      </c>
      <c r="DP124" s="18">
        <f>DO124*VLOOKUP('Données projet'!$B$14,Paramètres!$A$1:$I$89,3,0)*VLOOKUP('Données projet'!$B$14,Paramètres!$A$1:$I$89,5,0)</f>
        <v>309.35735999999935</v>
      </c>
      <c r="DQ124" s="14">
        <f t="shared" si="97"/>
        <v>73.134605157142033</v>
      </c>
      <c r="DR124" s="22">
        <f t="shared" si="70"/>
        <v>666.17350598202131</v>
      </c>
      <c r="DS124" s="62">
        <f t="shared" si="71"/>
        <v>959.50683931535468</v>
      </c>
      <c r="DT124" s="62">
        <f ca="1">AVERAGE(OFFSET($DS$3,0,0,'Données projet'!$E$14+1,1))-AVERAGE(OFFSET($H$3,0,0,'Données projet'!$E$14+1,1))</f>
        <v>503.92230226365683</v>
      </c>
      <c r="DU124" s="62">
        <f t="shared" si="98"/>
        <v>267.2998309535638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3.4</v>
      </c>
      <c r="EJ124" s="13">
        <f>IF('Données projet'!$A$192&gt;35,EJ123+EI124-ER123,IF(A124&lt;'Données projet'!$A$192,$EG$205^A124,IF(A124='Données projet'!$A$192,'Données projet'!$B$192,EJ123+EI124-ER123)))</f>
        <v>287.39999999999941</v>
      </c>
      <c r="EK124" s="18">
        <f>EJ124*VLOOKUP('Données projet'!$B$15,Paramètres!$A$1:$I$89,3,0)*VLOOKUP('Données projet'!$B$15,Paramètres!$A$1:$I$89,5,0)</f>
        <v>277.97327999999942</v>
      </c>
      <c r="EL124" s="14">
        <f t="shared" si="99"/>
        <v>66.538523764973078</v>
      </c>
      <c r="EM124" s="22">
        <f t="shared" si="73"/>
        <v>600.02472489066042</v>
      </c>
      <c r="EN124" s="62">
        <f t="shared" si="74"/>
        <v>893.35805822399379</v>
      </c>
      <c r="EO124" s="62">
        <f ca="1">AVERAGE(OFFSET($EN$3,0,0,'Données projet'!$E$15+1,1))-AVERAGE(OFFSET($H$3,0,0,'Données projet'!$E$15+1,1))</f>
        <v>457.16923206840744</v>
      </c>
      <c r="EP124" s="62">
        <f t="shared" si="100"/>
        <v>244.45149244446094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3.979039320256561E-13</v>
      </c>
      <c r="FF124" s="18">
        <f>FE124*VLOOKUP('Données projet'!$B$16,Paramètres!$A$1:$I$89,3,0)*VLOOKUP('Données projet'!$B$16,Paramètres!$A$1:$I$89,5,0)</f>
        <v>2.669139576028101E-13</v>
      </c>
      <c r="FG124" s="14">
        <f t="shared" si="101"/>
        <v>3.5767923834585247E-12</v>
      </c>
      <c r="FH124" s="22">
        <f t="shared" si="76"/>
        <v>6.6944552106818241E-12</v>
      </c>
      <c r="FI124" s="62">
        <f t="shared" si="77"/>
        <v>293.33333333334002</v>
      </c>
      <c r="FJ124" s="62">
        <f ca="1">AVERAGE(OFFSET($FI$3,0,0,'Données projet'!$E$16+1,1))-AVERAGE(OFFSET($H$3,0,0,'Données projet'!$E$16+1,1))</f>
        <v>385.97853124853452</v>
      </c>
      <c r="FK124" s="62">
        <f t="shared" si="102"/>
        <v>300.99118099739695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132.280299502248</v>
      </c>
      <c r="T125" s="62">
        <f t="shared" si="88"/>
        <v>337.98099449405339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10.131031443365238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2.6159147849929087E-14</v>
      </c>
      <c r="AC125" s="24">
        <f t="shared" si="57"/>
        <v>10.131031443365265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3.4</v>
      </c>
      <c r="AI125" s="14">
        <f>IF('Données projet'!$A$62&gt;35,AI124+AH125-AQ124,IF(A125&lt;'Données projet'!$A$62,$AF$205^A125,IF(A125='Données projet'!$A$62,'Données projet'!$B$62,AI124+AH125-AQ124)))</f>
        <v>290.79999999999939</v>
      </c>
      <c r="AJ125" s="14">
        <f>AI125*VLOOKUP('Données projet'!$B$10,Paramètres!$A$1:$I$89,3,0)*VLOOKUP('Données projet'!$B$10,Paramètres!$A$1:$I$89,5,0)</f>
        <v>263.11583999999948</v>
      </c>
      <c r="AK125" s="14">
        <f t="shared" si="89"/>
        <v>63.386087944423274</v>
      </c>
      <c r="AL125" s="22">
        <f t="shared" si="58"/>
        <v>568.65752450320281</v>
      </c>
      <c r="AM125" s="62">
        <f t="shared" si="59"/>
        <v>861.99085783653618</v>
      </c>
      <c r="AN125" s="62">
        <f ca="1">AVERAGE(OFFSET($AM$3,0,0,'Données projet'!$E$10+1,1))-AVERAGE(OFFSET($H$3,0,0,'Données projet'!$E$10+1,1))</f>
        <v>430.40491895612814</v>
      </c>
      <c r="AO125" s="62">
        <f t="shared" si="90"/>
        <v>231.36959598460686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1.1368683772161603E-13</v>
      </c>
      <c r="BE125" s="14">
        <f>BD125*VLOOKUP('Données projet'!$B$11,Paramètres!$A$1:$I$89,3,0)*VLOOKUP('Données projet'!$B$11,Paramètres!$A$1:$I$89,5,0)</f>
        <v>6.7984728957526396E-14</v>
      </c>
      <c r="BF125" s="14">
        <f t="shared" si="91"/>
        <v>1.0682447123141398E-12</v>
      </c>
      <c r="BG125" s="22">
        <f t="shared" si="61"/>
        <v>1.978932943548152E-12</v>
      </c>
      <c r="BH125" s="62">
        <f t="shared" si="62"/>
        <v>293.3333333333353</v>
      </c>
      <c r="BI125" s="62">
        <f ca="1">AVERAGE(OFFSET($BH$3,0,0,'Données projet'!$E$11+1,1))-AVERAGE(OFFSET($H$3,0,0,'Données projet'!$E$11+1,1))</f>
        <v>295.83974441964551</v>
      </c>
      <c r="BJ125" s="62">
        <f t="shared" si="92"/>
        <v>212.24900914818096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-5.6843418860808015E-14</v>
      </c>
      <c r="BZ125" s="14">
        <f>BY125*VLOOKUP('Données projet'!$B$12,Paramètres!$A$1:$I$89,3,0)*VLOOKUP('Données projet'!$B$12,Paramètres!$A$1:$I$89,5,0)</f>
        <v>-3.2514435588382188E-14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309.71642374647882</v>
      </c>
      <c r="CE125" s="62">
        <f t="shared" si="94"/>
        <v>266.63880397664315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0.19105818741882324</v>
      </c>
      <c r="CM125" s="23">
        <f>EXP(-LN(2)/2)*CM124+(1-EXP(-LN(2)/2))/(LN(2)/2)*CG125*CJ125*VLOOKUP('Données projet'!$B$12,Paramètres!$A$1:$I$89,3,0)*0.475*44/12</f>
        <v>1.1306397503166992E-13</v>
      </c>
      <c r="CN125" s="24">
        <f t="shared" si="66"/>
        <v>0.19105818741893632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-1.7053025658242404E-13</v>
      </c>
      <c r="CU125" s="18">
        <f>CT125*VLOOKUP('Données projet'!$B$13,Paramètres!$A$1:$I$89,3,0)*VLOOKUP('Données projet'!$B$13,Paramètres!$A$1:$I$89,5,0)</f>
        <v>-1.3567387213697657E-13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312.53381881960331</v>
      </c>
      <c r="CZ125" s="62">
        <f t="shared" si="96"/>
        <v>342.06887933351783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3.4</v>
      </c>
      <c r="DO125" s="13">
        <f>IF('Données projet'!$A$166&gt;35,DO124+DN125-DW124,IF(A125&lt;'Données projet'!$A$166,$DL$205^A125,IF(A125='Données projet'!$A$166,'Données projet'!$B$166,DO124+DN125-DW124)))</f>
        <v>290.79999999999939</v>
      </c>
      <c r="DP125" s="18">
        <f>DO125*VLOOKUP('Données projet'!$B$14,Paramètres!$A$1:$I$89,3,0)*VLOOKUP('Données projet'!$B$14,Paramètres!$A$1:$I$89,5,0)</f>
        <v>313.01711999999935</v>
      </c>
      <c r="DQ125" s="14">
        <f t="shared" si="97"/>
        <v>73.898569287689199</v>
      </c>
      <c r="DR125" s="22">
        <f t="shared" si="70"/>
        <v>673.87815884272425</v>
      </c>
      <c r="DS125" s="62">
        <f t="shared" si="71"/>
        <v>967.21149217605762</v>
      </c>
      <c r="DT125" s="62">
        <f ca="1">AVERAGE(OFFSET($DS$3,0,0,'Données projet'!$E$14+1,1))-AVERAGE(OFFSET($H$3,0,0,'Données projet'!$E$14+1,1))</f>
        <v>503.92230226365683</v>
      </c>
      <c r="DU125" s="62">
        <f t="shared" si="98"/>
        <v>267.2998309535638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3.4</v>
      </c>
      <c r="EJ125" s="13">
        <f>IF('Données projet'!$A$192&gt;35,EJ124+EI125-ER124,IF(A125&lt;'Données projet'!$A$192,$EG$205^A125,IF(A125='Données projet'!$A$192,'Données projet'!$B$192,EJ124+EI125-ER124)))</f>
        <v>290.79999999999939</v>
      </c>
      <c r="EK125" s="18">
        <f>EJ125*VLOOKUP('Données projet'!$B$15,Paramètres!$A$1:$I$89,3,0)*VLOOKUP('Données projet'!$B$15,Paramètres!$A$1:$I$89,5,0)</f>
        <v>281.26175999999941</v>
      </c>
      <c r="EL125" s="14">
        <f t="shared" si="99"/>
        <v>67.233585225232218</v>
      </c>
      <c r="EM125" s="22">
        <f t="shared" si="73"/>
        <v>606.96272626727841</v>
      </c>
      <c r="EN125" s="62">
        <f t="shared" si="74"/>
        <v>900.29605960061167</v>
      </c>
      <c r="EO125" s="62">
        <f ca="1">AVERAGE(OFFSET($EN$3,0,0,'Données projet'!$E$15+1,1))-AVERAGE(OFFSET($H$3,0,0,'Données projet'!$E$15+1,1))</f>
        <v>457.16923206840744</v>
      </c>
      <c r="EP125" s="62">
        <f t="shared" si="100"/>
        <v>244.45149244446094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3.979039320256561E-13</v>
      </c>
      <c r="FF125" s="18">
        <f>FE125*VLOOKUP('Données projet'!$B$16,Paramètres!$A$1:$I$89,3,0)*VLOOKUP('Données projet'!$B$16,Paramètres!$A$1:$I$89,5,0)</f>
        <v>2.669139576028101E-13</v>
      </c>
      <c r="FG125" s="14">
        <f t="shared" si="101"/>
        <v>3.5767923834585247E-12</v>
      </c>
      <c r="FH125" s="22">
        <f t="shared" si="76"/>
        <v>6.6944552106818241E-12</v>
      </c>
      <c r="FI125" s="62">
        <f t="shared" si="77"/>
        <v>293.33333333334002</v>
      </c>
      <c r="FJ125" s="62">
        <f ca="1">AVERAGE(OFFSET($FI$3,0,0,'Données projet'!$E$16+1,1))-AVERAGE(OFFSET($H$3,0,0,'Données projet'!$E$16+1,1))</f>
        <v>385.97853124853452</v>
      </c>
      <c r="FK125" s="62">
        <f t="shared" si="102"/>
        <v>300.99118099739695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132.280299502248</v>
      </c>
      <c r="T126" s="62">
        <f t="shared" si="88"/>
        <v>337.98099449405339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9.9323680960798697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1.8497310834746352E-14</v>
      </c>
      <c r="AC126" s="24">
        <f t="shared" si="57"/>
        <v>9.9323680960798875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3.4</v>
      </c>
      <c r="AI126" s="14">
        <f>IF('Données projet'!$A$62&gt;35,AI125+AH126-AQ125,IF(A126&lt;'Données projet'!$A$62,$AF$205^A126,IF(A126='Données projet'!$A$62,'Données projet'!$B$62,AI125+AH126-AQ125)))</f>
        <v>294.19999999999936</v>
      </c>
      <c r="AJ126" s="14">
        <f>AI126*VLOOKUP('Données projet'!$B$10,Paramètres!$A$1:$I$89,3,0)*VLOOKUP('Données projet'!$B$10,Paramètres!$A$1:$I$89,5,0)</f>
        <v>266.19215999999943</v>
      </c>
      <c r="AK126" s="14">
        <f t="shared" si="89"/>
        <v>64.04048272345959</v>
      </c>
      <c r="AL126" s="22">
        <f t="shared" si="58"/>
        <v>575.15518607669117</v>
      </c>
      <c r="AM126" s="62">
        <f t="shared" si="59"/>
        <v>868.48851941002454</v>
      </c>
      <c r="AN126" s="62">
        <f ca="1">AVERAGE(OFFSET($AM$3,0,0,'Données projet'!$E$10+1,1))-AVERAGE(OFFSET($H$3,0,0,'Données projet'!$E$10+1,1))</f>
        <v>430.40491895612814</v>
      </c>
      <c r="AO126" s="62">
        <f t="shared" si="90"/>
        <v>231.36959598460686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1.1368683772161603E-13</v>
      </c>
      <c r="BE126" s="14">
        <f>BD126*VLOOKUP('Données projet'!$B$11,Paramètres!$A$1:$I$89,3,0)*VLOOKUP('Données projet'!$B$11,Paramètres!$A$1:$I$89,5,0)</f>
        <v>6.7984728957526396E-14</v>
      </c>
      <c r="BF126" s="14">
        <f t="shared" si="91"/>
        <v>1.0682447123141398E-12</v>
      </c>
      <c r="BG126" s="22">
        <f t="shared" si="61"/>
        <v>1.978932943548152E-12</v>
      </c>
      <c r="BH126" s="62">
        <f t="shared" si="62"/>
        <v>293.3333333333353</v>
      </c>
      <c r="BI126" s="62">
        <f ca="1">AVERAGE(OFFSET($BH$3,0,0,'Données projet'!$E$11+1,1))-AVERAGE(OFFSET($H$3,0,0,'Données projet'!$E$11+1,1))</f>
        <v>295.83974441964551</v>
      </c>
      <c r="BJ126" s="62">
        <f t="shared" si="92"/>
        <v>212.24900914818096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-5.6843418860808015E-14</v>
      </c>
      <c r="BZ126" s="14">
        <f>BY126*VLOOKUP('Données projet'!$B$12,Paramètres!$A$1:$I$89,3,0)*VLOOKUP('Données projet'!$B$12,Paramètres!$A$1:$I$89,5,0)</f>
        <v>-3.2514435588382188E-14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309.71642374647882</v>
      </c>
      <c r="CE126" s="62">
        <f t="shared" si="94"/>
        <v>266.63880397664315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0.18583369123654211</v>
      </c>
      <c r="CM126" s="23">
        <f>EXP(-LN(2)/2)*CM125+(1-EXP(-LN(2)/2))/(LN(2)/2)*CG126*CJ126*VLOOKUP('Données projet'!$B$12,Paramètres!$A$1:$I$89,3,0)*0.475*44/12</f>
        <v>7.9948303452800302E-14</v>
      </c>
      <c r="CN126" s="24">
        <f t="shared" si="66"/>
        <v>0.18583369123662205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-1.7053025658242404E-13</v>
      </c>
      <c r="CU126" s="18">
        <f>CT126*VLOOKUP('Données projet'!$B$13,Paramètres!$A$1:$I$89,3,0)*VLOOKUP('Données projet'!$B$13,Paramètres!$A$1:$I$89,5,0)</f>
        <v>-1.3567387213697657E-13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312.53381881960331</v>
      </c>
      <c r="CZ126" s="62">
        <f t="shared" si="96"/>
        <v>342.06887933351783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3.4</v>
      </c>
      <c r="DO126" s="13">
        <f>IF('Données projet'!$A$166&gt;35,DO125+DN126-DW125,IF(A126&lt;'Données projet'!$A$166,$DL$205^A126,IF(A126='Données projet'!$A$166,'Données projet'!$B$166,DO125+DN126-DW125)))</f>
        <v>294.19999999999936</v>
      </c>
      <c r="DP126" s="18">
        <f>DO126*VLOOKUP('Données projet'!$B$14,Paramètres!$A$1:$I$89,3,0)*VLOOKUP('Données projet'!$B$14,Paramètres!$A$1:$I$89,5,0)</f>
        <v>316.6768799999993</v>
      </c>
      <c r="DQ126" s="14">
        <f t="shared" si="97"/>
        <v>74.661494394575769</v>
      </c>
      <c r="DR126" s="22">
        <f t="shared" si="70"/>
        <v>681.58100207055156</v>
      </c>
      <c r="DS126" s="62">
        <f t="shared" si="71"/>
        <v>974.91433540388493</v>
      </c>
      <c r="DT126" s="62">
        <f ca="1">AVERAGE(OFFSET($DS$3,0,0,'Données projet'!$E$14+1,1))-AVERAGE(OFFSET($H$3,0,0,'Données projet'!$E$14+1,1))</f>
        <v>503.92230226365683</v>
      </c>
      <c r="DU126" s="62">
        <f t="shared" si="98"/>
        <v>267.2998309535638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3.4</v>
      </c>
      <c r="EJ126" s="13">
        <f>IF('Données projet'!$A$192&gt;35,EJ125+EI126-ER125,IF(A126&lt;'Données projet'!$A$192,$EG$205^A126,IF(A126='Données projet'!$A$192,'Données projet'!$B$192,EJ125+EI126-ER125)))</f>
        <v>294.19999999999936</v>
      </c>
      <c r="EK126" s="18">
        <f>EJ126*VLOOKUP('Données projet'!$B$15,Paramètres!$A$1:$I$89,3,0)*VLOOKUP('Données projet'!$B$15,Paramètres!$A$1:$I$89,5,0)</f>
        <v>284.55023999999941</v>
      </c>
      <c r="EL126" s="14">
        <f t="shared" si="99"/>
        <v>67.927701372388441</v>
      </c>
      <c r="EM126" s="22">
        <f t="shared" si="73"/>
        <v>613.89908122357554</v>
      </c>
      <c r="EN126" s="62">
        <f t="shared" si="74"/>
        <v>907.23241455690891</v>
      </c>
      <c r="EO126" s="62">
        <f ca="1">AVERAGE(OFFSET($EN$3,0,0,'Données projet'!$E$15+1,1))-AVERAGE(OFFSET($H$3,0,0,'Données projet'!$E$15+1,1))</f>
        <v>457.16923206840744</v>
      </c>
      <c r="EP126" s="62">
        <f t="shared" si="100"/>
        <v>244.45149244446094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3.979039320256561E-13</v>
      </c>
      <c r="FF126" s="18">
        <f>FE126*VLOOKUP('Données projet'!$B$16,Paramètres!$A$1:$I$89,3,0)*VLOOKUP('Données projet'!$B$16,Paramètres!$A$1:$I$89,5,0)</f>
        <v>2.669139576028101E-13</v>
      </c>
      <c r="FG126" s="14">
        <f t="shared" si="101"/>
        <v>3.5767923834585247E-12</v>
      </c>
      <c r="FH126" s="22">
        <f t="shared" si="76"/>
        <v>6.6944552106818241E-12</v>
      </c>
      <c r="FI126" s="62">
        <f t="shared" si="77"/>
        <v>293.33333333334002</v>
      </c>
      <c r="FJ126" s="62">
        <f ca="1">AVERAGE(OFFSET($FI$3,0,0,'Données projet'!$E$16+1,1))-AVERAGE(OFFSET($H$3,0,0,'Données projet'!$E$16+1,1))</f>
        <v>385.97853124853452</v>
      </c>
      <c r="FK126" s="62">
        <f t="shared" si="102"/>
        <v>300.99118099739695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132.280299502248</v>
      </c>
      <c r="T127" s="62">
        <f t="shared" si="88"/>
        <v>337.98099449405339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9.7376004158620901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1.3079573924964544E-14</v>
      </c>
      <c r="AC127" s="24">
        <f t="shared" si="57"/>
        <v>9.7376004158621026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3.4</v>
      </c>
      <c r="AI127" s="14">
        <f>IF('Données projet'!$A$62&gt;35,AI126+AH127-AQ126,IF(A127&lt;'Données projet'!$A$62,$AF$205^A127,IF(A127='Données projet'!$A$62,'Données projet'!$B$62,AI126+AH127-AQ126)))</f>
        <v>297.59999999999934</v>
      </c>
      <c r="AJ127" s="14">
        <f>AI127*VLOOKUP('Données projet'!$B$10,Paramètres!$A$1:$I$89,3,0)*VLOOKUP('Données projet'!$B$10,Paramètres!$A$1:$I$89,5,0)</f>
        <v>269.26847999999939</v>
      </c>
      <c r="AK127" s="14">
        <f t="shared" si="89"/>
        <v>64.693997776951065</v>
      </c>
      <c r="AL127" s="22">
        <f t="shared" si="58"/>
        <v>581.65131546152202</v>
      </c>
      <c r="AM127" s="62">
        <f t="shared" si="59"/>
        <v>874.98464879485527</v>
      </c>
      <c r="AN127" s="62">
        <f ca="1">AVERAGE(OFFSET($AM$3,0,0,'Données projet'!$E$10+1,1))-AVERAGE(OFFSET($H$3,0,0,'Données projet'!$E$10+1,1))</f>
        <v>430.40491895612814</v>
      </c>
      <c r="AO127" s="62">
        <f t="shared" si="90"/>
        <v>231.36959598460686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1.1368683772161603E-13</v>
      </c>
      <c r="BE127" s="14">
        <f>BD127*VLOOKUP('Données projet'!$B$11,Paramètres!$A$1:$I$89,3,0)*VLOOKUP('Données projet'!$B$11,Paramètres!$A$1:$I$89,5,0)</f>
        <v>6.7984728957526396E-14</v>
      </c>
      <c r="BF127" s="14">
        <f t="shared" si="91"/>
        <v>1.0682447123141398E-12</v>
      </c>
      <c r="BG127" s="22">
        <f t="shared" si="61"/>
        <v>1.978932943548152E-12</v>
      </c>
      <c r="BH127" s="62">
        <f t="shared" si="62"/>
        <v>293.3333333333353</v>
      </c>
      <c r="BI127" s="62">
        <f ca="1">AVERAGE(OFFSET($BH$3,0,0,'Données projet'!$E$11+1,1))-AVERAGE(OFFSET($H$3,0,0,'Données projet'!$E$11+1,1))</f>
        <v>295.83974441964551</v>
      </c>
      <c r="BJ127" s="62">
        <f t="shared" si="92"/>
        <v>212.24900914818096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-5.6843418860808015E-14</v>
      </c>
      <c r="BZ127" s="14">
        <f>BY127*VLOOKUP('Données projet'!$B$12,Paramètres!$A$1:$I$89,3,0)*VLOOKUP('Données projet'!$B$12,Paramètres!$A$1:$I$89,5,0)</f>
        <v>-3.2514435588382188E-14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309.71642374647882</v>
      </c>
      <c r="CE127" s="62">
        <f t="shared" si="94"/>
        <v>266.63880397664315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0.18075205917710976</v>
      </c>
      <c r="CM127" s="23">
        <f>EXP(-LN(2)/2)*CM126+(1-EXP(-LN(2)/2))/(LN(2)/2)*CG127*CJ127*VLOOKUP('Données projet'!$B$12,Paramètres!$A$1:$I$89,3,0)*0.475*44/12</f>
        <v>5.6531987515834968E-14</v>
      </c>
      <c r="CN127" s="24">
        <f t="shared" si="66"/>
        <v>0.1807520591771663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-1.7053025658242404E-13</v>
      </c>
      <c r="CU127" s="18">
        <f>CT127*VLOOKUP('Données projet'!$B$13,Paramètres!$A$1:$I$89,3,0)*VLOOKUP('Données projet'!$B$13,Paramètres!$A$1:$I$89,5,0)</f>
        <v>-1.3567387213697657E-13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312.53381881960331</v>
      </c>
      <c r="CZ127" s="62">
        <f t="shared" si="96"/>
        <v>342.06887933351783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3.4</v>
      </c>
      <c r="DO127" s="13">
        <f>IF('Données projet'!$A$166&gt;35,DO126+DN127-DW126,IF(A127&lt;'Données projet'!$A$166,$DL$205^A127,IF(A127='Données projet'!$A$166,'Données projet'!$B$166,DO126+DN127-DW126)))</f>
        <v>297.59999999999934</v>
      </c>
      <c r="DP127" s="18">
        <f>DO127*VLOOKUP('Données projet'!$B$14,Paramètres!$A$1:$I$89,3,0)*VLOOKUP('Données projet'!$B$14,Paramètres!$A$1:$I$89,5,0)</f>
        <v>320.33663999999931</v>
      </c>
      <c r="DQ127" s="14">
        <f t="shared" si="97"/>
        <v>75.423393874842361</v>
      </c>
      <c r="DR127" s="22">
        <f t="shared" si="70"/>
        <v>689.2820589986826</v>
      </c>
      <c r="DS127" s="62">
        <f t="shared" si="71"/>
        <v>982.61539233201597</v>
      </c>
      <c r="DT127" s="62">
        <f ca="1">AVERAGE(OFFSET($DS$3,0,0,'Données projet'!$E$14+1,1))-AVERAGE(OFFSET($H$3,0,0,'Données projet'!$E$14+1,1))</f>
        <v>503.92230226365683</v>
      </c>
      <c r="DU127" s="62">
        <f t="shared" si="98"/>
        <v>267.2998309535638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3.4</v>
      </c>
      <c r="EJ127" s="13">
        <f>IF('Données projet'!$A$192&gt;35,EJ126+EI127-ER126,IF(A127&lt;'Données projet'!$A$192,$EG$205^A127,IF(A127='Données projet'!$A$192,'Données projet'!$B$192,EJ126+EI127-ER126)))</f>
        <v>297.59999999999934</v>
      </c>
      <c r="EK127" s="18">
        <f>EJ127*VLOOKUP('Données projet'!$B$15,Paramètres!$A$1:$I$89,3,0)*VLOOKUP('Données projet'!$B$15,Paramètres!$A$1:$I$89,5,0)</f>
        <v>287.8387199999994</v>
      </c>
      <c r="EL127" s="14">
        <f t="shared" si="99"/>
        <v>68.620884395190174</v>
      </c>
      <c r="EM127" s="22">
        <f t="shared" si="73"/>
        <v>620.83381098828852</v>
      </c>
      <c r="EN127" s="62">
        <f t="shared" si="74"/>
        <v>914.16714432162189</v>
      </c>
      <c r="EO127" s="62">
        <f ca="1">AVERAGE(OFFSET($EN$3,0,0,'Données projet'!$E$15+1,1))-AVERAGE(OFFSET($H$3,0,0,'Données projet'!$E$15+1,1))</f>
        <v>457.16923206840744</v>
      </c>
      <c r="EP127" s="62">
        <f t="shared" si="100"/>
        <v>244.45149244446094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3.979039320256561E-13</v>
      </c>
      <c r="FF127" s="18">
        <f>FE127*VLOOKUP('Données projet'!$B$16,Paramètres!$A$1:$I$89,3,0)*VLOOKUP('Données projet'!$B$16,Paramètres!$A$1:$I$89,5,0)</f>
        <v>2.669139576028101E-13</v>
      </c>
      <c r="FG127" s="14">
        <f t="shared" si="101"/>
        <v>3.5767923834585247E-12</v>
      </c>
      <c r="FH127" s="22">
        <f t="shared" si="76"/>
        <v>6.6944552106818241E-12</v>
      </c>
      <c r="FI127" s="62">
        <f t="shared" si="77"/>
        <v>293.33333333334002</v>
      </c>
      <c r="FJ127" s="62">
        <f ca="1">AVERAGE(OFFSET($FI$3,0,0,'Données projet'!$E$16+1,1))-AVERAGE(OFFSET($H$3,0,0,'Données projet'!$E$16+1,1))</f>
        <v>385.97853124853452</v>
      </c>
      <c r="FK127" s="62">
        <f t="shared" si="102"/>
        <v>300.99118099739695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132.280299502248</v>
      </c>
      <c r="T128" s="62">
        <f t="shared" si="88"/>
        <v>337.98099449405339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9.5466520110568265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9.2486554173731759E-15</v>
      </c>
      <c r="AC128" s="24">
        <f t="shared" si="57"/>
        <v>9.5466520110568354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>
        <f>VLOOKUP(A128,'Données projet'!$A$61:$I$81,2,0)</f>
        <v>301</v>
      </c>
      <c r="AG128" s="13">
        <f>VLOOKUP(A128,'Données projet'!$A$61:$I$81,9,0)</f>
        <v>3.4</v>
      </c>
      <c r="AH128" s="13">
        <f t="array" ref="AH128">INDEX(AG:AG,MIN(IF(ISNUMBER(AG128:AG324),ROW(AG128:AG324),"")))</f>
        <v>3.4</v>
      </c>
      <c r="AI128" s="14">
        <f>IF('Données projet'!$A$62&gt;35,AI127+AH128-AQ127,IF(A128&lt;'Données projet'!$A$62,$AF$205^A128,IF(A128='Données projet'!$A$62,'Données projet'!$B$62,AI127+AH128-AQ127)))</f>
        <v>300.99999999999932</v>
      </c>
      <c r="AJ128" s="14">
        <f>AI128*VLOOKUP('Données projet'!$B$10,Paramètres!$A$1:$I$89,3,0)*VLOOKUP('Données projet'!$B$10,Paramètres!$A$1:$I$89,5,0)</f>
        <v>272.34479999999934</v>
      </c>
      <c r="AK128" s="14">
        <f t="shared" si="89"/>
        <v>65.346644318451595</v>
      </c>
      <c r="AL128" s="22">
        <f t="shared" si="58"/>
        <v>588.1459321879687</v>
      </c>
      <c r="AM128" s="62">
        <f t="shared" si="59"/>
        <v>881.47926552130207</v>
      </c>
      <c r="AN128" s="62">
        <f ca="1">AVERAGE(OFFSET($AM$3,0,0,'Données projet'!$E$10+1,1))-AVERAGE(OFFSET($H$3,0,0,'Données projet'!$E$10+1,1))</f>
        <v>430.40491895612814</v>
      </c>
      <c r="AO128" s="62">
        <f t="shared" si="90"/>
        <v>231.36959598460686</v>
      </c>
      <c r="AP128" s="16">
        <f>IF(ISNA(VLOOKUP(A128,'Données projet'!$A$61:$I$81,3,0)),0,VLOOKUP(A128,'Données projet'!$A$61:$I$81,3,0))</f>
        <v>11</v>
      </c>
      <c r="AQ128" s="16">
        <f>IF(ISNA(VLOOKUP(A128,'Données projet'!$A$61:$I$81,4,0)),0,VLOOKUP(A128,'Données projet'!$A$61:$I$81,4,0))</f>
        <v>33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1.1368683772161603E-13</v>
      </c>
      <c r="BE128" s="14">
        <f>BD128*VLOOKUP('Données projet'!$B$11,Paramètres!$A$1:$I$89,3,0)*VLOOKUP('Données projet'!$B$11,Paramètres!$A$1:$I$89,5,0)</f>
        <v>6.7984728957526396E-14</v>
      </c>
      <c r="BF128" s="14">
        <f t="shared" si="91"/>
        <v>1.0682447123141398E-12</v>
      </c>
      <c r="BG128" s="22">
        <f t="shared" si="61"/>
        <v>1.978932943548152E-12</v>
      </c>
      <c r="BH128" s="62">
        <f t="shared" si="62"/>
        <v>293.3333333333353</v>
      </c>
      <c r="BI128" s="62">
        <f ca="1">AVERAGE(OFFSET($BH$3,0,0,'Données projet'!$E$11+1,1))-AVERAGE(OFFSET($H$3,0,0,'Données projet'!$E$11+1,1))</f>
        <v>295.83974441964551</v>
      </c>
      <c r="BJ128" s="62">
        <f t="shared" si="92"/>
        <v>212.24900914818096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-5.6843418860808015E-14</v>
      </c>
      <c r="BZ128" s="14">
        <f>BY128*VLOOKUP('Données projet'!$B$12,Paramètres!$A$1:$I$89,3,0)*VLOOKUP('Données projet'!$B$12,Paramètres!$A$1:$I$89,5,0)</f>
        <v>-3.2514435588382188E-14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309.71642374647882</v>
      </c>
      <c r="CE128" s="62">
        <f t="shared" si="94"/>
        <v>266.63880397664315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0.17580938461357401</v>
      </c>
      <c r="CM128" s="23">
        <f>EXP(-LN(2)/2)*CM127+(1-EXP(-LN(2)/2))/(LN(2)/2)*CG128*CJ128*VLOOKUP('Données projet'!$B$12,Paramètres!$A$1:$I$89,3,0)*0.475*44/12</f>
        <v>3.9974151726400157E-14</v>
      </c>
      <c r="CN128" s="24">
        <f t="shared" si="66"/>
        <v>0.17580938461361398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-1.7053025658242404E-13</v>
      </c>
      <c r="CU128" s="18">
        <f>CT128*VLOOKUP('Données projet'!$B$13,Paramètres!$A$1:$I$89,3,0)*VLOOKUP('Données projet'!$B$13,Paramètres!$A$1:$I$89,5,0)</f>
        <v>-1.3567387213697657E-13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312.53381881960331</v>
      </c>
      <c r="CZ128" s="62">
        <f t="shared" si="96"/>
        <v>342.06887933351783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>
        <f>VLOOKUP(A128,'Données projet'!$A$165:$I$185,2,0)</f>
        <v>301</v>
      </c>
      <c r="DM128" s="13">
        <f>VLOOKUP(A128,'Données projet'!$A$165:$I$185,9,0)</f>
        <v>3.4</v>
      </c>
      <c r="DN128" s="13">
        <f t="array" ref="DN128">INDEX(DM:DM,MIN(IF(ISNUMBER(DM128:DM324),ROW(DM128:DM324),"")))</f>
        <v>3.4</v>
      </c>
      <c r="DO128" s="13">
        <f>IF('Données projet'!$A$166&gt;35,DO127+DN128-DW127,IF(A128&lt;'Données projet'!$A$166,$DL$205^A128,IF(A128='Données projet'!$A$166,'Données projet'!$B$166,DO127+DN128-DW127)))</f>
        <v>300.99999999999932</v>
      </c>
      <c r="DP128" s="18">
        <f>DO128*VLOOKUP('Données projet'!$B$14,Paramètres!$A$1:$I$89,3,0)*VLOOKUP('Données projet'!$B$14,Paramètres!$A$1:$I$89,5,0)</f>
        <v>323.99639999999926</v>
      </c>
      <c r="DQ128" s="14">
        <f t="shared" si="97"/>
        <v>76.184280801792809</v>
      </c>
      <c r="DR128" s="22">
        <f t="shared" si="70"/>
        <v>696.98135239645444</v>
      </c>
      <c r="DS128" s="62">
        <f t="shared" si="71"/>
        <v>990.3146857297877</v>
      </c>
      <c r="DT128" s="62">
        <f ca="1">AVERAGE(OFFSET($DS$3,0,0,'Données projet'!$E$14+1,1))-AVERAGE(OFFSET($H$3,0,0,'Données projet'!$E$14+1,1))</f>
        <v>503.92230226365683</v>
      </c>
      <c r="DU128" s="62">
        <f t="shared" si="98"/>
        <v>267.2998309535638</v>
      </c>
      <c r="DV128" s="16">
        <f>IF(ISNA(VLOOKUP(A128,'Données projet'!$A$165:$I$185,3,0)),0,VLOOKUP(A128,'Données projet'!$A$165:$I$185,3,0))</f>
        <v>11</v>
      </c>
      <c r="DW128" s="16">
        <f>IF(ISNA(VLOOKUP(A128,'Données projet'!$A$165:$I$185,4,0)),0,VLOOKUP(A128,'Données projet'!$A$165:$I$185,4,0))</f>
        <v>33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>
        <f>VLOOKUP(A128,'Données projet'!$A$191:$I$211,2,0)</f>
        <v>301</v>
      </c>
      <c r="EH128" s="13">
        <f>VLOOKUP(A128,'Données projet'!$A$191:$I$211,9,0)</f>
        <v>3.4</v>
      </c>
      <c r="EI128" s="13">
        <f t="array" ref="EI128">INDEX(EH:EH,MIN(IF(ISNUMBER(EH128:EH324),ROW(EH128:EH324),"")))</f>
        <v>3.4</v>
      </c>
      <c r="EJ128" s="13">
        <f>IF('Données projet'!$A$192&gt;35,EJ127+EI128-ER127,IF(A128&lt;'Données projet'!$A$192,$EG$205^A128,IF(A128='Données projet'!$A$192,'Données projet'!$B$192,EJ127+EI128-ER127)))</f>
        <v>300.99999999999932</v>
      </c>
      <c r="EK128" s="18">
        <f>EJ128*VLOOKUP('Données projet'!$B$15,Paramètres!$A$1:$I$89,3,0)*VLOOKUP('Données projet'!$B$15,Paramètres!$A$1:$I$89,5,0)</f>
        <v>291.12719999999933</v>
      </c>
      <c r="EL128" s="14">
        <f t="shared" si="99"/>
        <v>69.313146187847238</v>
      </c>
      <c r="EM128" s="22">
        <f t="shared" si="73"/>
        <v>627.766936277166</v>
      </c>
      <c r="EN128" s="62">
        <f t="shared" si="74"/>
        <v>921.10026961049925</v>
      </c>
      <c r="EO128" s="62">
        <f ca="1">AVERAGE(OFFSET($EN$3,0,0,'Données projet'!$E$15+1,1))-AVERAGE(OFFSET($H$3,0,0,'Données projet'!$E$15+1,1))</f>
        <v>457.16923206840744</v>
      </c>
      <c r="EP128" s="62">
        <f t="shared" si="100"/>
        <v>244.45149244446094</v>
      </c>
      <c r="EQ128" s="16">
        <f>IF(ISNA(VLOOKUP(A128,'Données projet'!$A$191:$I$211,3,0)),0,VLOOKUP(A128,'Données projet'!$A$191:$I$211,3,0))</f>
        <v>11</v>
      </c>
      <c r="ER128" s="16">
        <f>IF(ISNA(VLOOKUP(A128,'Données projet'!$A$191:$I$211,4,0)),0,VLOOKUP(A128,'Données projet'!$A$191:$I$211,4,0))</f>
        <v>33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3.979039320256561E-13</v>
      </c>
      <c r="FF128" s="18">
        <f>FE128*VLOOKUP('Données projet'!$B$16,Paramètres!$A$1:$I$89,3,0)*VLOOKUP('Données projet'!$B$16,Paramètres!$A$1:$I$89,5,0)</f>
        <v>2.669139576028101E-13</v>
      </c>
      <c r="FG128" s="14">
        <f t="shared" si="101"/>
        <v>3.5767923834585247E-12</v>
      </c>
      <c r="FH128" s="22">
        <f t="shared" si="76"/>
        <v>6.6944552106818241E-12</v>
      </c>
      <c r="FI128" s="62">
        <f t="shared" si="77"/>
        <v>293.33333333334002</v>
      </c>
      <c r="FJ128" s="62">
        <f ca="1">AVERAGE(OFFSET($FI$3,0,0,'Données projet'!$E$16+1,1))-AVERAGE(OFFSET($H$3,0,0,'Données projet'!$E$16+1,1))</f>
        <v>385.97853124853452</v>
      </c>
      <c r="FK128" s="62">
        <f t="shared" si="102"/>
        <v>300.99118099739695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132.280299502248</v>
      </c>
      <c r="T129" s="62">
        <f t="shared" si="88"/>
        <v>337.98099449405339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9.359447988002767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6.5397869624822718E-15</v>
      </c>
      <c r="AC129" s="24">
        <f t="shared" si="57"/>
        <v>9.3594479880027741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3</v>
      </c>
      <c r="AI129" s="14">
        <f>IF('Données projet'!$A$62&gt;35,AI128+AH129-AQ128,IF(A129&lt;'Données projet'!$A$62,$AF$205^A129,IF(A129='Données projet'!$A$62,'Données projet'!$B$62,AI128+AH129-AQ128)))</f>
        <v>270.99999999999932</v>
      </c>
      <c r="AJ129" s="14">
        <f>AI129*VLOOKUP('Données projet'!$B$10,Paramètres!$A$1:$I$89,3,0)*VLOOKUP('Données projet'!$B$10,Paramètres!$A$1:$I$89,5,0)</f>
        <v>245.20079999999936</v>
      </c>
      <c r="AK129" s="14">
        <f t="shared" si="89"/>
        <v>59.557107941433571</v>
      </c>
      <c r="AL129" s="22">
        <f t="shared" si="58"/>
        <v>530.78668966466228</v>
      </c>
      <c r="AM129" s="62">
        <f t="shared" si="59"/>
        <v>824.12002299799565</v>
      </c>
      <c r="AN129" s="62">
        <f ca="1">AVERAGE(OFFSET($AM$3,0,0,'Données projet'!$E$10+1,1))-AVERAGE(OFFSET($H$3,0,0,'Données projet'!$E$10+1,1))</f>
        <v>430.40491895612814</v>
      </c>
      <c r="AO129" s="62">
        <f t="shared" si="90"/>
        <v>231.36959598460686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1.1368683772161603E-13</v>
      </c>
      <c r="BE129" s="14">
        <f>BD129*VLOOKUP('Données projet'!$B$11,Paramètres!$A$1:$I$89,3,0)*VLOOKUP('Données projet'!$B$11,Paramètres!$A$1:$I$89,5,0)</f>
        <v>6.7984728957526396E-14</v>
      </c>
      <c r="BF129" s="14">
        <f t="shared" si="91"/>
        <v>1.0682447123141398E-12</v>
      </c>
      <c r="BG129" s="22">
        <f t="shared" si="61"/>
        <v>1.978932943548152E-12</v>
      </c>
      <c r="BH129" s="62">
        <f t="shared" si="62"/>
        <v>293.3333333333353</v>
      </c>
      <c r="BI129" s="62">
        <f ca="1">AVERAGE(OFFSET($BH$3,0,0,'Données projet'!$E$11+1,1))-AVERAGE(OFFSET($H$3,0,0,'Données projet'!$E$11+1,1))</f>
        <v>295.83974441964551</v>
      </c>
      <c r="BJ129" s="62">
        <f t="shared" si="92"/>
        <v>212.24900914818096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-5.6843418860808015E-14</v>
      </c>
      <c r="BZ129" s="14">
        <f>BY129*VLOOKUP('Données projet'!$B$12,Paramètres!$A$1:$I$89,3,0)*VLOOKUP('Données projet'!$B$12,Paramètres!$A$1:$I$89,5,0)</f>
        <v>-3.2514435588382188E-14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309.71642374647882</v>
      </c>
      <c r="CE129" s="62">
        <f t="shared" si="94"/>
        <v>266.63880397664315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0.17100186774590212</v>
      </c>
      <c r="CM129" s="23">
        <f>EXP(-LN(2)/2)*CM128+(1-EXP(-LN(2)/2))/(LN(2)/2)*CG129*CJ129*VLOOKUP('Données projet'!$B$12,Paramètres!$A$1:$I$89,3,0)*0.475*44/12</f>
        <v>2.826599375791749E-14</v>
      </c>
      <c r="CN129" s="24">
        <f t="shared" si="66"/>
        <v>0.17100186774593037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-1.7053025658242404E-13</v>
      </c>
      <c r="CU129" s="18">
        <f>CT129*VLOOKUP('Données projet'!$B$13,Paramètres!$A$1:$I$89,3,0)*VLOOKUP('Données projet'!$B$13,Paramètres!$A$1:$I$89,5,0)</f>
        <v>-1.3567387213697657E-13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312.53381881960331</v>
      </c>
      <c r="CZ129" s="62">
        <f t="shared" si="96"/>
        <v>342.06887933351783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3</v>
      </c>
      <c r="DO129" s="13">
        <f>IF('Données projet'!$A$166&gt;35,DO128+DN129-DW128,IF(A129&lt;'Données projet'!$A$166,$DL$205^A129,IF(A129='Données projet'!$A$166,'Données projet'!$B$166,DO128+DN129-DW128)))</f>
        <v>270.99999999999932</v>
      </c>
      <c r="DP129" s="18">
        <f>DO129*VLOOKUP('Données projet'!$B$14,Paramètres!$A$1:$I$89,3,0)*VLOOKUP('Données projet'!$B$14,Paramètres!$A$1:$I$89,5,0)</f>
        <v>291.70439999999928</v>
      </c>
      <c r="DQ129" s="14">
        <f t="shared" si="97"/>
        <v>69.434559073015549</v>
      </c>
      <c r="DR129" s="22">
        <f t="shared" si="70"/>
        <v>628.9836870521674</v>
      </c>
      <c r="DS129" s="62">
        <f t="shared" si="71"/>
        <v>922.31702038550065</v>
      </c>
      <c r="DT129" s="62">
        <f ca="1">AVERAGE(OFFSET($DS$3,0,0,'Données projet'!$E$14+1,1))-AVERAGE(OFFSET($H$3,0,0,'Données projet'!$E$14+1,1))</f>
        <v>503.92230226365683</v>
      </c>
      <c r="DU129" s="62">
        <f t="shared" si="98"/>
        <v>267.2998309535638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3</v>
      </c>
      <c r="EJ129" s="13">
        <f>IF('Données projet'!$A$192&gt;35,EJ128+EI129-ER128,IF(A129&lt;'Données projet'!$A$192,$EG$205^A129,IF(A129='Données projet'!$A$192,'Données projet'!$B$192,EJ128+EI129-ER128)))</f>
        <v>270.99999999999932</v>
      </c>
      <c r="EK129" s="18">
        <f>EJ129*VLOOKUP('Données projet'!$B$15,Paramètres!$A$1:$I$89,3,0)*VLOOKUP('Données projet'!$B$15,Paramètres!$A$1:$I$89,5,0)</f>
        <v>262.11119999999937</v>
      </c>
      <c r="EL129" s="14">
        <f t="shared" si="99"/>
        <v>63.172188447086931</v>
      </c>
      <c r="EM129" s="22">
        <f t="shared" si="73"/>
        <v>566.53523487867528</v>
      </c>
      <c r="EN129" s="62">
        <f t="shared" si="74"/>
        <v>859.86856821200854</v>
      </c>
      <c r="EO129" s="62">
        <f ca="1">AVERAGE(OFFSET($EN$3,0,0,'Données projet'!$E$15+1,1))-AVERAGE(OFFSET($H$3,0,0,'Données projet'!$E$15+1,1))</f>
        <v>457.16923206840744</v>
      </c>
      <c r="EP129" s="62">
        <f t="shared" si="100"/>
        <v>244.45149244446094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3.979039320256561E-13</v>
      </c>
      <c r="FF129" s="18">
        <f>FE129*VLOOKUP('Données projet'!$B$16,Paramètres!$A$1:$I$89,3,0)*VLOOKUP('Données projet'!$B$16,Paramètres!$A$1:$I$89,5,0)</f>
        <v>2.669139576028101E-13</v>
      </c>
      <c r="FG129" s="14">
        <f t="shared" si="101"/>
        <v>3.5767923834585247E-12</v>
      </c>
      <c r="FH129" s="22">
        <f t="shared" si="76"/>
        <v>6.6944552106818241E-12</v>
      </c>
      <c r="FI129" s="62">
        <f t="shared" si="77"/>
        <v>293.33333333334002</v>
      </c>
      <c r="FJ129" s="62">
        <f ca="1">AVERAGE(OFFSET($FI$3,0,0,'Données projet'!$E$16+1,1))-AVERAGE(OFFSET($H$3,0,0,'Données projet'!$E$16+1,1))</f>
        <v>385.97853124853452</v>
      </c>
      <c r="FK129" s="62">
        <f t="shared" si="102"/>
        <v>300.99118099739695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132.280299502248</v>
      </c>
      <c r="T130" s="62">
        <f t="shared" si="88"/>
        <v>337.98099449405339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9.1759149216576184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4.624327708686588E-15</v>
      </c>
      <c r="AC130" s="24">
        <f t="shared" si="57"/>
        <v>9.1759149216576237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3</v>
      </c>
      <c r="AI130" s="14">
        <f>IF('Données projet'!$A$62&gt;35,AI129+AH130-AQ129,IF(A130&lt;'Données projet'!$A$62,$AF$205^A130,IF(A130='Données projet'!$A$62,'Données projet'!$B$62,AI129+AH130-AQ129)))</f>
        <v>273.99999999999932</v>
      </c>
      <c r="AJ130" s="14">
        <f>AI130*VLOOKUP('Données projet'!$B$10,Paramètres!$A$1:$I$89,3,0)*VLOOKUP('Données projet'!$B$10,Paramètres!$A$1:$I$89,5,0)</f>
        <v>247.91519999999937</v>
      </c>
      <c r="AK130" s="14">
        <f t="shared" si="89"/>
        <v>60.139294964297299</v>
      </c>
      <c r="AL130" s="22">
        <f t="shared" si="58"/>
        <v>536.52824539615006</v>
      </c>
      <c r="AM130" s="62">
        <f t="shared" si="59"/>
        <v>829.86157872948343</v>
      </c>
      <c r="AN130" s="62">
        <f ca="1">AVERAGE(OFFSET($AM$3,0,0,'Données projet'!$E$10+1,1))-AVERAGE(OFFSET($H$3,0,0,'Données projet'!$E$10+1,1))</f>
        <v>430.40491895612814</v>
      </c>
      <c r="AO130" s="62">
        <f t="shared" si="90"/>
        <v>231.36959598460686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1.1368683772161603E-13</v>
      </c>
      <c r="BE130" s="14">
        <f>BD130*VLOOKUP('Données projet'!$B$11,Paramètres!$A$1:$I$89,3,0)*VLOOKUP('Données projet'!$B$11,Paramètres!$A$1:$I$89,5,0)</f>
        <v>6.7984728957526396E-14</v>
      </c>
      <c r="BF130" s="14">
        <f t="shared" si="91"/>
        <v>1.0682447123141398E-12</v>
      </c>
      <c r="BG130" s="22">
        <f t="shared" si="61"/>
        <v>1.978932943548152E-12</v>
      </c>
      <c r="BH130" s="62">
        <f t="shared" si="62"/>
        <v>293.3333333333353</v>
      </c>
      <c r="BI130" s="62">
        <f ca="1">AVERAGE(OFFSET($BH$3,0,0,'Données projet'!$E$11+1,1))-AVERAGE(OFFSET($H$3,0,0,'Données projet'!$E$11+1,1))</f>
        <v>295.83974441964551</v>
      </c>
      <c r="BJ130" s="62">
        <f t="shared" si="92"/>
        <v>212.24900914818096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-5.6843418860808015E-14</v>
      </c>
      <c r="BZ130" s="14">
        <f>BY130*VLOOKUP('Données projet'!$B$12,Paramètres!$A$1:$I$89,3,0)*VLOOKUP('Données projet'!$B$12,Paramètres!$A$1:$I$89,5,0)</f>
        <v>-3.2514435588382188E-14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309.71642374647882</v>
      </c>
      <c r="CE130" s="62">
        <f t="shared" si="94"/>
        <v>266.63880397664315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0.16632581267979304</v>
      </c>
      <c r="CM130" s="23">
        <f>EXP(-LN(2)/2)*CM129+(1-EXP(-LN(2)/2))/(LN(2)/2)*CG130*CJ130*VLOOKUP('Données projet'!$B$12,Paramètres!$A$1:$I$89,3,0)*0.475*44/12</f>
        <v>1.9987075863200082E-14</v>
      </c>
      <c r="CN130" s="24">
        <f t="shared" si="66"/>
        <v>0.16632581267981303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-1.7053025658242404E-13</v>
      </c>
      <c r="CU130" s="18">
        <f>CT130*VLOOKUP('Données projet'!$B$13,Paramètres!$A$1:$I$89,3,0)*VLOOKUP('Données projet'!$B$13,Paramètres!$A$1:$I$89,5,0)</f>
        <v>-1.3567387213697657E-13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312.53381881960331</v>
      </c>
      <c r="CZ130" s="62">
        <f t="shared" si="96"/>
        <v>342.06887933351783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3</v>
      </c>
      <c r="DO130" s="13">
        <f>IF('Données projet'!$A$166&gt;35,DO129+DN130-DW129,IF(A130&lt;'Données projet'!$A$166,$DL$205^A130,IF(A130='Données projet'!$A$166,'Données projet'!$B$166,DO129+DN130-DW129)))</f>
        <v>273.99999999999932</v>
      </c>
      <c r="DP130" s="18">
        <f>DO130*VLOOKUP('Données projet'!$B$14,Paramètres!$A$1:$I$89,3,0)*VLOOKUP('Données projet'!$B$14,Paramètres!$A$1:$I$89,5,0)</f>
        <v>294.93359999999927</v>
      </c>
      <c r="DQ130" s="14">
        <f t="shared" si="97"/>
        <v>70.113300882814755</v>
      </c>
      <c r="DR130" s="22">
        <f t="shared" si="70"/>
        <v>635.79001903756773</v>
      </c>
      <c r="DS130" s="62">
        <f t="shared" si="71"/>
        <v>929.1233523709011</v>
      </c>
      <c r="DT130" s="62">
        <f ca="1">AVERAGE(OFFSET($DS$3,0,0,'Données projet'!$E$14+1,1))-AVERAGE(OFFSET($H$3,0,0,'Données projet'!$E$14+1,1))</f>
        <v>503.92230226365683</v>
      </c>
      <c r="DU130" s="62">
        <f t="shared" si="98"/>
        <v>267.2998309535638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3</v>
      </c>
      <c r="EJ130" s="13">
        <f>IF('Données projet'!$A$192&gt;35,EJ129+EI130-ER129,IF(A130&lt;'Données projet'!$A$192,$EG$205^A130,IF(A130='Données projet'!$A$192,'Données projet'!$B$192,EJ129+EI130-ER129)))</f>
        <v>273.99999999999932</v>
      </c>
      <c r="EK130" s="18">
        <f>EJ130*VLOOKUP('Données projet'!$B$15,Paramètres!$A$1:$I$89,3,0)*VLOOKUP('Données projet'!$B$15,Paramètres!$A$1:$I$89,5,0)</f>
        <v>265.01279999999934</v>
      </c>
      <c r="EL130" s="14">
        <f t="shared" si="99"/>
        <v>63.789713870852616</v>
      </c>
      <c r="EM130" s="22">
        <f t="shared" si="73"/>
        <v>572.6643783250671</v>
      </c>
      <c r="EN130" s="62">
        <f t="shared" si="74"/>
        <v>865.99771165840048</v>
      </c>
      <c r="EO130" s="62">
        <f ca="1">AVERAGE(OFFSET($EN$3,0,0,'Données projet'!$E$15+1,1))-AVERAGE(OFFSET($H$3,0,0,'Données projet'!$E$15+1,1))</f>
        <v>457.16923206840744</v>
      </c>
      <c r="EP130" s="62">
        <f t="shared" si="100"/>
        <v>244.45149244446094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3.979039320256561E-13</v>
      </c>
      <c r="FF130" s="18">
        <f>FE130*VLOOKUP('Données projet'!$B$16,Paramètres!$A$1:$I$89,3,0)*VLOOKUP('Données projet'!$B$16,Paramètres!$A$1:$I$89,5,0)</f>
        <v>2.669139576028101E-13</v>
      </c>
      <c r="FG130" s="14">
        <f t="shared" si="101"/>
        <v>3.5767923834585247E-12</v>
      </c>
      <c r="FH130" s="22">
        <f t="shared" si="76"/>
        <v>6.6944552106818241E-12</v>
      </c>
      <c r="FI130" s="62">
        <f t="shared" si="77"/>
        <v>293.33333333334002</v>
      </c>
      <c r="FJ130" s="62">
        <f ca="1">AVERAGE(OFFSET($FI$3,0,0,'Données projet'!$E$16+1,1))-AVERAGE(OFFSET($H$3,0,0,'Données projet'!$E$16+1,1))</f>
        <v>385.97853124853452</v>
      </c>
      <c r="FK130" s="62">
        <f t="shared" si="102"/>
        <v>300.99118099739695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132.280299502248</v>
      </c>
      <c r="T131" s="62">
        <f t="shared" si="88"/>
        <v>337.98099449405339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8.9959808267993804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3.2698934812411359E-15</v>
      </c>
      <c r="AC131" s="24">
        <f t="shared" si="57"/>
        <v>8.9959808267993839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3</v>
      </c>
      <c r="AI131" s="14">
        <f>IF('Données projet'!$A$62&gt;35,AI130+AH131-AQ130,IF(A131&lt;'Données projet'!$A$62,$AF$205^A131,IF(A131='Données projet'!$A$62,'Données projet'!$B$62,AI130+AH131-AQ130)))</f>
        <v>276.99999999999932</v>
      </c>
      <c r="AJ131" s="14">
        <f>AI131*VLOOKUP('Données projet'!$B$10,Paramètres!$A$1:$I$89,3,0)*VLOOKUP('Données projet'!$B$10,Paramètres!$A$1:$I$89,5,0)</f>
        <v>250.62959999999939</v>
      </c>
      <c r="AK131" s="14">
        <f t="shared" si="89"/>
        <v>60.720740474356212</v>
      </c>
      <c r="AL131" s="22">
        <f t="shared" si="58"/>
        <v>542.26850965950268</v>
      </c>
      <c r="AM131" s="62">
        <f t="shared" si="59"/>
        <v>835.60184299283605</v>
      </c>
      <c r="AN131" s="62">
        <f ca="1">AVERAGE(OFFSET($AM$3,0,0,'Données projet'!$E$10+1,1))-AVERAGE(OFFSET($H$3,0,0,'Données projet'!$E$10+1,1))</f>
        <v>430.40491895612814</v>
      </c>
      <c r="AO131" s="62">
        <f t="shared" si="90"/>
        <v>231.36959598460686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1.1368683772161603E-13</v>
      </c>
      <c r="BE131" s="14">
        <f>BD131*VLOOKUP('Données projet'!$B$11,Paramètres!$A$1:$I$89,3,0)*VLOOKUP('Données projet'!$B$11,Paramètres!$A$1:$I$89,5,0)</f>
        <v>6.7984728957526396E-14</v>
      </c>
      <c r="BF131" s="14">
        <f t="shared" si="91"/>
        <v>1.0682447123141398E-12</v>
      </c>
      <c r="BG131" s="22">
        <f t="shared" si="61"/>
        <v>1.978932943548152E-12</v>
      </c>
      <c r="BH131" s="62">
        <f t="shared" si="62"/>
        <v>293.3333333333353</v>
      </c>
      <c r="BI131" s="62">
        <f ca="1">AVERAGE(OFFSET($BH$3,0,0,'Données projet'!$E$11+1,1))-AVERAGE(OFFSET($H$3,0,0,'Données projet'!$E$11+1,1))</f>
        <v>295.83974441964551</v>
      </c>
      <c r="BJ131" s="62">
        <f t="shared" si="92"/>
        <v>212.24900914818096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-5.6843418860808015E-14</v>
      </c>
      <c r="BZ131" s="14">
        <f>BY131*VLOOKUP('Données projet'!$B$12,Paramètres!$A$1:$I$89,3,0)*VLOOKUP('Données projet'!$B$12,Paramètres!$A$1:$I$89,5,0)</f>
        <v>-3.2514435588382188E-14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309.71642374647882</v>
      </c>
      <c r="CE131" s="62">
        <f t="shared" si="94"/>
        <v>266.63880397664315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0.16177762458536976</v>
      </c>
      <c r="CM131" s="23">
        <f>EXP(-LN(2)/2)*CM130+(1-EXP(-LN(2)/2))/(LN(2)/2)*CG131*CJ131*VLOOKUP('Données projet'!$B$12,Paramètres!$A$1:$I$89,3,0)*0.475*44/12</f>
        <v>1.4132996878958747E-14</v>
      </c>
      <c r="CN131" s="24">
        <f t="shared" si="66"/>
        <v>0.16177762458538389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-1.7053025658242404E-13</v>
      </c>
      <c r="CU131" s="18">
        <f>CT131*VLOOKUP('Données projet'!$B$13,Paramètres!$A$1:$I$89,3,0)*VLOOKUP('Données projet'!$B$13,Paramètres!$A$1:$I$89,5,0)</f>
        <v>-1.3567387213697657E-13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312.53381881960331</v>
      </c>
      <c r="CZ131" s="62">
        <f t="shared" si="96"/>
        <v>342.06887933351783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3</v>
      </c>
      <c r="DO131" s="13">
        <f>IF('Données projet'!$A$166&gt;35,DO130+DN131-DW130,IF(A131&lt;'Données projet'!$A$166,$DL$205^A131,IF(A131='Données projet'!$A$166,'Données projet'!$B$166,DO130+DN131-DW130)))</f>
        <v>276.99999999999932</v>
      </c>
      <c r="DP131" s="18">
        <f>DO131*VLOOKUP('Données projet'!$B$14,Paramètres!$A$1:$I$89,3,0)*VLOOKUP('Données projet'!$B$14,Paramètres!$A$1:$I$89,5,0)</f>
        <v>298.16279999999927</v>
      </c>
      <c r="DQ131" s="14">
        <f t="shared" si="97"/>
        <v>70.791178201095988</v>
      </c>
      <c r="DR131" s="22">
        <f t="shared" si="70"/>
        <v>642.59484536690752</v>
      </c>
      <c r="DS131" s="62">
        <f t="shared" si="71"/>
        <v>935.92817870024078</v>
      </c>
      <c r="DT131" s="62">
        <f ca="1">AVERAGE(OFFSET($DS$3,0,0,'Données projet'!$E$14+1,1))-AVERAGE(OFFSET($H$3,0,0,'Données projet'!$E$14+1,1))</f>
        <v>503.92230226365683</v>
      </c>
      <c r="DU131" s="62">
        <f t="shared" si="98"/>
        <v>267.2998309535638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3</v>
      </c>
      <c r="EJ131" s="13">
        <f>IF('Données projet'!$A$192&gt;35,EJ130+EI131-ER130,IF(A131&lt;'Données projet'!$A$192,$EG$205^A131,IF(A131='Données projet'!$A$192,'Données projet'!$B$192,EJ130+EI131-ER130)))</f>
        <v>276.99999999999932</v>
      </c>
      <c r="EK131" s="18">
        <f>EJ131*VLOOKUP('Données projet'!$B$15,Paramètres!$A$1:$I$89,3,0)*VLOOKUP('Données projet'!$B$15,Paramètres!$A$1:$I$89,5,0)</f>
        <v>267.91439999999938</v>
      </c>
      <c r="EL131" s="14">
        <f t="shared" si="99"/>
        <v>64.406452772433894</v>
      </c>
      <c r="EM131" s="22">
        <f t="shared" si="73"/>
        <v>578.79215191198784</v>
      </c>
      <c r="EN131" s="62">
        <f t="shared" si="74"/>
        <v>872.12548524532122</v>
      </c>
      <c r="EO131" s="62">
        <f ca="1">AVERAGE(OFFSET($EN$3,0,0,'Données projet'!$E$15+1,1))-AVERAGE(OFFSET($H$3,0,0,'Données projet'!$E$15+1,1))</f>
        <v>457.16923206840744</v>
      </c>
      <c r="EP131" s="62">
        <f t="shared" si="100"/>
        <v>244.45149244446094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3.979039320256561E-13</v>
      </c>
      <c r="FF131" s="18">
        <f>FE131*VLOOKUP('Données projet'!$B$16,Paramètres!$A$1:$I$89,3,0)*VLOOKUP('Données projet'!$B$16,Paramètres!$A$1:$I$89,5,0)</f>
        <v>2.669139576028101E-13</v>
      </c>
      <c r="FG131" s="14">
        <f t="shared" si="101"/>
        <v>3.5767923834585247E-12</v>
      </c>
      <c r="FH131" s="22">
        <f t="shared" si="76"/>
        <v>6.6944552106818241E-12</v>
      </c>
      <c r="FI131" s="62">
        <f t="shared" si="77"/>
        <v>293.33333333334002</v>
      </c>
      <c r="FJ131" s="62">
        <f ca="1">AVERAGE(OFFSET($FI$3,0,0,'Données projet'!$E$16+1,1))-AVERAGE(OFFSET($H$3,0,0,'Données projet'!$E$16+1,1))</f>
        <v>385.97853124853452</v>
      </c>
      <c r="FK131" s="62">
        <f t="shared" si="102"/>
        <v>300.99118099739695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132.280299502248</v>
      </c>
      <c r="T132" s="62">
        <f t="shared" si="88"/>
        <v>337.98099449405339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8.8195751297923515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2.312163854343294E-15</v>
      </c>
      <c r="AC132" s="24">
        <f t="shared" ref="AC132:AC153" si="111">SUM(Z132:AB132)</f>
        <v>8.8195751297923533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3</v>
      </c>
      <c r="AI132" s="14">
        <f>IF('Données projet'!$A$62&gt;35,AI131+AH132-AQ131,IF(A132&lt;'Données projet'!$A$62,$AF$205^A132,IF(A132='Données projet'!$A$62,'Données projet'!$B$62,AI131+AH132-AQ131)))</f>
        <v>279.99999999999932</v>
      </c>
      <c r="AJ132" s="14">
        <f>AI132*VLOOKUP('Données projet'!$B$10,Paramètres!$A$1:$I$89,3,0)*VLOOKUP('Données projet'!$B$10,Paramètres!$A$1:$I$89,5,0)</f>
        <v>253.34399999999934</v>
      </c>
      <c r="AK132" s="14">
        <f t="shared" si="89"/>
        <v>61.301453431926141</v>
      </c>
      <c r="AL132" s="22">
        <f t="shared" ref="AL132:AL153" si="112">(AJ132+AK132)*0.475*44/12</f>
        <v>548.00749806060355</v>
      </c>
      <c r="AM132" s="62">
        <f t="shared" ref="AM132:AM195" si="113">AL132+(AD132+AE132)*44/12</f>
        <v>841.34083139393692</v>
      </c>
      <c r="AN132" s="62">
        <f ca="1">AVERAGE(OFFSET($AM$3,0,0,'Données projet'!$E$10+1,1))-AVERAGE(OFFSET($H$3,0,0,'Données projet'!$E$10+1,1))</f>
        <v>430.40491895612814</v>
      </c>
      <c r="AO132" s="62">
        <f t="shared" si="90"/>
        <v>231.36959598460686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1.1368683772161603E-13</v>
      </c>
      <c r="BE132" s="14">
        <f>BD132*VLOOKUP('Données projet'!$B$11,Paramètres!$A$1:$I$89,3,0)*VLOOKUP('Données projet'!$B$11,Paramètres!$A$1:$I$89,5,0)</f>
        <v>6.7984728957526396E-14</v>
      </c>
      <c r="BF132" s="14">
        <f t="shared" si="91"/>
        <v>1.0682447123141398E-12</v>
      </c>
      <c r="BG132" s="22">
        <f t="shared" ref="BG132:BG153" si="115">(BE132+BF132)*0.475*44/12</f>
        <v>1.978932943548152E-12</v>
      </c>
      <c r="BH132" s="62">
        <f t="shared" ref="BH132:BH195" si="116">BG132+(AY132+AZ132)*44/12</f>
        <v>293.3333333333353</v>
      </c>
      <c r="BI132" s="62">
        <f ca="1">AVERAGE(OFFSET($BH$3,0,0,'Données projet'!$E$11+1,1))-AVERAGE(OFFSET($H$3,0,0,'Données projet'!$E$11+1,1))</f>
        <v>295.83974441964551</v>
      </c>
      <c r="BJ132" s="62">
        <f t="shared" si="92"/>
        <v>212.24900914818096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-5.6843418860808015E-14</v>
      </c>
      <c r="BZ132" s="14">
        <f>BY132*VLOOKUP('Données projet'!$B$12,Paramètres!$A$1:$I$89,3,0)*VLOOKUP('Données projet'!$B$12,Paramètres!$A$1:$I$89,5,0)</f>
        <v>-3.2514435588382188E-14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309.71642374647882</v>
      </c>
      <c r="CE132" s="62">
        <f t="shared" si="94"/>
        <v>266.63880397664315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0.15735380693356729</v>
      </c>
      <c r="CM132" s="23">
        <f>EXP(-LN(2)/2)*CM131+(1-EXP(-LN(2)/2))/(LN(2)/2)*CG132*CJ132*VLOOKUP('Données projet'!$B$12,Paramètres!$A$1:$I$89,3,0)*0.475*44/12</f>
        <v>9.9935379316000425E-15</v>
      </c>
      <c r="CN132" s="24">
        <f t="shared" ref="CN132:CN153" si="120">SUM(CK132:CM132)</f>
        <v>0.15735380693357728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-1.7053025658242404E-13</v>
      </c>
      <c r="CU132" s="18">
        <f>CT132*VLOOKUP('Données projet'!$B$13,Paramètres!$A$1:$I$89,3,0)*VLOOKUP('Données projet'!$B$13,Paramètres!$A$1:$I$89,5,0)</f>
        <v>-1.3567387213697657E-13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312.53381881960331</v>
      </c>
      <c r="CZ132" s="62">
        <f t="shared" si="96"/>
        <v>342.06887933351783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3</v>
      </c>
      <c r="DO132" s="13">
        <f>IF('Données projet'!$A$166&gt;35,DO131+DN132-DW131,IF(A132&lt;'Données projet'!$A$166,$DL$205^A132,IF(A132='Données projet'!$A$166,'Données projet'!$B$166,DO131+DN132-DW131)))</f>
        <v>279.99999999999932</v>
      </c>
      <c r="DP132" s="18">
        <f>DO132*VLOOKUP('Données projet'!$B$14,Paramètres!$A$1:$I$89,3,0)*VLOOKUP('Données projet'!$B$14,Paramètres!$A$1:$I$89,5,0)</f>
        <v>301.39199999999926</v>
      </c>
      <c r="DQ132" s="14">
        <f t="shared" si="97"/>
        <v>71.46820147422909</v>
      </c>
      <c r="DR132" s="22">
        <f t="shared" ref="DR132:DR153" si="124">(DP132+DQ132)*0.475*44/12</f>
        <v>649.39818423428108</v>
      </c>
      <c r="DS132" s="62">
        <f t="shared" ref="DS132:DS195" si="125">DR132+(DJ132+DK132)*44/12</f>
        <v>942.73151756761445</v>
      </c>
      <c r="DT132" s="62">
        <f ca="1">AVERAGE(OFFSET($DS$3,0,0,'Données projet'!$E$14+1,1))-AVERAGE(OFFSET($H$3,0,0,'Données projet'!$E$14+1,1))</f>
        <v>503.92230226365683</v>
      </c>
      <c r="DU132" s="62">
        <f t="shared" si="98"/>
        <v>267.2998309535638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3</v>
      </c>
      <c r="EJ132" s="13">
        <f>IF('Données projet'!$A$192&gt;35,EJ131+EI132-ER131,IF(A132&lt;'Données projet'!$A$192,$EG$205^A132,IF(A132='Données projet'!$A$192,'Données projet'!$B$192,EJ131+EI132-ER131)))</f>
        <v>279.99999999999932</v>
      </c>
      <c r="EK132" s="18">
        <f>EJ132*VLOOKUP('Données projet'!$B$15,Paramètres!$A$1:$I$89,3,0)*VLOOKUP('Données projet'!$B$15,Paramètres!$A$1:$I$89,5,0)</f>
        <v>270.81599999999935</v>
      </c>
      <c r="EL132" s="14">
        <f t="shared" si="99"/>
        <v>65.02241465603214</v>
      </c>
      <c r="EM132" s="22">
        <f t="shared" ref="EM132:EM153" si="127">(EK132+EL132)*0.475*44/12</f>
        <v>584.91857219258816</v>
      </c>
      <c r="EN132" s="62">
        <f t="shared" ref="EN132:EN195" si="128">EM132+(EE132+EF132)*44/12</f>
        <v>878.25190552592153</v>
      </c>
      <c r="EO132" s="62">
        <f ca="1">AVERAGE(OFFSET($EN$3,0,0,'Données projet'!$E$15+1,1))-AVERAGE(OFFSET($H$3,0,0,'Données projet'!$E$15+1,1))</f>
        <v>457.16923206840744</v>
      </c>
      <c r="EP132" s="62">
        <f t="shared" si="100"/>
        <v>244.45149244446094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3.979039320256561E-13</v>
      </c>
      <c r="FF132" s="18">
        <f>FE132*VLOOKUP('Données projet'!$B$16,Paramètres!$A$1:$I$89,3,0)*VLOOKUP('Données projet'!$B$16,Paramètres!$A$1:$I$89,5,0)</f>
        <v>2.669139576028101E-13</v>
      </c>
      <c r="FG132" s="14">
        <f t="shared" si="101"/>
        <v>3.5767923834585247E-12</v>
      </c>
      <c r="FH132" s="22">
        <f t="shared" ref="FH132:FH153" si="130">(FF132+FG132)*0.475*44/12</f>
        <v>6.6944552106818241E-12</v>
      </c>
      <c r="FI132" s="62">
        <f t="shared" ref="FI132:FI195" si="131">FH132+(EZ132+FA132)*44/12</f>
        <v>293.33333333334002</v>
      </c>
      <c r="FJ132" s="62">
        <f ca="1">AVERAGE(OFFSET($FI$3,0,0,'Données projet'!$E$16+1,1))-AVERAGE(OFFSET($H$3,0,0,'Données projet'!$E$16+1,1))</f>
        <v>385.97853124853452</v>
      </c>
      <c r="FK132" s="62">
        <f t="shared" si="102"/>
        <v>300.99118099739695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132.280299502248</v>
      </c>
      <c r="T133" s="62">
        <f t="shared" ref="T133:T196" si="142">$T$3</f>
        <v>337.98099449405339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8.6466286409067799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1.6349467406205679E-15</v>
      </c>
      <c r="AC133" s="24">
        <f t="shared" si="111"/>
        <v>8.6466286409067816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3</v>
      </c>
      <c r="AI133" s="14">
        <f>IF('Données projet'!$A$62&gt;35,AI132+AH133-AQ132,IF(A133&lt;'Données projet'!$A$62,$AF$205^A133,IF(A133='Données projet'!$A$62,'Données projet'!$B$62,AI132+AH133-AQ132)))</f>
        <v>282.99999999999932</v>
      </c>
      <c r="AJ133" s="14">
        <f>AI133*VLOOKUP('Données projet'!$B$10,Paramètres!$A$1:$I$89,3,0)*VLOOKUP('Données projet'!$B$10,Paramètres!$A$1:$I$89,5,0)</f>
        <v>256.05839999999938</v>
      </c>
      <c r="AK133" s="14">
        <f t="shared" ref="AK133:AK153" si="143">EXP(-1.0587+0.8836*LN(AJ133)+0.284)</f>
        <v>61.88144259425632</v>
      </c>
      <c r="AL133" s="22">
        <f t="shared" si="112"/>
        <v>553.74522585166198</v>
      </c>
      <c r="AM133" s="62">
        <f t="shared" si="113"/>
        <v>847.07855918499536</v>
      </c>
      <c r="AN133" s="62">
        <f ca="1">AVERAGE(OFFSET($AM$3,0,0,'Données projet'!$E$10+1,1))-AVERAGE(OFFSET($H$3,0,0,'Données projet'!$E$10+1,1))</f>
        <v>430.40491895612814</v>
      </c>
      <c r="AO133" s="62">
        <f t="shared" ref="AO133:AO196" si="144">$AO$3</f>
        <v>231.36959598460686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1.1368683772161603E-13</v>
      </c>
      <c r="BE133" s="14">
        <f>BD133*VLOOKUP('Données projet'!$B$11,Paramètres!$A$1:$I$89,3,0)*VLOOKUP('Données projet'!$B$11,Paramètres!$A$1:$I$89,5,0)</f>
        <v>6.7984728957526396E-14</v>
      </c>
      <c r="BF133" s="14">
        <f t="shared" ref="BF133:BF153" si="145">EXP(-1.0587+0.8836*LN(BE133)+0.284)</f>
        <v>1.0682447123141398E-12</v>
      </c>
      <c r="BG133" s="22">
        <f t="shared" si="115"/>
        <v>1.978932943548152E-12</v>
      </c>
      <c r="BH133" s="62">
        <f t="shared" si="116"/>
        <v>293.3333333333353</v>
      </c>
      <c r="BI133" s="62">
        <f ca="1">AVERAGE(OFFSET($BH$3,0,0,'Données projet'!$E$11+1,1))-AVERAGE(OFFSET($H$3,0,0,'Données projet'!$E$11+1,1))</f>
        <v>295.83974441964551</v>
      </c>
      <c r="BJ133" s="62">
        <f t="shared" ref="BJ133:BJ196" si="146">$BJ$3</f>
        <v>212.24900914818096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-5.6843418860808015E-14</v>
      </c>
      <c r="BZ133" s="14">
        <f>BY133*VLOOKUP('Données projet'!$B$12,Paramètres!$A$1:$I$89,3,0)*VLOOKUP('Données projet'!$B$12,Paramètres!$A$1:$I$89,5,0)</f>
        <v>-3.2514435588382188E-14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309.71642374647882</v>
      </c>
      <c r="CE133" s="62">
        <f t="shared" ref="CE133:CE196" si="148">$CE$3</f>
        <v>266.63880397664315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0.15305095880809183</v>
      </c>
      <c r="CM133" s="23">
        <f>EXP(-LN(2)/2)*CM132+(1-EXP(-LN(2)/2))/(LN(2)/2)*CG133*CJ133*VLOOKUP('Données projet'!$B$12,Paramètres!$A$1:$I$89,3,0)*0.475*44/12</f>
        <v>7.0664984394793741E-15</v>
      </c>
      <c r="CN133" s="24">
        <f t="shared" si="120"/>
        <v>0.15305095880809891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-1.7053025658242404E-13</v>
      </c>
      <c r="CU133" s="18">
        <f>CT133*VLOOKUP('Données projet'!$B$13,Paramètres!$A$1:$I$89,3,0)*VLOOKUP('Données projet'!$B$13,Paramètres!$A$1:$I$89,5,0)</f>
        <v>-1.3567387213697657E-13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312.53381881960331</v>
      </c>
      <c r="CZ133" s="62">
        <f t="shared" ref="CZ133:CZ196" si="150">$CZ$3</f>
        <v>342.06887933351783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3</v>
      </c>
      <c r="DO133" s="13">
        <f>IF('Données projet'!$A$166&gt;35,DO132+DN133-DW132,IF(A133&lt;'Données projet'!$A$166,$DL$205^A133,IF(A133='Données projet'!$A$166,'Données projet'!$B$166,DO132+DN133-DW132)))</f>
        <v>282.99999999999932</v>
      </c>
      <c r="DP133" s="18">
        <f>DO133*VLOOKUP('Données projet'!$B$14,Paramètres!$A$1:$I$89,3,0)*VLOOKUP('Données projet'!$B$14,Paramètres!$A$1:$I$89,5,0)</f>
        <v>304.62119999999925</v>
      </c>
      <c r="DQ133" s="14">
        <f t="shared" ref="DQ133:DQ153" si="151">EXP(-1.0587+0.8836*LN(DP133)+0.284)</f>
        <v>72.144380911839278</v>
      </c>
      <c r="DR133" s="22">
        <f t="shared" si="124"/>
        <v>656.20005342145203</v>
      </c>
      <c r="DS133" s="62">
        <f t="shared" si="125"/>
        <v>949.5333867547854</v>
      </c>
      <c r="DT133" s="62">
        <f ca="1">AVERAGE(OFFSET($DS$3,0,0,'Données projet'!$E$14+1,1))-AVERAGE(OFFSET($H$3,0,0,'Données projet'!$E$14+1,1))</f>
        <v>503.92230226365683</v>
      </c>
      <c r="DU133" s="62">
        <f t="shared" ref="DU133:DU196" si="152">$DU$3</f>
        <v>267.2998309535638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3</v>
      </c>
      <c r="EJ133" s="13">
        <f>IF('Données projet'!$A$192&gt;35,EJ132+EI133-ER132,IF(A133&lt;'Données projet'!$A$192,$EG$205^A133,IF(A133='Données projet'!$A$192,'Données projet'!$B$192,EJ132+EI133-ER132)))</f>
        <v>282.99999999999932</v>
      </c>
      <c r="EK133" s="18">
        <f>EJ133*VLOOKUP('Données projet'!$B$15,Paramètres!$A$1:$I$89,3,0)*VLOOKUP('Données projet'!$B$15,Paramètres!$A$1:$I$89,5,0)</f>
        <v>273.71759999999938</v>
      </c>
      <c r="EL133" s="14">
        <f t="shared" ref="EL133:EL153" si="153">EXP(-1.0587+0.8836*LN(EK133)+0.284)</f>
        <v>65.637608810456555</v>
      </c>
      <c r="EM133" s="22">
        <f t="shared" si="127"/>
        <v>591.04365534487738</v>
      </c>
      <c r="EN133" s="62">
        <f t="shared" si="128"/>
        <v>884.37698867821064</v>
      </c>
      <c r="EO133" s="62">
        <f ca="1">AVERAGE(OFFSET($EN$3,0,0,'Données projet'!$E$15+1,1))-AVERAGE(OFFSET($H$3,0,0,'Données projet'!$E$15+1,1))</f>
        <v>457.16923206840744</v>
      </c>
      <c r="EP133" s="62">
        <f t="shared" ref="EP133:EP196" si="154">$EP$3</f>
        <v>244.45149244446094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3.979039320256561E-13</v>
      </c>
      <c r="FF133" s="18">
        <f>FE133*VLOOKUP('Données projet'!$B$16,Paramètres!$A$1:$I$89,3,0)*VLOOKUP('Données projet'!$B$16,Paramètres!$A$1:$I$89,5,0)</f>
        <v>2.669139576028101E-13</v>
      </c>
      <c r="FG133" s="14">
        <f t="shared" ref="FG133:FG153" si="155">EXP(-1.0587+0.8836*LN(FF133)+0.284)</f>
        <v>3.5767923834585247E-12</v>
      </c>
      <c r="FH133" s="22">
        <f t="shared" si="130"/>
        <v>6.6944552106818241E-12</v>
      </c>
      <c r="FI133" s="62">
        <f t="shared" si="131"/>
        <v>293.33333333334002</v>
      </c>
      <c r="FJ133" s="62">
        <f ca="1">AVERAGE(OFFSET($FI$3,0,0,'Données projet'!$E$16+1,1))-AVERAGE(OFFSET($H$3,0,0,'Données projet'!$E$16+1,1))</f>
        <v>385.97853124853452</v>
      </c>
      <c r="FK133" s="62">
        <f t="shared" ref="FK133:FK196" si="156">$FK$3</f>
        <v>300.99118099739695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132.280299502248</v>
      </c>
      <c r="T134" s="62">
        <f t="shared" si="142"/>
        <v>337.98099449405339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8.4770735271813127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1.156081927171647E-15</v>
      </c>
      <c r="AC134" s="24">
        <f t="shared" si="111"/>
        <v>8.4770735271813145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3</v>
      </c>
      <c r="AI134" s="14">
        <f>IF('Données projet'!$A$62&gt;35,AI133+AH134-AQ133,IF(A134&lt;'Données projet'!$A$62,$AF$205^A134,IF(A134='Données projet'!$A$62,'Données projet'!$B$62,AI133+AH134-AQ133)))</f>
        <v>285.99999999999932</v>
      </c>
      <c r="AJ134" s="14">
        <f>AI134*VLOOKUP('Données projet'!$B$10,Paramètres!$A$1:$I$89,3,0)*VLOOKUP('Données projet'!$B$10,Paramètres!$A$1:$I$89,5,0)</f>
        <v>258.77279999999939</v>
      </c>
      <c r="AK134" s="14">
        <f t="shared" si="143"/>
        <v>62.460716522234527</v>
      </c>
      <c r="AL134" s="22">
        <f t="shared" si="112"/>
        <v>559.48170794289069</v>
      </c>
      <c r="AM134" s="62">
        <f t="shared" si="113"/>
        <v>852.81504127622406</v>
      </c>
      <c r="AN134" s="62">
        <f ca="1">AVERAGE(OFFSET($AM$3,0,0,'Données projet'!$E$10+1,1))-AVERAGE(OFFSET($H$3,0,0,'Données projet'!$E$10+1,1))</f>
        <v>430.40491895612814</v>
      </c>
      <c r="AO134" s="62">
        <f t="shared" si="144"/>
        <v>231.36959598460686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1.1368683772161603E-13</v>
      </c>
      <c r="BE134" s="14">
        <f>BD134*VLOOKUP('Données projet'!$B$11,Paramètres!$A$1:$I$89,3,0)*VLOOKUP('Données projet'!$B$11,Paramètres!$A$1:$I$89,5,0)</f>
        <v>6.7984728957526396E-14</v>
      </c>
      <c r="BF134" s="14">
        <f t="shared" si="145"/>
        <v>1.0682447123141398E-12</v>
      </c>
      <c r="BG134" s="22">
        <f t="shared" si="115"/>
        <v>1.978932943548152E-12</v>
      </c>
      <c r="BH134" s="62">
        <f t="shared" si="116"/>
        <v>293.3333333333353</v>
      </c>
      <c r="BI134" s="62">
        <f ca="1">AVERAGE(OFFSET($BH$3,0,0,'Données projet'!$E$11+1,1))-AVERAGE(OFFSET($H$3,0,0,'Données projet'!$E$11+1,1))</f>
        <v>295.83974441964551</v>
      </c>
      <c r="BJ134" s="62">
        <f t="shared" si="146"/>
        <v>212.24900914818096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-5.6843418860808015E-14</v>
      </c>
      <c r="BZ134" s="14">
        <f>BY134*VLOOKUP('Données projet'!$B$12,Paramètres!$A$1:$I$89,3,0)*VLOOKUP('Données projet'!$B$12,Paramètres!$A$1:$I$89,5,0)</f>
        <v>-3.2514435588382188E-14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309.71642374647882</v>
      </c>
      <c r="CE134" s="62">
        <f t="shared" si="148"/>
        <v>266.63880397664315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0.14886577229088443</v>
      </c>
      <c r="CM134" s="23">
        <f>EXP(-LN(2)/2)*CM133+(1-EXP(-LN(2)/2))/(LN(2)/2)*CG134*CJ134*VLOOKUP('Données projet'!$B$12,Paramètres!$A$1:$I$89,3,0)*0.475*44/12</f>
        <v>4.996768965800022E-15</v>
      </c>
      <c r="CN134" s="24">
        <f t="shared" si="120"/>
        <v>0.14886577229088943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-1.7053025658242404E-13</v>
      </c>
      <c r="CU134" s="18">
        <f>CT134*VLOOKUP('Données projet'!$B$13,Paramètres!$A$1:$I$89,3,0)*VLOOKUP('Données projet'!$B$13,Paramètres!$A$1:$I$89,5,0)</f>
        <v>-1.3567387213697657E-13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312.53381881960331</v>
      </c>
      <c r="CZ134" s="62">
        <f t="shared" si="150"/>
        <v>342.06887933351783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3</v>
      </c>
      <c r="DO134" s="13">
        <f>IF('Données projet'!$A$166&gt;35,DO133+DN134-DW133,IF(A134&lt;'Données projet'!$A$166,$DL$205^A134,IF(A134='Données projet'!$A$166,'Données projet'!$B$166,DO133+DN134-DW133)))</f>
        <v>285.99999999999932</v>
      </c>
      <c r="DP134" s="18">
        <f>DO134*VLOOKUP('Données projet'!$B$14,Paramètres!$A$1:$I$89,3,0)*VLOOKUP('Données projet'!$B$14,Paramètres!$A$1:$I$89,5,0)</f>
        <v>307.85039999999924</v>
      </c>
      <c r="DQ134" s="14">
        <f t="shared" si="151"/>
        <v>72.819726494623595</v>
      </c>
      <c r="DR134" s="22">
        <f t="shared" si="124"/>
        <v>663.00047031146812</v>
      </c>
      <c r="DS134" s="62">
        <f t="shared" si="125"/>
        <v>956.33380364480149</v>
      </c>
      <c r="DT134" s="62">
        <f ca="1">AVERAGE(OFFSET($DS$3,0,0,'Données projet'!$E$14+1,1))-AVERAGE(OFFSET($H$3,0,0,'Données projet'!$E$14+1,1))</f>
        <v>503.92230226365683</v>
      </c>
      <c r="DU134" s="62">
        <f t="shared" si="152"/>
        <v>267.2998309535638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3</v>
      </c>
      <c r="EJ134" s="13">
        <f>IF('Données projet'!$A$192&gt;35,EJ133+EI134-ER133,IF(A134&lt;'Données projet'!$A$192,$EG$205^A134,IF(A134='Données projet'!$A$192,'Données projet'!$B$192,EJ133+EI134-ER133)))</f>
        <v>285.99999999999932</v>
      </c>
      <c r="EK134" s="18">
        <f>EJ134*VLOOKUP('Données projet'!$B$15,Paramètres!$A$1:$I$89,3,0)*VLOOKUP('Données projet'!$B$15,Paramètres!$A$1:$I$89,5,0)</f>
        <v>276.61919999999935</v>
      </c>
      <c r="EL134" s="14">
        <f t="shared" si="153"/>
        <v>66.252044316235398</v>
      </c>
      <c r="EM134" s="22">
        <f t="shared" si="127"/>
        <v>597.16741718410879</v>
      </c>
      <c r="EN134" s="62">
        <f t="shared" si="128"/>
        <v>890.50075051744216</v>
      </c>
      <c r="EO134" s="62">
        <f ca="1">AVERAGE(OFFSET($EN$3,0,0,'Données projet'!$E$15+1,1))-AVERAGE(OFFSET($H$3,0,0,'Données projet'!$E$15+1,1))</f>
        <v>457.16923206840744</v>
      </c>
      <c r="EP134" s="62">
        <f t="shared" si="154"/>
        <v>244.45149244446094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3.979039320256561E-13</v>
      </c>
      <c r="FF134" s="18">
        <f>FE134*VLOOKUP('Données projet'!$B$16,Paramètres!$A$1:$I$89,3,0)*VLOOKUP('Données projet'!$B$16,Paramètres!$A$1:$I$89,5,0)</f>
        <v>2.669139576028101E-13</v>
      </c>
      <c r="FG134" s="14">
        <f t="shared" si="155"/>
        <v>3.5767923834585247E-12</v>
      </c>
      <c r="FH134" s="22">
        <f t="shared" si="130"/>
        <v>6.6944552106818241E-12</v>
      </c>
      <c r="FI134" s="62">
        <f t="shared" si="131"/>
        <v>293.33333333334002</v>
      </c>
      <c r="FJ134" s="62">
        <f ca="1">AVERAGE(OFFSET($FI$3,0,0,'Données projet'!$E$16+1,1))-AVERAGE(OFFSET($H$3,0,0,'Données projet'!$E$16+1,1))</f>
        <v>385.97853124853452</v>
      </c>
      <c r="FK134" s="62">
        <f t="shared" si="156"/>
        <v>300.99118099739695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132.280299502248</v>
      </c>
      <c r="T135" s="62">
        <f t="shared" si="142"/>
        <v>337.98099449405339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8.3108432858175938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8.1747337031028397E-16</v>
      </c>
      <c r="AC135" s="24">
        <f t="shared" si="111"/>
        <v>8.3108432858175938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3</v>
      </c>
      <c r="AI135" s="14">
        <f>IF('Données projet'!$A$62&gt;35,AI134+AH135-AQ134,IF(A135&lt;'Données projet'!$A$62,$AF$205^A135,IF(A135='Données projet'!$A$62,'Données projet'!$B$62,AI134+AH135-AQ134)))</f>
        <v>288.99999999999932</v>
      </c>
      <c r="AJ135" s="14">
        <f>AI135*VLOOKUP('Données projet'!$B$10,Paramètres!$A$1:$I$89,3,0)*VLOOKUP('Données projet'!$B$10,Paramètres!$A$1:$I$89,5,0)</f>
        <v>261.4871999999994</v>
      </c>
      <c r="AK135" s="14">
        <f t="shared" si="143"/>
        <v>63.03928358680222</v>
      </c>
      <c r="AL135" s="22">
        <f t="shared" si="112"/>
        <v>565.21695891367949</v>
      </c>
      <c r="AM135" s="62">
        <f t="shared" si="113"/>
        <v>858.55029224701275</v>
      </c>
      <c r="AN135" s="62">
        <f ca="1">AVERAGE(OFFSET($AM$3,0,0,'Données projet'!$E$10+1,1))-AVERAGE(OFFSET($H$3,0,0,'Données projet'!$E$10+1,1))</f>
        <v>430.40491895612814</v>
      </c>
      <c r="AO135" s="62">
        <f t="shared" si="144"/>
        <v>231.36959598460686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1.1368683772161603E-13</v>
      </c>
      <c r="BE135" s="14">
        <f>BD135*VLOOKUP('Données projet'!$B$11,Paramètres!$A$1:$I$89,3,0)*VLOOKUP('Données projet'!$B$11,Paramètres!$A$1:$I$89,5,0)</f>
        <v>6.7984728957526396E-14</v>
      </c>
      <c r="BF135" s="14">
        <f t="shared" si="145"/>
        <v>1.0682447123141398E-12</v>
      </c>
      <c r="BG135" s="22">
        <f t="shared" si="115"/>
        <v>1.978932943548152E-12</v>
      </c>
      <c r="BH135" s="62">
        <f t="shared" si="116"/>
        <v>293.3333333333353</v>
      </c>
      <c r="BI135" s="62">
        <f ca="1">AVERAGE(OFFSET($BH$3,0,0,'Données projet'!$E$11+1,1))-AVERAGE(OFFSET($H$3,0,0,'Données projet'!$E$11+1,1))</f>
        <v>295.83974441964551</v>
      </c>
      <c r="BJ135" s="62">
        <f t="shared" si="146"/>
        <v>212.24900914818096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-5.6843418860808015E-14</v>
      </c>
      <c r="BZ135" s="14">
        <f>BY135*VLOOKUP('Données projet'!$B$12,Paramètres!$A$1:$I$89,3,0)*VLOOKUP('Données projet'!$B$12,Paramètres!$A$1:$I$89,5,0)</f>
        <v>-3.2514435588382188E-14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309.71642374647882</v>
      </c>
      <c r="CE135" s="62">
        <f t="shared" si="148"/>
        <v>266.63880397664315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0.14479502991907947</v>
      </c>
      <c r="CM135" s="23">
        <f>EXP(-LN(2)/2)*CM134+(1-EXP(-LN(2)/2))/(LN(2)/2)*CG135*CJ135*VLOOKUP('Données projet'!$B$12,Paramètres!$A$1:$I$89,3,0)*0.475*44/12</f>
        <v>3.5332492197396878E-15</v>
      </c>
      <c r="CN135" s="24">
        <f t="shared" si="120"/>
        <v>0.144795029919083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-1.7053025658242404E-13</v>
      </c>
      <c r="CU135" s="18">
        <f>CT135*VLOOKUP('Données projet'!$B$13,Paramètres!$A$1:$I$89,3,0)*VLOOKUP('Données projet'!$B$13,Paramètres!$A$1:$I$89,5,0)</f>
        <v>-1.3567387213697657E-13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312.53381881960331</v>
      </c>
      <c r="CZ135" s="62">
        <f t="shared" si="150"/>
        <v>342.06887933351783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3</v>
      </c>
      <c r="DO135" s="13">
        <f>IF('Données projet'!$A$166&gt;35,DO134+DN135-DW134,IF(A135&lt;'Données projet'!$A$166,$DL$205^A135,IF(A135='Données projet'!$A$166,'Données projet'!$B$166,DO134+DN135-DW134)))</f>
        <v>288.99999999999932</v>
      </c>
      <c r="DP135" s="18">
        <f>DO135*VLOOKUP('Données projet'!$B$14,Paramètres!$A$1:$I$89,3,0)*VLOOKUP('Données projet'!$B$14,Paramètres!$A$1:$I$89,5,0)</f>
        <v>311.07959999999923</v>
      </c>
      <c r="DQ135" s="14">
        <f t="shared" si="151"/>
        <v>73.494247981831052</v>
      </c>
      <c r="DR135" s="22">
        <f t="shared" si="124"/>
        <v>669.79945190168769</v>
      </c>
      <c r="DS135" s="62">
        <f t="shared" si="125"/>
        <v>963.13278523502095</v>
      </c>
      <c r="DT135" s="62">
        <f ca="1">AVERAGE(OFFSET($DS$3,0,0,'Données projet'!$E$14+1,1))-AVERAGE(OFFSET($H$3,0,0,'Données projet'!$E$14+1,1))</f>
        <v>503.92230226365683</v>
      </c>
      <c r="DU135" s="62">
        <f t="shared" si="152"/>
        <v>267.2998309535638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3</v>
      </c>
      <c r="EJ135" s="13">
        <f>IF('Données projet'!$A$192&gt;35,EJ134+EI135-ER134,IF(A135&lt;'Données projet'!$A$192,$EG$205^A135,IF(A135='Données projet'!$A$192,'Données projet'!$B$192,EJ134+EI135-ER134)))</f>
        <v>288.99999999999932</v>
      </c>
      <c r="EK135" s="18">
        <f>EJ135*VLOOKUP('Données projet'!$B$15,Paramètres!$A$1:$I$89,3,0)*VLOOKUP('Données projet'!$B$15,Paramètres!$A$1:$I$89,5,0)</f>
        <v>279.52079999999938</v>
      </c>
      <c r="EL135" s="14">
        <f t="shared" si="153"/>
        <v>66.865730052421469</v>
      </c>
      <c r="EM135" s="22">
        <f t="shared" si="127"/>
        <v>603.28987317463304</v>
      </c>
      <c r="EN135" s="62">
        <f t="shared" si="128"/>
        <v>896.62320650796642</v>
      </c>
      <c r="EO135" s="62">
        <f ca="1">AVERAGE(OFFSET($EN$3,0,0,'Données projet'!$E$15+1,1))-AVERAGE(OFFSET($H$3,0,0,'Données projet'!$E$15+1,1))</f>
        <v>457.16923206840744</v>
      </c>
      <c r="EP135" s="62">
        <f t="shared" si="154"/>
        <v>244.45149244446094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3.979039320256561E-13</v>
      </c>
      <c r="FF135" s="18">
        <f>FE135*VLOOKUP('Données projet'!$B$16,Paramètres!$A$1:$I$89,3,0)*VLOOKUP('Données projet'!$B$16,Paramètres!$A$1:$I$89,5,0)</f>
        <v>2.669139576028101E-13</v>
      </c>
      <c r="FG135" s="14">
        <f t="shared" si="155"/>
        <v>3.5767923834585247E-12</v>
      </c>
      <c r="FH135" s="22">
        <f t="shared" si="130"/>
        <v>6.6944552106818241E-12</v>
      </c>
      <c r="FI135" s="62">
        <f t="shared" si="131"/>
        <v>293.33333333334002</v>
      </c>
      <c r="FJ135" s="62">
        <f ca="1">AVERAGE(OFFSET($FI$3,0,0,'Données projet'!$E$16+1,1))-AVERAGE(OFFSET($H$3,0,0,'Données projet'!$E$16+1,1))</f>
        <v>385.97853124853452</v>
      </c>
      <c r="FK135" s="62">
        <f t="shared" si="156"/>
        <v>300.99118099739695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132.280299502248</v>
      </c>
      <c r="T136" s="62">
        <f t="shared" si="142"/>
        <v>337.98099449405339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8.1478727180965809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5.780409635858235E-16</v>
      </c>
      <c r="AC136" s="24">
        <f t="shared" si="111"/>
        <v>8.1478727180965809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3</v>
      </c>
      <c r="AI136" s="14">
        <f>IF('Données projet'!$A$62&gt;35,AI135+AH136-AQ135,IF(A136&lt;'Données projet'!$A$62,$AF$205^A136,IF(A136='Données projet'!$A$62,'Données projet'!$B$62,AI135+AH136-AQ135)))</f>
        <v>291.99999999999932</v>
      </c>
      <c r="AJ136" s="14">
        <f>AI136*VLOOKUP('Données projet'!$B$10,Paramètres!$A$1:$I$89,3,0)*VLOOKUP('Données projet'!$B$10,Paramètres!$A$1:$I$89,5,0)</f>
        <v>264.20159999999936</v>
      </c>
      <c r="AK136" s="14">
        <f t="shared" si="143"/>
        <v>63.617151975096597</v>
      </c>
      <c r="AL136" s="22">
        <f t="shared" si="112"/>
        <v>570.95099302329209</v>
      </c>
      <c r="AM136" s="62">
        <f t="shared" si="113"/>
        <v>864.28432635662534</v>
      </c>
      <c r="AN136" s="62">
        <f ca="1">AVERAGE(OFFSET($AM$3,0,0,'Données projet'!$E$10+1,1))-AVERAGE(OFFSET($H$3,0,0,'Données projet'!$E$10+1,1))</f>
        <v>430.40491895612814</v>
      </c>
      <c r="AO136" s="62">
        <f t="shared" si="144"/>
        <v>231.36959598460686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1.1368683772161603E-13</v>
      </c>
      <c r="BE136" s="14">
        <f>BD136*VLOOKUP('Données projet'!$B$11,Paramètres!$A$1:$I$89,3,0)*VLOOKUP('Données projet'!$B$11,Paramètres!$A$1:$I$89,5,0)</f>
        <v>6.7984728957526396E-14</v>
      </c>
      <c r="BF136" s="14">
        <f t="shared" si="145"/>
        <v>1.0682447123141398E-12</v>
      </c>
      <c r="BG136" s="22">
        <f t="shared" si="115"/>
        <v>1.978932943548152E-12</v>
      </c>
      <c r="BH136" s="62">
        <f t="shared" si="116"/>
        <v>293.3333333333353</v>
      </c>
      <c r="BI136" s="62">
        <f ca="1">AVERAGE(OFFSET($BH$3,0,0,'Données projet'!$E$11+1,1))-AVERAGE(OFFSET($H$3,0,0,'Données projet'!$E$11+1,1))</f>
        <v>295.83974441964551</v>
      </c>
      <c r="BJ136" s="62">
        <f t="shared" si="146"/>
        <v>212.24900914818096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-5.6843418860808015E-14</v>
      </c>
      <c r="BZ136" s="14">
        <f>BY136*VLOOKUP('Données projet'!$B$12,Paramètres!$A$1:$I$89,3,0)*VLOOKUP('Données projet'!$B$12,Paramètres!$A$1:$I$89,5,0)</f>
        <v>-3.2514435588382188E-14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309.71642374647882</v>
      </c>
      <c r="CE136" s="62">
        <f t="shared" si="148"/>
        <v>266.63880397664315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0.14083560221150254</v>
      </c>
      <c r="CM136" s="23">
        <f>EXP(-LN(2)/2)*CM135+(1-EXP(-LN(2)/2))/(LN(2)/2)*CG136*CJ136*VLOOKUP('Données projet'!$B$12,Paramètres!$A$1:$I$89,3,0)*0.475*44/12</f>
        <v>2.4983844829000114E-15</v>
      </c>
      <c r="CN136" s="24">
        <f t="shared" si="120"/>
        <v>0.14083560221150504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-1.7053025658242404E-13</v>
      </c>
      <c r="CU136" s="18">
        <f>CT136*VLOOKUP('Données projet'!$B$13,Paramètres!$A$1:$I$89,3,0)*VLOOKUP('Données projet'!$B$13,Paramètres!$A$1:$I$89,5,0)</f>
        <v>-1.3567387213697657E-13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312.53381881960331</v>
      </c>
      <c r="CZ136" s="62">
        <f t="shared" si="150"/>
        <v>342.06887933351783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3</v>
      </c>
      <c r="DO136" s="13">
        <f>IF('Données projet'!$A$166&gt;35,DO135+DN136-DW135,IF(A136&lt;'Données projet'!$A$166,$DL$205^A136,IF(A136='Données projet'!$A$166,'Données projet'!$B$166,DO135+DN136-DW135)))</f>
        <v>291.99999999999932</v>
      </c>
      <c r="DP136" s="18">
        <f>DO136*VLOOKUP('Données projet'!$B$14,Paramètres!$A$1:$I$89,3,0)*VLOOKUP('Données projet'!$B$14,Paramètres!$A$1:$I$89,5,0)</f>
        <v>314.30879999999922</v>
      </c>
      <c r="DQ136" s="14">
        <f t="shared" si="151"/>
        <v>74.16795491842224</v>
      </c>
      <c r="DR136" s="22">
        <f t="shared" si="124"/>
        <v>676.59701481625063</v>
      </c>
      <c r="DS136" s="62">
        <f t="shared" si="125"/>
        <v>969.93034814958401</v>
      </c>
      <c r="DT136" s="62">
        <f ca="1">AVERAGE(OFFSET($DS$3,0,0,'Données projet'!$E$14+1,1))-AVERAGE(OFFSET($H$3,0,0,'Données projet'!$E$14+1,1))</f>
        <v>503.92230226365683</v>
      </c>
      <c r="DU136" s="62">
        <f t="shared" si="152"/>
        <v>267.2998309535638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3</v>
      </c>
      <c r="EJ136" s="13">
        <f>IF('Données projet'!$A$192&gt;35,EJ135+EI136-ER135,IF(A136&lt;'Données projet'!$A$192,$EG$205^A136,IF(A136='Données projet'!$A$192,'Données projet'!$B$192,EJ135+EI136-ER135)))</f>
        <v>291.99999999999932</v>
      </c>
      <c r="EK136" s="18">
        <f>EJ136*VLOOKUP('Données projet'!$B$15,Paramètres!$A$1:$I$89,3,0)*VLOOKUP('Données projet'!$B$15,Paramètres!$A$1:$I$89,5,0)</f>
        <v>282.42239999999936</v>
      </c>
      <c r="EL136" s="14">
        <f t="shared" si="153"/>
        <v>67.478674703106051</v>
      </c>
      <c r="EM136" s="22">
        <f t="shared" si="127"/>
        <v>609.41103844124189</v>
      </c>
      <c r="EN136" s="62">
        <f t="shared" si="128"/>
        <v>902.74437177457526</v>
      </c>
      <c r="EO136" s="62">
        <f ca="1">AVERAGE(OFFSET($EN$3,0,0,'Données projet'!$E$15+1,1))-AVERAGE(OFFSET($H$3,0,0,'Données projet'!$E$15+1,1))</f>
        <v>457.16923206840744</v>
      </c>
      <c r="EP136" s="62">
        <f t="shared" si="154"/>
        <v>244.45149244446094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3.979039320256561E-13</v>
      </c>
      <c r="FF136" s="18">
        <f>FE136*VLOOKUP('Données projet'!$B$16,Paramètres!$A$1:$I$89,3,0)*VLOOKUP('Données projet'!$B$16,Paramètres!$A$1:$I$89,5,0)</f>
        <v>2.669139576028101E-13</v>
      </c>
      <c r="FG136" s="14">
        <f t="shared" si="155"/>
        <v>3.5767923834585247E-12</v>
      </c>
      <c r="FH136" s="22">
        <f t="shared" si="130"/>
        <v>6.6944552106818241E-12</v>
      </c>
      <c r="FI136" s="62">
        <f t="shared" si="131"/>
        <v>293.33333333334002</v>
      </c>
      <c r="FJ136" s="62">
        <f ca="1">AVERAGE(OFFSET($FI$3,0,0,'Données projet'!$E$16+1,1))-AVERAGE(OFFSET($H$3,0,0,'Données projet'!$E$16+1,1))</f>
        <v>385.97853124853452</v>
      </c>
      <c r="FK136" s="62">
        <f t="shared" si="156"/>
        <v>300.99118099739695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132.280299502248</v>
      </c>
      <c r="T137" s="62">
        <f t="shared" si="142"/>
        <v>337.98099449405339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7.9880979038063469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4.0873668515514199E-16</v>
      </c>
      <c r="AC137" s="24">
        <f t="shared" si="111"/>
        <v>7.9880979038063469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3</v>
      </c>
      <c r="AI137" s="14">
        <f>IF('Données projet'!$A$62&gt;35,AI136+AH137-AQ136,IF(A137&lt;'Données projet'!$A$62,$AF$205^A137,IF(A137='Données projet'!$A$62,'Données projet'!$B$62,AI136+AH137-AQ136)))</f>
        <v>294.99999999999932</v>
      </c>
      <c r="AJ137" s="14">
        <f>AI137*VLOOKUP('Données projet'!$B$10,Paramètres!$A$1:$I$89,3,0)*VLOOKUP('Données projet'!$B$10,Paramètres!$A$1:$I$89,5,0)</f>
        <v>266.91599999999937</v>
      </c>
      <c r="AK137" s="14">
        <f t="shared" si="143"/>
        <v>64.194329696332005</v>
      </c>
      <c r="AL137" s="22">
        <f t="shared" si="112"/>
        <v>576.68382422111051</v>
      </c>
      <c r="AM137" s="62">
        <f t="shared" si="113"/>
        <v>870.01715755444388</v>
      </c>
      <c r="AN137" s="62">
        <f ca="1">AVERAGE(OFFSET($AM$3,0,0,'Données projet'!$E$10+1,1))-AVERAGE(OFFSET($H$3,0,0,'Données projet'!$E$10+1,1))</f>
        <v>430.40491895612814</v>
      </c>
      <c r="AO137" s="62">
        <f t="shared" si="144"/>
        <v>231.36959598460686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1.1368683772161603E-13</v>
      </c>
      <c r="BE137" s="14">
        <f>BD137*VLOOKUP('Données projet'!$B$11,Paramètres!$A$1:$I$89,3,0)*VLOOKUP('Données projet'!$B$11,Paramètres!$A$1:$I$89,5,0)</f>
        <v>6.7984728957526396E-14</v>
      </c>
      <c r="BF137" s="14">
        <f t="shared" si="145"/>
        <v>1.0682447123141398E-12</v>
      </c>
      <c r="BG137" s="22">
        <f t="shared" si="115"/>
        <v>1.978932943548152E-12</v>
      </c>
      <c r="BH137" s="62">
        <f t="shared" si="116"/>
        <v>293.3333333333353</v>
      </c>
      <c r="BI137" s="62">
        <f ca="1">AVERAGE(OFFSET($BH$3,0,0,'Données projet'!$E$11+1,1))-AVERAGE(OFFSET($H$3,0,0,'Données projet'!$E$11+1,1))</f>
        <v>295.83974441964551</v>
      </c>
      <c r="BJ137" s="62">
        <f t="shared" si="146"/>
        <v>212.24900914818096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-5.6843418860808015E-14</v>
      </c>
      <c r="BZ137" s="14">
        <f>BY137*VLOOKUP('Données projet'!$B$12,Paramètres!$A$1:$I$89,3,0)*VLOOKUP('Données projet'!$B$12,Paramètres!$A$1:$I$89,5,0)</f>
        <v>-3.2514435588382188E-14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309.71642374647882</v>
      </c>
      <c r="CE137" s="62">
        <f t="shared" si="148"/>
        <v>266.63880397664315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0.13698444526280656</v>
      </c>
      <c r="CM137" s="23">
        <f>EXP(-LN(2)/2)*CM136+(1-EXP(-LN(2)/2))/(LN(2)/2)*CG137*CJ137*VLOOKUP('Données projet'!$B$12,Paramètres!$A$1:$I$89,3,0)*0.475*44/12</f>
        <v>1.7666246098698441E-15</v>
      </c>
      <c r="CN137" s="24">
        <f t="shared" si="120"/>
        <v>0.13698444526280834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-1.7053025658242404E-13</v>
      </c>
      <c r="CU137" s="18">
        <f>CT137*VLOOKUP('Données projet'!$B$13,Paramètres!$A$1:$I$89,3,0)*VLOOKUP('Données projet'!$B$13,Paramètres!$A$1:$I$89,5,0)</f>
        <v>-1.3567387213697657E-13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312.53381881960331</v>
      </c>
      <c r="CZ137" s="62">
        <f t="shared" si="150"/>
        <v>342.06887933351783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3</v>
      </c>
      <c r="DO137" s="13">
        <f>IF('Données projet'!$A$166&gt;35,DO136+DN137-DW136,IF(A137&lt;'Données projet'!$A$166,$DL$205^A137,IF(A137='Données projet'!$A$166,'Données projet'!$B$166,DO136+DN137-DW136)))</f>
        <v>294.99999999999932</v>
      </c>
      <c r="DP137" s="18">
        <f>DO137*VLOOKUP('Données projet'!$B$14,Paramètres!$A$1:$I$89,3,0)*VLOOKUP('Données projet'!$B$14,Paramètres!$A$1:$I$89,5,0)</f>
        <v>317.53799999999922</v>
      </c>
      <c r="DQ137" s="14">
        <f t="shared" si="151"/>
        <v>74.840856641926919</v>
      </c>
      <c r="DR137" s="22">
        <f t="shared" si="124"/>
        <v>683.39317531802135</v>
      </c>
      <c r="DS137" s="62">
        <f t="shared" si="125"/>
        <v>976.72650865135461</v>
      </c>
      <c r="DT137" s="62">
        <f ca="1">AVERAGE(OFFSET($DS$3,0,0,'Données projet'!$E$14+1,1))-AVERAGE(OFFSET($H$3,0,0,'Données projet'!$E$14+1,1))</f>
        <v>503.92230226365683</v>
      </c>
      <c r="DU137" s="62">
        <f t="shared" si="152"/>
        <v>267.2998309535638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3</v>
      </c>
      <c r="EJ137" s="13">
        <f>IF('Données projet'!$A$192&gt;35,EJ136+EI137-ER136,IF(A137&lt;'Données projet'!$A$192,$EG$205^A137,IF(A137='Données projet'!$A$192,'Données projet'!$B$192,EJ136+EI137-ER136)))</f>
        <v>294.99999999999932</v>
      </c>
      <c r="EK137" s="18">
        <f>EJ137*VLOOKUP('Données projet'!$B$15,Paramètres!$A$1:$I$89,3,0)*VLOOKUP('Données projet'!$B$15,Paramètres!$A$1:$I$89,5,0)</f>
        <v>285.32399999999933</v>
      </c>
      <c r="EL137" s="14">
        <f t="shared" si="153"/>
        <v>68.090886763658062</v>
      </c>
      <c r="EM137" s="22">
        <f t="shared" si="127"/>
        <v>615.53092778003656</v>
      </c>
      <c r="EN137" s="62">
        <f t="shared" si="128"/>
        <v>908.86426111336982</v>
      </c>
      <c r="EO137" s="62">
        <f ca="1">AVERAGE(OFFSET($EN$3,0,0,'Données projet'!$E$15+1,1))-AVERAGE(OFFSET($H$3,0,0,'Données projet'!$E$15+1,1))</f>
        <v>457.16923206840744</v>
      </c>
      <c r="EP137" s="62">
        <f t="shared" si="154"/>
        <v>244.45149244446094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3.979039320256561E-13</v>
      </c>
      <c r="FF137" s="18">
        <f>FE137*VLOOKUP('Données projet'!$B$16,Paramètres!$A$1:$I$89,3,0)*VLOOKUP('Données projet'!$B$16,Paramètres!$A$1:$I$89,5,0)</f>
        <v>2.669139576028101E-13</v>
      </c>
      <c r="FG137" s="14">
        <f t="shared" si="155"/>
        <v>3.5767923834585247E-12</v>
      </c>
      <c r="FH137" s="22">
        <f t="shared" si="130"/>
        <v>6.6944552106818241E-12</v>
      </c>
      <c r="FI137" s="62">
        <f t="shared" si="131"/>
        <v>293.33333333334002</v>
      </c>
      <c r="FJ137" s="62">
        <f ca="1">AVERAGE(OFFSET($FI$3,0,0,'Données projet'!$E$16+1,1))-AVERAGE(OFFSET($H$3,0,0,'Données projet'!$E$16+1,1))</f>
        <v>385.97853124853452</v>
      </c>
      <c r="FK137" s="62">
        <f t="shared" si="156"/>
        <v>300.99118099739695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132.280299502248</v>
      </c>
      <c r="T138" s="62">
        <f t="shared" si="142"/>
        <v>337.98099449405339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7.8314561761713302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2.8902048179291175E-16</v>
      </c>
      <c r="AC138" s="24">
        <f t="shared" si="111"/>
        <v>7.8314561761713302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>
        <f>VLOOKUP(A138,'Données projet'!$A$61:$I$81,2,0)</f>
        <v>298</v>
      </c>
      <c r="AG138" s="13">
        <f>VLOOKUP(A138,'Données projet'!$A$61:$I$81,9,0)</f>
        <v>3</v>
      </c>
      <c r="AH138" s="13">
        <f t="array" ref="AH138">INDEX(AG:AG,MIN(IF(ISNUMBER(AG138:AG334),ROW(AG138:AG334),"")))</f>
        <v>3</v>
      </c>
      <c r="AI138" s="14">
        <f>IF('Données projet'!$A$62&gt;35,AI137+AH138-AQ137,IF(A138&lt;'Données projet'!$A$62,$AF$205^A138,IF(A138='Données projet'!$A$62,'Données projet'!$B$62,AI137+AH138-AQ137)))</f>
        <v>297.99999999999932</v>
      </c>
      <c r="AJ138" s="14">
        <f>AI138*VLOOKUP('Données projet'!$B$10,Paramètres!$A$1:$I$89,3,0)*VLOOKUP('Données projet'!$B$10,Paramètres!$A$1:$I$89,5,0)</f>
        <v>269.63039999999938</v>
      </c>
      <c r="AK138" s="14">
        <f t="shared" si="143"/>
        <v>64.770824587435968</v>
      </c>
      <c r="AL138" s="22">
        <f t="shared" si="112"/>
        <v>582.41546615644995</v>
      </c>
      <c r="AM138" s="62">
        <f t="shared" si="113"/>
        <v>875.74879948978332</v>
      </c>
      <c r="AN138" s="62">
        <f ca="1">AVERAGE(OFFSET($AM$3,0,0,'Données projet'!$E$10+1,1))-AVERAGE(OFFSET($H$3,0,0,'Données projet'!$E$10+1,1))</f>
        <v>430.40491895612814</v>
      </c>
      <c r="AO138" s="62">
        <f t="shared" si="144"/>
        <v>231.36959598460686</v>
      </c>
      <c r="AP138" s="16">
        <f>IF(ISNA(VLOOKUP(A138,'Données projet'!$A$61:$I$81,3,0)),0,VLOOKUP(A138,'Données projet'!$A$61:$I$81,3,0))</f>
        <v>12</v>
      </c>
      <c r="AQ138" s="16">
        <f>IF(ISNA(VLOOKUP(A138,'Données projet'!$A$61:$I$81,4,0)),0,VLOOKUP(A138,'Données projet'!$A$61:$I$81,4,0))</f>
        <v>29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1.1368683772161603E-13</v>
      </c>
      <c r="BE138" s="14">
        <f>BD138*VLOOKUP('Données projet'!$B$11,Paramètres!$A$1:$I$89,3,0)*VLOOKUP('Données projet'!$B$11,Paramètres!$A$1:$I$89,5,0)</f>
        <v>6.7984728957526396E-14</v>
      </c>
      <c r="BF138" s="14">
        <f t="shared" si="145"/>
        <v>1.0682447123141398E-12</v>
      </c>
      <c r="BG138" s="22">
        <f t="shared" si="115"/>
        <v>1.978932943548152E-12</v>
      </c>
      <c r="BH138" s="62">
        <f t="shared" si="116"/>
        <v>293.3333333333353</v>
      </c>
      <c r="BI138" s="62">
        <f ca="1">AVERAGE(OFFSET($BH$3,0,0,'Données projet'!$E$11+1,1))-AVERAGE(OFFSET($H$3,0,0,'Données projet'!$E$11+1,1))</f>
        <v>295.83974441964551</v>
      </c>
      <c r="BJ138" s="62">
        <f t="shared" si="146"/>
        <v>212.24900914818096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-5.6843418860808015E-14</v>
      </c>
      <c r="BZ138" s="14">
        <f>BY138*VLOOKUP('Données projet'!$B$12,Paramètres!$A$1:$I$89,3,0)*VLOOKUP('Données projet'!$B$12,Paramètres!$A$1:$I$89,5,0)</f>
        <v>-3.2514435588382188E-14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309.71642374647882</v>
      </c>
      <c r="CE138" s="62">
        <f t="shared" si="148"/>
        <v>266.63880397664315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0.13323859840339622</v>
      </c>
      <c r="CM138" s="23">
        <f>EXP(-LN(2)/2)*CM137+(1-EXP(-LN(2)/2))/(LN(2)/2)*CG138*CJ138*VLOOKUP('Données projet'!$B$12,Paramètres!$A$1:$I$89,3,0)*0.475*44/12</f>
        <v>1.2491922414500059E-15</v>
      </c>
      <c r="CN138" s="24">
        <f t="shared" si="120"/>
        <v>0.13323859840339747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-1.7053025658242404E-13</v>
      </c>
      <c r="CU138" s="18">
        <f>CT138*VLOOKUP('Données projet'!$B$13,Paramètres!$A$1:$I$89,3,0)*VLOOKUP('Données projet'!$B$13,Paramètres!$A$1:$I$89,5,0)</f>
        <v>-1.3567387213697657E-13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312.53381881960331</v>
      </c>
      <c r="CZ138" s="62">
        <f t="shared" si="150"/>
        <v>342.06887933351783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>
        <f>VLOOKUP(A138,'Données projet'!$A$165:$I$185,2,0)</f>
        <v>298</v>
      </c>
      <c r="DM138" s="13">
        <f>VLOOKUP(A138,'Données projet'!$A$165:$I$185,9,0)</f>
        <v>3</v>
      </c>
      <c r="DN138" s="13">
        <f t="array" ref="DN138">INDEX(DM:DM,MIN(IF(ISNUMBER(DM138:DM334),ROW(DM138:DM334),"")))</f>
        <v>3</v>
      </c>
      <c r="DO138" s="13">
        <f>IF('Données projet'!$A$166&gt;35,DO137+DN138-DW137,IF(A138&lt;'Données projet'!$A$166,$DL$205^A138,IF(A138='Données projet'!$A$166,'Données projet'!$B$166,DO137+DN138-DW137)))</f>
        <v>297.99999999999932</v>
      </c>
      <c r="DP138" s="18">
        <f>DO138*VLOOKUP('Données projet'!$B$14,Paramètres!$A$1:$I$89,3,0)*VLOOKUP('Données projet'!$B$14,Paramètres!$A$1:$I$89,5,0)</f>
        <v>320.76719999999926</v>
      </c>
      <c r="DQ138" s="14">
        <f t="shared" si="151"/>
        <v>75.512962289014695</v>
      </c>
      <c r="DR138" s="22">
        <f t="shared" si="124"/>
        <v>690.18794932003266</v>
      </c>
      <c r="DS138" s="62">
        <f t="shared" si="125"/>
        <v>983.52128265336592</v>
      </c>
      <c r="DT138" s="62">
        <f ca="1">AVERAGE(OFFSET($DS$3,0,0,'Données projet'!$E$14+1,1))-AVERAGE(OFFSET($H$3,0,0,'Données projet'!$E$14+1,1))</f>
        <v>503.92230226365683</v>
      </c>
      <c r="DU138" s="62">
        <f t="shared" si="152"/>
        <v>267.2998309535638</v>
      </c>
      <c r="DV138" s="16">
        <f>IF(ISNA(VLOOKUP(A138,'Données projet'!$A$165:$I$185,3,0)),0,VLOOKUP(A138,'Données projet'!$A$165:$I$185,3,0))</f>
        <v>12</v>
      </c>
      <c r="DW138" s="16">
        <f>IF(ISNA(VLOOKUP(A138,'Données projet'!$A$165:$I$185,4,0)),0,VLOOKUP(A138,'Données projet'!$A$165:$I$185,4,0))</f>
        <v>29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>
        <f>VLOOKUP(A138,'Données projet'!$A$191:$I$211,2,0)</f>
        <v>298</v>
      </c>
      <c r="EH138" s="13">
        <f>VLOOKUP(A138,'Données projet'!$A$191:$I$211,9,0)</f>
        <v>3</v>
      </c>
      <c r="EI138" s="13">
        <f t="array" ref="EI138">INDEX(EH:EH,MIN(IF(ISNUMBER(EH138:EH334),ROW(EH138:EH334),"")))</f>
        <v>3</v>
      </c>
      <c r="EJ138" s="13">
        <f>IF('Données projet'!$A$192&gt;35,EJ137+EI138-ER137,IF(A138&lt;'Données projet'!$A$192,$EG$205^A138,IF(A138='Données projet'!$A$192,'Données projet'!$B$192,EJ137+EI138-ER137)))</f>
        <v>297.99999999999932</v>
      </c>
      <c r="EK138" s="18">
        <f>EJ138*VLOOKUP('Données projet'!$B$15,Paramètres!$A$1:$I$89,3,0)*VLOOKUP('Données projet'!$B$15,Paramètres!$A$1:$I$89,5,0)</f>
        <v>288.2255999999993</v>
      </c>
      <c r="EL138" s="14">
        <f t="shared" si="153"/>
        <v>68.702374546701719</v>
      </c>
      <c r="EM138" s="22">
        <f t="shared" si="127"/>
        <v>621.64955566883771</v>
      </c>
      <c r="EN138" s="62">
        <f t="shared" si="128"/>
        <v>914.98288900217108</v>
      </c>
      <c r="EO138" s="62">
        <f ca="1">AVERAGE(OFFSET($EN$3,0,0,'Données projet'!$E$15+1,1))-AVERAGE(OFFSET($H$3,0,0,'Données projet'!$E$15+1,1))</f>
        <v>457.16923206840744</v>
      </c>
      <c r="EP138" s="62">
        <f t="shared" si="154"/>
        <v>244.45149244446094</v>
      </c>
      <c r="EQ138" s="16">
        <f>IF(ISNA(VLOOKUP(A138,'Données projet'!$A$191:$I$211,3,0)),0,VLOOKUP(A138,'Données projet'!$A$191:$I$211,3,0))</f>
        <v>12</v>
      </c>
      <c r="ER138" s="16">
        <f>IF(ISNA(VLOOKUP(A138,'Données projet'!$A$191:$I$211,4,0)),0,VLOOKUP(A138,'Données projet'!$A$191:$I$211,4,0))</f>
        <v>29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3.979039320256561E-13</v>
      </c>
      <c r="FF138" s="18">
        <f>FE138*VLOOKUP('Données projet'!$B$16,Paramètres!$A$1:$I$89,3,0)*VLOOKUP('Données projet'!$B$16,Paramètres!$A$1:$I$89,5,0)</f>
        <v>2.669139576028101E-13</v>
      </c>
      <c r="FG138" s="14">
        <f t="shared" si="155"/>
        <v>3.5767923834585247E-12</v>
      </c>
      <c r="FH138" s="22">
        <f t="shared" si="130"/>
        <v>6.6944552106818241E-12</v>
      </c>
      <c r="FI138" s="62">
        <f t="shared" si="131"/>
        <v>293.33333333334002</v>
      </c>
      <c r="FJ138" s="62">
        <f ca="1">AVERAGE(OFFSET($FI$3,0,0,'Données projet'!$E$16+1,1))-AVERAGE(OFFSET($H$3,0,0,'Données projet'!$E$16+1,1))</f>
        <v>385.97853124853452</v>
      </c>
      <c r="FK138" s="62">
        <f t="shared" si="156"/>
        <v>300.99118099739695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132.280299502248</v>
      </c>
      <c r="T139" s="62">
        <f t="shared" si="142"/>
        <v>337.98099449405339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7.6778860972732161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2.0436834257757099E-16</v>
      </c>
      <c r="AC139" s="24">
        <f t="shared" si="111"/>
        <v>7.6778860972732161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2.6</v>
      </c>
      <c r="AI139" s="14">
        <f>IF('Données projet'!$A$62&gt;35,AI138+AH139-AQ138,IF(A139&lt;'Données projet'!$A$62,$AF$205^A139,IF(A139='Données projet'!$A$62,'Données projet'!$B$62,AI138+AH139-AQ138)))</f>
        <v>271.59999999999934</v>
      </c>
      <c r="AJ139" s="14">
        <f>AI139*VLOOKUP('Données projet'!$B$10,Paramètres!$A$1:$I$89,3,0)*VLOOKUP('Données projet'!$B$10,Paramètres!$A$1:$I$89,5,0)</f>
        <v>245.74367999999939</v>
      </c>
      <c r="AK139" s="14">
        <f t="shared" si="143"/>
        <v>59.673605104126288</v>
      </c>
      <c r="AL139" s="22">
        <f t="shared" si="112"/>
        <v>531.93510488968548</v>
      </c>
      <c r="AM139" s="62">
        <f t="shared" si="113"/>
        <v>825.26843822301885</v>
      </c>
      <c r="AN139" s="62">
        <f ca="1">AVERAGE(OFFSET($AM$3,0,0,'Données projet'!$E$10+1,1))-AVERAGE(OFFSET($H$3,0,0,'Données projet'!$E$10+1,1))</f>
        <v>430.40491895612814</v>
      </c>
      <c r="AO139" s="62">
        <f t="shared" si="144"/>
        <v>231.36959598460686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1.1368683772161603E-13</v>
      </c>
      <c r="BE139" s="14">
        <f>BD139*VLOOKUP('Données projet'!$B$11,Paramètres!$A$1:$I$89,3,0)*VLOOKUP('Données projet'!$B$11,Paramètres!$A$1:$I$89,5,0)</f>
        <v>6.7984728957526396E-14</v>
      </c>
      <c r="BF139" s="14">
        <f t="shared" si="145"/>
        <v>1.0682447123141398E-12</v>
      </c>
      <c r="BG139" s="22">
        <f t="shared" si="115"/>
        <v>1.978932943548152E-12</v>
      </c>
      <c r="BH139" s="62">
        <f t="shared" si="116"/>
        <v>293.3333333333353</v>
      </c>
      <c r="BI139" s="62">
        <f ca="1">AVERAGE(OFFSET($BH$3,0,0,'Données projet'!$E$11+1,1))-AVERAGE(OFFSET($H$3,0,0,'Données projet'!$E$11+1,1))</f>
        <v>295.83974441964551</v>
      </c>
      <c r="BJ139" s="62">
        <f t="shared" si="146"/>
        <v>212.24900914818096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-5.6843418860808015E-14</v>
      </c>
      <c r="BZ139" s="14">
        <f>BY139*VLOOKUP('Données projet'!$B$12,Paramètres!$A$1:$I$89,3,0)*VLOOKUP('Données projet'!$B$12,Paramètres!$A$1:$I$89,5,0)</f>
        <v>-3.2514435588382188E-14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309.71642374647882</v>
      </c>
      <c r="CE139" s="62">
        <f t="shared" si="148"/>
        <v>266.63880397664315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0.12959518192334199</v>
      </c>
      <c r="CM139" s="23">
        <f>EXP(-LN(2)/2)*CM138+(1-EXP(-LN(2)/2))/(LN(2)/2)*CG139*CJ139*VLOOKUP('Données projet'!$B$12,Paramètres!$A$1:$I$89,3,0)*0.475*44/12</f>
        <v>8.8331230493492226E-16</v>
      </c>
      <c r="CN139" s="24">
        <f t="shared" si="120"/>
        <v>0.12959518192334288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-1.7053025658242404E-13</v>
      </c>
      <c r="CU139" s="18">
        <f>CT139*VLOOKUP('Données projet'!$B$13,Paramètres!$A$1:$I$89,3,0)*VLOOKUP('Données projet'!$B$13,Paramètres!$A$1:$I$89,5,0)</f>
        <v>-1.3567387213697657E-13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312.53381881960331</v>
      </c>
      <c r="CZ139" s="62">
        <f t="shared" si="150"/>
        <v>342.06887933351783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2.6</v>
      </c>
      <c r="DO139" s="13">
        <f>IF('Données projet'!$A$166&gt;35,DO138+DN139-DW138,IF(A139&lt;'Données projet'!$A$166,$DL$205^A139,IF(A139='Données projet'!$A$166,'Données projet'!$B$166,DO138+DN139-DW138)))</f>
        <v>271.59999999999934</v>
      </c>
      <c r="DP139" s="18">
        <f>DO139*VLOOKUP('Données projet'!$B$14,Paramètres!$A$1:$I$89,3,0)*VLOOKUP('Données projet'!$B$14,Paramètres!$A$1:$I$89,5,0)</f>
        <v>292.3502399999993</v>
      </c>
      <c r="DQ139" s="14">
        <f t="shared" si="151"/>
        <v>69.570377103884013</v>
      </c>
      <c r="DR139" s="22">
        <f t="shared" si="124"/>
        <v>630.34507478926355</v>
      </c>
      <c r="DS139" s="62">
        <f t="shared" si="125"/>
        <v>923.67840812259692</v>
      </c>
      <c r="DT139" s="62">
        <f ca="1">AVERAGE(OFFSET($DS$3,0,0,'Données projet'!$E$14+1,1))-AVERAGE(OFFSET($H$3,0,0,'Données projet'!$E$14+1,1))</f>
        <v>503.92230226365683</v>
      </c>
      <c r="DU139" s="62">
        <f t="shared" si="152"/>
        <v>267.2998309535638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2.6</v>
      </c>
      <c r="EJ139" s="13">
        <f>IF('Données projet'!$A$192&gt;35,EJ138+EI139-ER138,IF(A139&lt;'Données projet'!$A$192,$EG$205^A139,IF(A139='Données projet'!$A$192,'Données projet'!$B$192,EJ138+EI139-ER138)))</f>
        <v>271.59999999999934</v>
      </c>
      <c r="EK139" s="18">
        <f>EJ139*VLOOKUP('Données projet'!$B$15,Paramètres!$A$1:$I$89,3,0)*VLOOKUP('Données projet'!$B$15,Paramètres!$A$1:$I$89,5,0)</f>
        <v>262.6915199999994</v>
      </c>
      <c r="EL139" s="14">
        <f t="shared" si="153"/>
        <v>63.29575691724186</v>
      </c>
      <c r="EM139" s="22">
        <f t="shared" si="127"/>
        <v>567.76117396419511</v>
      </c>
      <c r="EN139" s="62">
        <f t="shared" si="128"/>
        <v>861.09450729752848</v>
      </c>
      <c r="EO139" s="62">
        <f ca="1">AVERAGE(OFFSET($EN$3,0,0,'Données projet'!$E$15+1,1))-AVERAGE(OFFSET($H$3,0,0,'Données projet'!$E$15+1,1))</f>
        <v>457.16923206840744</v>
      </c>
      <c r="EP139" s="62">
        <f t="shared" si="154"/>
        <v>244.45149244446094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3.979039320256561E-13</v>
      </c>
      <c r="FF139" s="18">
        <f>FE139*VLOOKUP('Données projet'!$B$16,Paramètres!$A$1:$I$89,3,0)*VLOOKUP('Données projet'!$B$16,Paramètres!$A$1:$I$89,5,0)</f>
        <v>2.669139576028101E-13</v>
      </c>
      <c r="FG139" s="14">
        <f t="shared" si="155"/>
        <v>3.5767923834585247E-12</v>
      </c>
      <c r="FH139" s="22">
        <f t="shared" si="130"/>
        <v>6.6944552106818241E-12</v>
      </c>
      <c r="FI139" s="62">
        <f t="shared" si="131"/>
        <v>293.33333333334002</v>
      </c>
      <c r="FJ139" s="62">
        <f ca="1">AVERAGE(OFFSET($FI$3,0,0,'Données projet'!$E$16+1,1))-AVERAGE(OFFSET($H$3,0,0,'Données projet'!$E$16+1,1))</f>
        <v>385.97853124853452</v>
      </c>
      <c r="FK139" s="62">
        <f t="shared" si="156"/>
        <v>300.99118099739695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132.280299502248</v>
      </c>
      <c r="T140" s="62">
        <f t="shared" si="142"/>
        <v>337.98099449405339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7.5273274339537952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1.4451024089645587E-16</v>
      </c>
      <c r="AC140" s="24">
        <f t="shared" si="111"/>
        <v>7.5273274339537952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2.6</v>
      </c>
      <c r="AI140" s="14">
        <f>IF('Données projet'!$A$62&gt;35,AI139+AH140-AQ139,IF(A140&lt;'Données projet'!$A$62,$AF$205^A140,IF(A140='Données projet'!$A$62,'Données projet'!$B$62,AI139+AH140-AQ139)))</f>
        <v>274.19999999999936</v>
      </c>
      <c r="AJ140" s="14">
        <f>AI140*VLOOKUP('Données projet'!$B$10,Paramètres!$A$1:$I$89,3,0)*VLOOKUP('Données projet'!$B$10,Paramètres!$A$1:$I$89,5,0)</f>
        <v>248.09615999999943</v>
      </c>
      <c r="AK140" s="14">
        <f t="shared" si="143"/>
        <v>60.178080967364579</v>
      </c>
      <c r="AL140" s="22">
        <f t="shared" si="112"/>
        <v>536.91096968482555</v>
      </c>
      <c r="AM140" s="62">
        <f t="shared" si="113"/>
        <v>830.24430301815892</v>
      </c>
      <c r="AN140" s="62">
        <f ca="1">AVERAGE(OFFSET($AM$3,0,0,'Données projet'!$E$10+1,1))-AVERAGE(OFFSET($H$3,0,0,'Données projet'!$E$10+1,1))</f>
        <v>430.40491895612814</v>
      </c>
      <c r="AO140" s="62">
        <f t="shared" si="144"/>
        <v>231.36959598460686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1.1368683772161603E-13</v>
      </c>
      <c r="BE140" s="14">
        <f>BD140*VLOOKUP('Données projet'!$B$11,Paramètres!$A$1:$I$89,3,0)*VLOOKUP('Données projet'!$B$11,Paramètres!$A$1:$I$89,5,0)</f>
        <v>6.7984728957526396E-14</v>
      </c>
      <c r="BF140" s="14">
        <f t="shared" si="145"/>
        <v>1.0682447123141398E-12</v>
      </c>
      <c r="BG140" s="22">
        <f t="shared" si="115"/>
        <v>1.978932943548152E-12</v>
      </c>
      <c r="BH140" s="62">
        <f t="shared" si="116"/>
        <v>293.3333333333353</v>
      </c>
      <c r="BI140" s="62">
        <f ca="1">AVERAGE(OFFSET($BH$3,0,0,'Données projet'!$E$11+1,1))-AVERAGE(OFFSET($H$3,0,0,'Données projet'!$E$11+1,1))</f>
        <v>295.83974441964551</v>
      </c>
      <c r="BJ140" s="62">
        <f t="shared" si="146"/>
        <v>212.24900914818096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-5.6843418860808015E-14</v>
      </c>
      <c r="BZ140" s="14">
        <f>BY140*VLOOKUP('Données projet'!$B$12,Paramètres!$A$1:$I$89,3,0)*VLOOKUP('Données projet'!$B$12,Paramètres!$A$1:$I$89,5,0)</f>
        <v>-3.2514435588382188E-14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309.71642374647882</v>
      </c>
      <c r="CE140" s="62">
        <f t="shared" si="148"/>
        <v>266.63880397664315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0.12605139485853378</v>
      </c>
      <c r="CM140" s="23">
        <f>EXP(-LN(2)/2)*CM139+(1-EXP(-LN(2)/2))/(LN(2)/2)*CG140*CJ140*VLOOKUP('Données projet'!$B$12,Paramètres!$A$1:$I$89,3,0)*0.475*44/12</f>
        <v>6.2459612072500305E-16</v>
      </c>
      <c r="CN140" s="24">
        <f t="shared" si="120"/>
        <v>0.12605139485853442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-1.7053025658242404E-13</v>
      </c>
      <c r="CU140" s="18">
        <f>CT140*VLOOKUP('Données projet'!$B$13,Paramètres!$A$1:$I$89,3,0)*VLOOKUP('Données projet'!$B$13,Paramètres!$A$1:$I$89,5,0)</f>
        <v>-1.3567387213697657E-13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312.53381881960331</v>
      </c>
      <c r="CZ140" s="62">
        <f t="shared" si="150"/>
        <v>342.06887933351783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2.6</v>
      </c>
      <c r="DO140" s="13">
        <f>IF('Données projet'!$A$166&gt;35,DO139+DN140-DW139,IF(A140&lt;'Données projet'!$A$166,$DL$205^A140,IF(A140='Données projet'!$A$166,'Données projet'!$B$166,DO139+DN140-DW139)))</f>
        <v>274.19999999999936</v>
      </c>
      <c r="DP140" s="18">
        <f>DO140*VLOOKUP('Données projet'!$B$14,Paramètres!$A$1:$I$89,3,0)*VLOOKUP('Données projet'!$B$14,Paramètres!$A$1:$I$89,5,0)</f>
        <v>295.14887999999934</v>
      </c>
      <c r="DQ140" s="14">
        <f t="shared" si="151"/>
        <v>70.158519482479221</v>
      </c>
      <c r="DR140" s="22">
        <f t="shared" si="124"/>
        <v>636.24372076531688</v>
      </c>
      <c r="DS140" s="62">
        <f t="shared" si="125"/>
        <v>929.57705409865025</v>
      </c>
      <c r="DT140" s="62">
        <f ca="1">AVERAGE(OFFSET($DS$3,0,0,'Données projet'!$E$14+1,1))-AVERAGE(OFFSET($H$3,0,0,'Données projet'!$E$14+1,1))</f>
        <v>503.92230226365683</v>
      </c>
      <c r="DU140" s="62">
        <f t="shared" si="152"/>
        <v>267.2998309535638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2.6</v>
      </c>
      <c r="EJ140" s="13">
        <f>IF('Données projet'!$A$192&gt;35,EJ139+EI140-ER139,IF(A140&lt;'Données projet'!$A$192,$EG$205^A140,IF(A140='Données projet'!$A$192,'Données projet'!$B$192,EJ139+EI140-ER139)))</f>
        <v>274.19999999999936</v>
      </c>
      <c r="EK140" s="18">
        <f>EJ140*VLOOKUP('Données projet'!$B$15,Paramètres!$A$1:$I$89,3,0)*VLOOKUP('Données projet'!$B$15,Paramètres!$A$1:$I$89,5,0)</f>
        <v>265.20623999999935</v>
      </c>
      <c r="EL140" s="14">
        <f t="shared" si="153"/>
        <v>63.830854160896273</v>
      </c>
      <c r="EM140" s="22">
        <f t="shared" si="127"/>
        <v>573.07293899689319</v>
      </c>
      <c r="EN140" s="62">
        <f t="shared" si="128"/>
        <v>866.40627233022656</v>
      </c>
      <c r="EO140" s="62">
        <f ca="1">AVERAGE(OFFSET($EN$3,0,0,'Données projet'!$E$15+1,1))-AVERAGE(OFFSET($H$3,0,0,'Données projet'!$E$15+1,1))</f>
        <v>457.16923206840744</v>
      </c>
      <c r="EP140" s="62">
        <f t="shared" si="154"/>
        <v>244.45149244446094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3.979039320256561E-13</v>
      </c>
      <c r="FF140" s="18">
        <f>FE140*VLOOKUP('Données projet'!$B$16,Paramètres!$A$1:$I$89,3,0)*VLOOKUP('Données projet'!$B$16,Paramètres!$A$1:$I$89,5,0)</f>
        <v>2.669139576028101E-13</v>
      </c>
      <c r="FG140" s="14">
        <f t="shared" si="155"/>
        <v>3.5767923834585247E-12</v>
      </c>
      <c r="FH140" s="22">
        <f t="shared" si="130"/>
        <v>6.6944552106818241E-12</v>
      </c>
      <c r="FI140" s="62">
        <f t="shared" si="131"/>
        <v>293.33333333334002</v>
      </c>
      <c r="FJ140" s="62">
        <f ca="1">AVERAGE(OFFSET($FI$3,0,0,'Données projet'!$E$16+1,1))-AVERAGE(OFFSET($H$3,0,0,'Données projet'!$E$16+1,1))</f>
        <v>385.97853124853452</v>
      </c>
      <c r="FK140" s="62">
        <f t="shared" si="156"/>
        <v>300.99118099739695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132.280299502248</v>
      </c>
      <c r="T141" s="62">
        <f t="shared" si="142"/>
        <v>337.98099449405339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7.3797211341903513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1.021841712887855E-16</v>
      </c>
      <c r="AC141" s="24">
        <f t="shared" si="111"/>
        <v>7.3797211341903513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2.6</v>
      </c>
      <c r="AI141" s="14">
        <f>IF('Données projet'!$A$62&gt;35,AI140+AH141-AQ140,IF(A141&lt;'Données projet'!$A$62,$AF$205^A141,IF(A141='Données projet'!$A$62,'Données projet'!$B$62,AI140+AH141-AQ140)))</f>
        <v>276.79999999999939</v>
      </c>
      <c r="AJ141" s="14">
        <f>AI141*VLOOKUP('Données projet'!$B$10,Paramètres!$A$1:$I$89,3,0)*VLOOKUP('Données projet'!$B$10,Paramètres!$A$1:$I$89,5,0)</f>
        <v>250.44863999999944</v>
      </c>
      <c r="AK141" s="14">
        <f t="shared" si="143"/>
        <v>60.682000328889892</v>
      </c>
      <c r="AL141" s="22">
        <f t="shared" si="112"/>
        <v>541.88586523948231</v>
      </c>
      <c r="AM141" s="62">
        <f t="shared" si="113"/>
        <v>835.21919857281569</v>
      </c>
      <c r="AN141" s="62">
        <f ca="1">AVERAGE(OFFSET($AM$3,0,0,'Données projet'!$E$10+1,1))-AVERAGE(OFFSET($H$3,0,0,'Données projet'!$E$10+1,1))</f>
        <v>430.40491895612814</v>
      </c>
      <c r="AO141" s="62">
        <f t="shared" si="144"/>
        <v>231.36959598460686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1.1368683772161603E-13</v>
      </c>
      <c r="BE141" s="14">
        <f>BD141*VLOOKUP('Données projet'!$B$11,Paramètres!$A$1:$I$89,3,0)*VLOOKUP('Données projet'!$B$11,Paramètres!$A$1:$I$89,5,0)</f>
        <v>6.7984728957526396E-14</v>
      </c>
      <c r="BF141" s="14">
        <f t="shared" si="145"/>
        <v>1.0682447123141398E-12</v>
      </c>
      <c r="BG141" s="22">
        <f t="shared" si="115"/>
        <v>1.978932943548152E-12</v>
      </c>
      <c r="BH141" s="62">
        <f t="shared" si="116"/>
        <v>293.3333333333353</v>
      </c>
      <c r="BI141" s="62">
        <f ca="1">AVERAGE(OFFSET($BH$3,0,0,'Données projet'!$E$11+1,1))-AVERAGE(OFFSET($H$3,0,0,'Données projet'!$E$11+1,1))</f>
        <v>295.83974441964551</v>
      </c>
      <c r="BJ141" s="62">
        <f t="shared" si="146"/>
        <v>212.24900914818096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-5.6843418860808015E-14</v>
      </c>
      <c r="BZ141" s="14">
        <f>BY141*VLOOKUP('Données projet'!$B$12,Paramètres!$A$1:$I$89,3,0)*VLOOKUP('Données projet'!$B$12,Paramètres!$A$1:$I$89,5,0)</f>
        <v>-3.2514435588382188E-14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309.71642374647882</v>
      </c>
      <c r="CE141" s="62">
        <f t="shared" si="148"/>
        <v>266.63880397664315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0.12260451283737242</v>
      </c>
      <c r="CM141" s="23">
        <f>EXP(-LN(2)/2)*CM140+(1-EXP(-LN(2)/2))/(LN(2)/2)*CG141*CJ141*VLOOKUP('Données projet'!$B$12,Paramètres!$A$1:$I$89,3,0)*0.475*44/12</f>
        <v>4.4165615246746118E-16</v>
      </c>
      <c r="CN141" s="24">
        <f t="shared" si="120"/>
        <v>0.12260451283737286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-1.7053025658242404E-13</v>
      </c>
      <c r="CU141" s="18">
        <f>CT141*VLOOKUP('Données projet'!$B$13,Paramètres!$A$1:$I$89,3,0)*VLOOKUP('Données projet'!$B$13,Paramètres!$A$1:$I$89,5,0)</f>
        <v>-1.3567387213697657E-13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312.53381881960331</v>
      </c>
      <c r="CZ141" s="62">
        <f t="shared" si="150"/>
        <v>342.06887933351783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2.6</v>
      </c>
      <c r="DO141" s="13">
        <f>IF('Données projet'!$A$166&gt;35,DO140+DN141-DW140,IF(A141&lt;'Données projet'!$A$166,$DL$205^A141,IF(A141='Données projet'!$A$166,'Données projet'!$B$166,DO140+DN141-DW140)))</f>
        <v>276.79999999999939</v>
      </c>
      <c r="DP141" s="18">
        <f>DO141*VLOOKUP('Données projet'!$B$14,Paramètres!$A$1:$I$89,3,0)*VLOOKUP('Données projet'!$B$14,Paramètres!$A$1:$I$89,5,0)</f>
        <v>297.94751999999932</v>
      </c>
      <c r="DQ141" s="14">
        <f t="shared" si="151"/>
        <v>70.746013064442209</v>
      </c>
      <c r="DR141" s="22">
        <f t="shared" si="124"/>
        <v>642.14123675390226</v>
      </c>
      <c r="DS141" s="62">
        <f t="shared" si="125"/>
        <v>935.47457008723563</v>
      </c>
      <c r="DT141" s="62">
        <f ca="1">AVERAGE(OFFSET($DS$3,0,0,'Données projet'!$E$14+1,1))-AVERAGE(OFFSET($H$3,0,0,'Données projet'!$E$14+1,1))</f>
        <v>503.92230226365683</v>
      </c>
      <c r="DU141" s="62">
        <f t="shared" si="152"/>
        <v>267.2998309535638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2.6</v>
      </c>
      <c r="EJ141" s="13">
        <f>IF('Données projet'!$A$192&gt;35,EJ140+EI141-ER140,IF(A141&lt;'Données projet'!$A$192,$EG$205^A141,IF(A141='Données projet'!$A$192,'Données projet'!$B$192,EJ140+EI141-ER140)))</f>
        <v>276.79999999999939</v>
      </c>
      <c r="EK141" s="18">
        <f>EJ141*VLOOKUP('Données projet'!$B$15,Paramètres!$A$1:$I$89,3,0)*VLOOKUP('Données projet'!$B$15,Paramètres!$A$1:$I$89,5,0)</f>
        <v>267.72095999999942</v>
      </c>
      <c r="EL141" s="14">
        <f t="shared" si="153"/>
        <v>64.365361123519833</v>
      </c>
      <c r="EM141" s="22">
        <f t="shared" si="127"/>
        <v>578.38367595679597</v>
      </c>
      <c r="EN141" s="62">
        <f t="shared" si="128"/>
        <v>871.71700929012923</v>
      </c>
      <c r="EO141" s="62">
        <f ca="1">AVERAGE(OFFSET($EN$3,0,0,'Données projet'!$E$15+1,1))-AVERAGE(OFFSET($H$3,0,0,'Données projet'!$E$15+1,1))</f>
        <v>457.16923206840744</v>
      </c>
      <c r="EP141" s="62">
        <f t="shared" si="154"/>
        <v>244.45149244446094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3.979039320256561E-13</v>
      </c>
      <c r="FF141" s="18">
        <f>FE141*VLOOKUP('Données projet'!$B$16,Paramètres!$A$1:$I$89,3,0)*VLOOKUP('Données projet'!$B$16,Paramètres!$A$1:$I$89,5,0)</f>
        <v>2.669139576028101E-13</v>
      </c>
      <c r="FG141" s="14">
        <f t="shared" si="155"/>
        <v>3.5767923834585247E-12</v>
      </c>
      <c r="FH141" s="22">
        <f t="shared" si="130"/>
        <v>6.6944552106818241E-12</v>
      </c>
      <c r="FI141" s="62">
        <f t="shared" si="131"/>
        <v>293.33333333334002</v>
      </c>
      <c r="FJ141" s="62">
        <f ca="1">AVERAGE(OFFSET($FI$3,0,0,'Données projet'!$E$16+1,1))-AVERAGE(OFFSET($H$3,0,0,'Données projet'!$E$16+1,1))</f>
        <v>385.97853124853452</v>
      </c>
      <c r="FK141" s="62">
        <f t="shared" si="156"/>
        <v>300.99118099739695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132.280299502248</v>
      </c>
      <c r="T142" s="62">
        <f t="shared" si="142"/>
        <v>337.98099449405339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7.2350093039343149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7.2255120448227937E-17</v>
      </c>
      <c r="AC142" s="24">
        <f t="shared" si="111"/>
        <v>7.2350093039343149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2.6</v>
      </c>
      <c r="AI142" s="14">
        <f>IF('Données projet'!$A$62&gt;35,AI141+AH142-AQ141,IF(A142&lt;'Données projet'!$A$62,$AF$205^A142,IF(A142='Données projet'!$A$62,'Données projet'!$B$62,AI141+AH142-AQ141)))</f>
        <v>279.39999999999941</v>
      </c>
      <c r="AJ142" s="14">
        <f>AI142*VLOOKUP('Données projet'!$B$10,Paramètres!$A$1:$I$89,3,0)*VLOOKUP('Données projet'!$B$10,Paramètres!$A$1:$I$89,5,0)</f>
        <v>252.80111999999946</v>
      </c>
      <c r="AK142" s="14">
        <f t="shared" si="143"/>
        <v>61.185369021394152</v>
      </c>
      <c r="AL142" s="22">
        <f t="shared" si="112"/>
        <v>546.85980171226049</v>
      </c>
      <c r="AM142" s="62">
        <f t="shared" si="113"/>
        <v>840.19313504559386</v>
      </c>
      <c r="AN142" s="62">
        <f ca="1">AVERAGE(OFFSET($AM$3,0,0,'Données projet'!$E$10+1,1))-AVERAGE(OFFSET($H$3,0,0,'Données projet'!$E$10+1,1))</f>
        <v>430.40491895612814</v>
      </c>
      <c r="AO142" s="62">
        <f t="shared" si="144"/>
        <v>231.36959598460686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1.1368683772161603E-13</v>
      </c>
      <c r="BE142" s="14">
        <f>BD142*VLOOKUP('Données projet'!$B$11,Paramètres!$A$1:$I$89,3,0)*VLOOKUP('Données projet'!$B$11,Paramètres!$A$1:$I$89,5,0)</f>
        <v>6.7984728957526396E-14</v>
      </c>
      <c r="BF142" s="14">
        <f t="shared" si="145"/>
        <v>1.0682447123141398E-12</v>
      </c>
      <c r="BG142" s="22">
        <f t="shared" si="115"/>
        <v>1.978932943548152E-12</v>
      </c>
      <c r="BH142" s="62">
        <f t="shared" si="116"/>
        <v>293.3333333333353</v>
      </c>
      <c r="BI142" s="62">
        <f ca="1">AVERAGE(OFFSET($BH$3,0,0,'Données projet'!$E$11+1,1))-AVERAGE(OFFSET($H$3,0,0,'Données projet'!$E$11+1,1))</f>
        <v>295.83974441964551</v>
      </c>
      <c r="BJ142" s="62">
        <f t="shared" si="146"/>
        <v>212.24900914818096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-5.6843418860808015E-14</v>
      </c>
      <c r="BZ142" s="14">
        <f>BY142*VLOOKUP('Données projet'!$B$12,Paramètres!$A$1:$I$89,3,0)*VLOOKUP('Données projet'!$B$12,Paramètres!$A$1:$I$89,5,0)</f>
        <v>-3.2514435588382188E-14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309.71642374647882</v>
      </c>
      <c r="CE142" s="62">
        <f t="shared" si="148"/>
        <v>266.63880397664315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0.11925188598634336</v>
      </c>
      <c r="CM142" s="23">
        <f>EXP(-LN(2)/2)*CM141+(1-EXP(-LN(2)/2))/(LN(2)/2)*CG142*CJ142*VLOOKUP('Données projet'!$B$12,Paramètres!$A$1:$I$89,3,0)*0.475*44/12</f>
        <v>3.1229806036250157E-16</v>
      </c>
      <c r="CN142" s="24">
        <f t="shared" si="120"/>
        <v>0.11925188598634368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-1.7053025658242404E-13</v>
      </c>
      <c r="CU142" s="18">
        <f>CT142*VLOOKUP('Données projet'!$B$13,Paramètres!$A$1:$I$89,3,0)*VLOOKUP('Données projet'!$B$13,Paramètres!$A$1:$I$89,5,0)</f>
        <v>-1.3567387213697657E-13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312.53381881960331</v>
      </c>
      <c r="CZ142" s="62">
        <f t="shared" si="150"/>
        <v>342.06887933351783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2.6</v>
      </c>
      <c r="DO142" s="13">
        <f>IF('Données projet'!$A$166&gt;35,DO141+DN142-DW141,IF(A142&lt;'Données projet'!$A$166,$DL$205^A142,IF(A142='Données projet'!$A$166,'Données projet'!$B$166,DO141+DN142-DW141)))</f>
        <v>279.39999999999941</v>
      </c>
      <c r="DP142" s="18">
        <f>DO142*VLOOKUP('Données projet'!$B$14,Paramètres!$A$1:$I$89,3,0)*VLOOKUP('Données projet'!$B$14,Paramètres!$A$1:$I$89,5,0)</f>
        <v>300.74615999999935</v>
      </c>
      <c r="DQ142" s="14">
        <f t="shared" si="151"/>
        <v>71.332864649807306</v>
      </c>
      <c r="DR142" s="22">
        <f t="shared" si="124"/>
        <v>648.03763459841321</v>
      </c>
      <c r="DS142" s="62">
        <f t="shared" si="125"/>
        <v>941.37096793174646</v>
      </c>
      <c r="DT142" s="62">
        <f ca="1">AVERAGE(OFFSET($DS$3,0,0,'Données projet'!$E$14+1,1))-AVERAGE(OFFSET($H$3,0,0,'Données projet'!$E$14+1,1))</f>
        <v>503.92230226365683</v>
      </c>
      <c r="DU142" s="62">
        <f t="shared" si="152"/>
        <v>267.2998309535638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2.6</v>
      </c>
      <c r="EJ142" s="13">
        <f>IF('Données projet'!$A$192&gt;35,EJ141+EI142-ER141,IF(A142&lt;'Données projet'!$A$192,$EG$205^A142,IF(A142='Données projet'!$A$192,'Données projet'!$B$192,EJ141+EI142-ER141)))</f>
        <v>279.39999999999941</v>
      </c>
      <c r="EK142" s="18">
        <f>EJ142*VLOOKUP('Données projet'!$B$15,Paramètres!$A$1:$I$89,3,0)*VLOOKUP('Données projet'!$B$15,Paramètres!$A$1:$I$89,5,0)</f>
        <v>270.23567999999943</v>
      </c>
      <c r="EL142" s="14">
        <f t="shared" si="153"/>
        <v>64.899283991844968</v>
      </c>
      <c r="EM142" s="22">
        <f t="shared" si="127"/>
        <v>583.69339561912909</v>
      </c>
      <c r="EN142" s="62">
        <f t="shared" si="128"/>
        <v>877.02672895246246</v>
      </c>
      <c r="EO142" s="62">
        <f ca="1">AVERAGE(OFFSET($EN$3,0,0,'Données projet'!$E$15+1,1))-AVERAGE(OFFSET($H$3,0,0,'Données projet'!$E$15+1,1))</f>
        <v>457.16923206840744</v>
      </c>
      <c r="EP142" s="62">
        <f t="shared" si="154"/>
        <v>244.45149244446094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3.979039320256561E-13</v>
      </c>
      <c r="FF142" s="18">
        <f>FE142*VLOOKUP('Données projet'!$B$16,Paramètres!$A$1:$I$89,3,0)*VLOOKUP('Données projet'!$B$16,Paramètres!$A$1:$I$89,5,0)</f>
        <v>2.669139576028101E-13</v>
      </c>
      <c r="FG142" s="14">
        <f t="shared" si="155"/>
        <v>3.5767923834585247E-12</v>
      </c>
      <c r="FH142" s="22">
        <f t="shared" si="130"/>
        <v>6.6944552106818241E-12</v>
      </c>
      <c r="FI142" s="62">
        <f t="shared" si="131"/>
        <v>293.33333333334002</v>
      </c>
      <c r="FJ142" s="62">
        <f ca="1">AVERAGE(OFFSET($FI$3,0,0,'Données projet'!$E$16+1,1))-AVERAGE(OFFSET($H$3,0,0,'Données projet'!$E$16+1,1))</f>
        <v>385.97853124853452</v>
      </c>
      <c r="FK142" s="62">
        <f t="shared" si="156"/>
        <v>300.99118099739695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132.280299502248</v>
      </c>
      <c r="T143" s="62">
        <f t="shared" si="142"/>
        <v>337.98099449405339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7.0931351844040984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5.1092085644392748E-17</v>
      </c>
      <c r="AC143" s="24">
        <f t="shared" si="111"/>
        <v>7.0931351844040984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2.6</v>
      </c>
      <c r="AI143" s="14">
        <f>IF('Données projet'!$A$62&gt;35,AI142+AH143-AQ142,IF(A143&lt;'Données projet'!$A$62,$AF$205^A143,IF(A143='Données projet'!$A$62,'Données projet'!$B$62,AI142+AH143-AQ142)))</f>
        <v>281.99999999999943</v>
      </c>
      <c r="AJ143" s="14">
        <f>AI143*VLOOKUP('Données projet'!$B$10,Paramètres!$A$1:$I$89,3,0)*VLOOKUP('Données projet'!$B$10,Paramètres!$A$1:$I$89,5,0)</f>
        <v>255.15359999999947</v>
      </c>
      <c r="AK143" s="14">
        <f t="shared" si="143"/>
        <v>61.688192762754319</v>
      </c>
      <c r="AL143" s="22">
        <f t="shared" si="112"/>
        <v>551.83278906179623</v>
      </c>
      <c r="AM143" s="62">
        <f t="shared" si="113"/>
        <v>845.16612239512961</v>
      </c>
      <c r="AN143" s="62">
        <f ca="1">AVERAGE(OFFSET($AM$3,0,0,'Données projet'!$E$10+1,1))-AVERAGE(OFFSET($H$3,0,0,'Données projet'!$E$10+1,1))</f>
        <v>430.40491895612814</v>
      </c>
      <c r="AO143" s="62">
        <f t="shared" si="144"/>
        <v>231.36959598460686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1.1368683772161603E-13</v>
      </c>
      <c r="BE143" s="14">
        <f>BD143*VLOOKUP('Données projet'!$B$11,Paramètres!$A$1:$I$89,3,0)*VLOOKUP('Données projet'!$B$11,Paramètres!$A$1:$I$89,5,0)</f>
        <v>6.7984728957526396E-14</v>
      </c>
      <c r="BF143" s="14">
        <f t="shared" si="145"/>
        <v>1.0682447123141398E-12</v>
      </c>
      <c r="BG143" s="22">
        <f t="shared" si="115"/>
        <v>1.978932943548152E-12</v>
      </c>
      <c r="BH143" s="62">
        <f t="shared" si="116"/>
        <v>293.3333333333353</v>
      </c>
      <c r="BI143" s="62">
        <f ca="1">AVERAGE(OFFSET($BH$3,0,0,'Données projet'!$E$11+1,1))-AVERAGE(OFFSET($H$3,0,0,'Données projet'!$E$11+1,1))</f>
        <v>295.83974441964551</v>
      </c>
      <c r="BJ143" s="62">
        <f t="shared" si="146"/>
        <v>212.24900914818096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-5.6843418860808015E-14</v>
      </c>
      <c r="BZ143" s="14">
        <f>BY143*VLOOKUP('Données projet'!$B$12,Paramètres!$A$1:$I$89,3,0)*VLOOKUP('Données projet'!$B$12,Paramètres!$A$1:$I$89,5,0)</f>
        <v>-3.2514435588382188E-14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309.71642374647882</v>
      </c>
      <c r="CE143" s="62">
        <f t="shared" si="148"/>
        <v>266.63880397664315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0.11599093689286266</v>
      </c>
      <c r="CM143" s="23">
        <f>EXP(-LN(2)/2)*CM142+(1-EXP(-LN(2)/2))/(LN(2)/2)*CG143*CJ143*VLOOKUP('Données projet'!$B$12,Paramètres!$A$1:$I$89,3,0)*0.475*44/12</f>
        <v>2.2082807623373064E-16</v>
      </c>
      <c r="CN143" s="24">
        <f t="shared" si="120"/>
        <v>0.11599093689286288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-1.7053025658242404E-13</v>
      </c>
      <c r="CU143" s="18">
        <f>CT143*VLOOKUP('Données projet'!$B$13,Paramètres!$A$1:$I$89,3,0)*VLOOKUP('Données projet'!$B$13,Paramètres!$A$1:$I$89,5,0)</f>
        <v>-1.3567387213697657E-13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312.53381881960331</v>
      </c>
      <c r="CZ143" s="62">
        <f t="shared" si="150"/>
        <v>342.06887933351783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2.6</v>
      </c>
      <c r="DO143" s="13">
        <f>IF('Données projet'!$A$166&gt;35,DO142+DN143-DW142,IF(A143&lt;'Données projet'!$A$166,$DL$205^A143,IF(A143='Données projet'!$A$166,'Données projet'!$B$166,DO142+DN143-DW142)))</f>
        <v>281.99999999999943</v>
      </c>
      <c r="DP143" s="18">
        <f>DO143*VLOOKUP('Données projet'!$B$14,Paramètres!$A$1:$I$89,3,0)*VLOOKUP('Données projet'!$B$14,Paramètres!$A$1:$I$89,5,0)</f>
        <v>303.54479999999938</v>
      </c>
      <c r="DQ143" s="14">
        <f t="shared" si="151"/>
        <v>71.919080904752448</v>
      </c>
      <c r="DR143" s="22">
        <f t="shared" si="124"/>
        <v>653.93292590910937</v>
      </c>
      <c r="DS143" s="62">
        <f t="shared" si="125"/>
        <v>947.26625924244263</v>
      </c>
      <c r="DT143" s="62">
        <f ca="1">AVERAGE(OFFSET($DS$3,0,0,'Données projet'!$E$14+1,1))-AVERAGE(OFFSET($H$3,0,0,'Données projet'!$E$14+1,1))</f>
        <v>503.92230226365683</v>
      </c>
      <c r="DU143" s="62">
        <f t="shared" si="152"/>
        <v>267.2998309535638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2.6</v>
      </c>
      <c r="EJ143" s="13">
        <f>IF('Données projet'!$A$192&gt;35,EJ142+EI143-ER142,IF(A143&lt;'Données projet'!$A$192,$EG$205^A143,IF(A143='Données projet'!$A$192,'Données projet'!$B$192,EJ142+EI143-ER142)))</f>
        <v>281.99999999999943</v>
      </c>
      <c r="EK143" s="18">
        <f>EJ143*VLOOKUP('Données projet'!$B$15,Paramètres!$A$1:$I$89,3,0)*VLOOKUP('Données projet'!$B$15,Paramètres!$A$1:$I$89,5,0)</f>
        <v>272.75039999999944</v>
      </c>
      <c r="EL143" s="14">
        <f t="shared" si="153"/>
        <v>65.432628830820519</v>
      </c>
      <c r="EM143" s="22">
        <f t="shared" si="127"/>
        <v>589.0021085470114</v>
      </c>
      <c r="EN143" s="62">
        <f t="shared" si="128"/>
        <v>882.33544188034466</v>
      </c>
      <c r="EO143" s="62">
        <f ca="1">AVERAGE(OFFSET($EN$3,0,0,'Données projet'!$E$15+1,1))-AVERAGE(OFFSET($H$3,0,0,'Données projet'!$E$15+1,1))</f>
        <v>457.16923206840744</v>
      </c>
      <c r="EP143" s="62">
        <f t="shared" si="154"/>
        <v>244.45149244446094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3.979039320256561E-13</v>
      </c>
      <c r="FF143" s="18">
        <f>FE143*VLOOKUP('Données projet'!$B$16,Paramètres!$A$1:$I$89,3,0)*VLOOKUP('Données projet'!$B$16,Paramètres!$A$1:$I$89,5,0)</f>
        <v>2.669139576028101E-13</v>
      </c>
      <c r="FG143" s="14">
        <f t="shared" si="155"/>
        <v>3.5767923834585247E-12</v>
      </c>
      <c r="FH143" s="22">
        <f t="shared" si="130"/>
        <v>6.6944552106818241E-12</v>
      </c>
      <c r="FI143" s="62">
        <f t="shared" si="131"/>
        <v>293.33333333334002</v>
      </c>
      <c r="FJ143" s="62">
        <f ca="1">AVERAGE(OFFSET($FI$3,0,0,'Données projet'!$E$16+1,1))-AVERAGE(OFFSET($H$3,0,0,'Données projet'!$E$16+1,1))</f>
        <v>385.97853124853452</v>
      </c>
      <c r="FK143" s="62">
        <f t="shared" si="156"/>
        <v>300.99118099739695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132.280299502248</v>
      </c>
      <c r="T144" s="62">
        <f t="shared" si="142"/>
        <v>337.98099449405339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6.9540431298232015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3.6127560224113969E-17</v>
      </c>
      <c r="AC144" s="24">
        <f t="shared" si="111"/>
        <v>6.9540431298232015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2.6</v>
      </c>
      <c r="AI144" s="14">
        <f>IF('Données projet'!$A$62&gt;35,AI143+AH144-AQ143,IF(A144&lt;'Données projet'!$A$62,$AF$205^A144,IF(A144='Données projet'!$A$62,'Données projet'!$B$62,AI143+AH144-AQ143)))</f>
        <v>284.59999999999945</v>
      </c>
      <c r="AJ144" s="14">
        <f>AI144*VLOOKUP('Données projet'!$B$10,Paramètres!$A$1:$I$89,3,0)*VLOOKUP('Données projet'!$B$10,Paramètres!$A$1:$I$89,5,0)</f>
        <v>257.50607999999949</v>
      </c>
      <c r="AK144" s="14">
        <f t="shared" si="143"/>
        <v>62.190477159330406</v>
      </c>
      <c r="AL144" s="22">
        <f t="shared" si="112"/>
        <v>556.80483705249947</v>
      </c>
      <c r="AM144" s="62">
        <f t="shared" si="113"/>
        <v>850.13817038583284</v>
      </c>
      <c r="AN144" s="62">
        <f ca="1">AVERAGE(OFFSET($AM$3,0,0,'Données projet'!$E$10+1,1))-AVERAGE(OFFSET($H$3,0,0,'Données projet'!$E$10+1,1))</f>
        <v>430.40491895612814</v>
      </c>
      <c r="AO144" s="62">
        <f t="shared" si="144"/>
        <v>231.36959598460686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1.1368683772161603E-13</v>
      </c>
      <c r="BE144" s="14">
        <f>BD144*VLOOKUP('Données projet'!$B$11,Paramètres!$A$1:$I$89,3,0)*VLOOKUP('Données projet'!$B$11,Paramètres!$A$1:$I$89,5,0)</f>
        <v>6.7984728957526396E-14</v>
      </c>
      <c r="BF144" s="14">
        <f t="shared" si="145"/>
        <v>1.0682447123141398E-12</v>
      </c>
      <c r="BG144" s="22">
        <f t="shared" si="115"/>
        <v>1.978932943548152E-12</v>
      </c>
      <c r="BH144" s="62">
        <f t="shared" si="116"/>
        <v>293.3333333333353</v>
      </c>
      <c r="BI144" s="62">
        <f ca="1">AVERAGE(OFFSET($BH$3,0,0,'Données projet'!$E$11+1,1))-AVERAGE(OFFSET($H$3,0,0,'Données projet'!$E$11+1,1))</f>
        <v>295.83974441964551</v>
      </c>
      <c r="BJ144" s="62">
        <f t="shared" si="146"/>
        <v>212.24900914818096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-5.6843418860808015E-14</v>
      </c>
      <c r="BZ144" s="14">
        <f>BY144*VLOOKUP('Données projet'!$B$12,Paramètres!$A$1:$I$89,3,0)*VLOOKUP('Données projet'!$B$12,Paramètres!$A$1:$I$89,5,0)</f>
        <v>-3.2514435588382188E-14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309.71642374647882</v>
      </c>
      <c r="CE144" s="62">
        <f t="shared" si="148"/>
        <v>266.63880397664315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0.11281915862382906</v>
      </c>
      <c r="CM144" s="23">
        <f>EXP(-LN(2)/2)*CM143+(1-EXP(-LN(2)/2))/(LN(2)/2)*CG144*CJ144*VLOOKUP('Données projet'!$B$12,Paramètres!$A$1:$I$89,3,0)*0.475*44/12</f>
        <v>1.5614903018125081E-16</v>
      </c>
      <c r="CN144" s="24">
        <f t="shared" si="120"/>
        <v>0.11281915862382921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-1.7053025658242404E-13</v>
      </c>
      <c r="CU144" s="18">
        <f>CT144*VLOOKUP('Données projet'!$B$13,Paramètres!$A$1:$I$89,3,0)*VLOOKUP('Données projet'!$B$13,Paramètres!$A$1:$I$89,5,0)</f>
        <v>-1.3567387213697657E-13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312.53381881960331</v>
      </c>
      <c r="CZ144" s="62">
        <f t="shared" si="150"/>
        <v>342.06887933351783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2.6</v>
      </c>
      <c r="DO144" s="13">
        <f>IF('Données projet'!$A$166&gt;35,DO143+DN144-DW143,IF(A144&lt;'Données projet'!$A$166,$DL$205^A144,IF(A144='Données projet'!$A$166,'Données projet'!$B$166,DO143+DN144-DW143)))</f>
        <v>284.59999999999945</v>
      </c>
      <c r="DP144" s="18">
        <f>DO144*VLOOKUP('Données projet'!$B$14,Paramètres!$A$1:$I$89,3,0)*VLOOKUP('Données projet'!$B$14,Paramètres!$A$1:$I$89,5,0)</f>
        <v>306.34343999999936</v>
      </c>
      <c r="DQ144" s="14">
        <f t="shared" si="151"/>
        <v>72.504668365443322</v>
      </c>
      <c r="DR144" s="22">
        <f t="shared" si="124"/>
        <v>659.82712206981262</v>
      </c>
      <c r="DS144" s="62">
        <f t="shared" si="125"/>
        <v>953.16045540314599</v>
      </c>
      <c r="DT144" s="62">
        <f ca="1">AVERAGE(OFFSET($DS$3,0,0,'Données projet'!$E$14+1,1))-AVERAGE(OFFSET($H$3,0,0,'Données projet'!$E$14+1,1))</f>
        <v>503.92230226365683</v>
      </c>
      <c r="DU144" s="62">
        <f t="shared" si="152"/>
        <v>267.2998309535638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2.6</v>
      </c>
      <c r="EJ144" s="13">
        <f>IF('Données projet'!$A$192&gt;35,EJ143+EI144-ER143,IF(A144&lt;'Données projet'!$A$192,$EG$205^A144,IF(A144='Données projet'!$A$192,'Données projet'!$B$192,EJ143+EI144-ER143)))</f>
        <v>284.59999999999945</v>
      </c>
      <c r="EK144" s="18">
        <f>EJ144*VLOOKUP('Données projet'!$B$15,Paramètres!$A$1:$I$89,3,0)*VLOOKUP('Données projet'!$B$15,Paramètres!$A$1:$I$89,5,0)</f>
        <v>275.26511999999946</v>
      </c>
      <c r="EL144" s="14">
        <f t="shared" si="153"/>
        <v>65.965401587109142</v>
      </c>
      <c r="EM144" s="22">
        <f t="shared" si="127"/>
        <v>594.30982509754745</v>
      </c>
      <c r="EN144" s="62">
        <f t="shared" si="128"/>
        <v>887.6431584308807</v>
      </c>
      <c r="EO144" s="62">
        <f ca="1">AVERAGE(OFFSET($EN$3,0,0,'Données projet'!$E$15+1,1))-AVERAGE(OFFSET($H$3,0,0,'Données projet'!$E$15+1,1))</f>
        <v>457.16923206840744</v>
      </c>
      <c r="EP144" s="62">
        <f t="shared" si="154"/>
        <v>244.45149244446094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3.979039320256561E-13</v>
      </c>
      <c r="FF144" s="18">
        <f>FE144*VLOOKUP('Données projet'!$B$16,Paramètres!$A$1:$I$89,3,0)*VLOOKUP('Données projet'!$B$16,Paramètres!$A$1:$I$89,5,0)</f>
        <v>2.669139576028101E-13</v>
      </c>
      <c r="FG144" s="14">
        <f t="shared" si="155"/>
        <v>3.5767923834585247E-12</v>
      </c>
      <c r="FH144" s="22">
        <f t="shared" si="130"/>
        <v>6.6944552106818241E-12</v>
      </c>
      <c r="FI144" s="62">
        <f t="shared" si="131"/>
        <v>293.33333333334002</v>
      </c>
      <c r="FJ144" s="62">
        <f ca="1">AVERAGE(OFFSET($FI$3,0,0,'Données projet'!$E$16+1,1))-AVERAGE(OFFSET($H$3,0,0,'Données projet'!$E$16+1,1))</f>
        <v>385.97853124853452</v>
      </c>
      <c r="FK144" s="62">
        <f t="shared" si="156"/>
        <v>300.99118099739695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132.280299502248</v>
      </c>
      <c r="T145" s="62">
        <f t="shared" si="142"/>
        <v>337.98099449405339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6.8176785855948596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2.5546042822196374E-17</v>
      </c>
      <c r="AC145" s="24">
        <f t="shared" si="111"/>
        <v>6.8176785855948596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2.6</v>
      </c>
      <c r="AI145" s="14">
        <f>IF('Données projet'!$A$62&gt;35,AI144+AH145-AQ144,IF(A145&lt;'Données projet'!$A$62,$AF$205^A145,IF(A145='Données projet'!$A$62,'Données projet'!$B$62,AI144+AH145-AQ144)))</f>
        <v>287.19999999999948</v>
      </c>
      <c r="AJ145" s="14">
        <f>AI145*VLOOKUP('Données projet'!$B$10,Paramètres!$A$1:$I$89,3,0)*VLOOKUP('Données projet'!$B$10,Paramètres!$A$1:$I$89,5,0)</f>
        <v>259.8585599999995</v>
      </c>
      <c r="AK145" s="14">
        <f t="shared" si="143"/>
        <v>62.692227709138365</v>
      </c>
      <c r="AL145" s="22">
        <f t="shared" si="112"/>
        <v>561.77595526008179</v>
      </c>
      <c r="AM145" s="62">
        <f t="shared" si="113"/>
        <v>855.10928859341516</v>
      </c>
      <c r="AN145" s="62">
        <f ca="1">AVERAGE(OFFSET($AM$3,0,0,'Données projet'!$E$10+1,1))-AVERAGE(OFFSET($H$3,0,0,'Données projet'!$E$10+1,1))</f>
        <v>430.40491895612814</v>
      </c>
      <c r="AO145" s="62">
        <f t="shared" si="144"/>
        <v>231.36959598460686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1.1368683772161603E-13</v>
      </c>
      <c r="BE145" s="14">
        <f>BD145*VLOOKUP('Données projet'!$B$11,Paramètres!$A$1:$I$89,3,0)*VLOOKUP('Données projet'!$B$11,Paramètres!$A$1:$I$89,5,0)</f>
        <v>6.7984728957526396E-14</v>
      </c>
      <c r="BF145" s="14">
        <f t="shared" si="145"/>
        <v>1.0682447123141398E-12</v>
      </c>
      <c r="BG145" s="22">
        <f t="shared" si="115"/>
        <v>1.978932943548152E-12</v>
      </c>
      <c r="BH145" s="62">
        <f t="shared" si="116"/>
        <v>293.3333333333353</v>
      </c>
      <c r="BI145" s="62">
        <f ca="1">AVERAGE(OFFSET($BH$3,0,0,'Données projet'!$E$11+1,1))-AVERAGE(OFFSET($H$3,0,0,'Données projet'!$E$11+1,1))</f>
        <v>295.83974441964551</v>
      </c>
      <c r="BJ145" s="62">
        <f t="shared" si="146"/>
        <v>212.24900914818096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-5.6843418860808015E-14</v>
      </c>
      <c r="BZ145" s="14">
        <f>BY145*VLOOKUP('Données projet'!$B$12,Paramètres!$A$1:$I$89,3,0)*VLOOKUP('Données projet'!$B$12,Paramètres!$A$1:$I$89,5,0)</f>
        <v>-3.2514435588382188E-14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309.71642374647882</v>
      </c>
      <c r="CE145" s="62">
        <f t="shared" si="148"/>
        <v>266.63880397664315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0.10973411279835875</v>
      </c>
      <c r="CM145" s="23">
        <f>EXP(-LN(2)/2)*CM144+(1-EXP(-LN(2)/2))/(LN(2)/2)*CG145*CJ145*VLOOKUP('Données projet'!$B$12,Paramètres!$A$1:$I$89,3,0)*0.475*44/12</f>
        <v>1.1041403811686533E-16</v>
      </c>
      <c r="CN145" s="24">
        <f t="shared" si="120"/>
        <v>0.10973411279835886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-1.7053025658242404E-13</v>
      </c>
      <c r="CU145" s="18">
        <f>CT145*VLOOKUP('Données projet'!$B$13,Paramètres!$A$1:$I$89,3,0)*VLOOKUP('Données projet'!$B$13,Paramètres!$A$1:$I$89,5,0)</f>
        <v>-1.3567387213697657E-13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312.53381881960331</v>
      </c>
      <c r="CZ145" s="62">
        <f t="shared" si="150"/>
        <v>342.06887933351783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2.6</v>
      </c>
      <c r="DO145" s="13">
        <f>IF('Données projet'!$A$166&gt;35,DO144+DN145-DW144,IF(A145&lt;'Données projet'!$A$166,$DL$205^A145,IF(A145='Données projet'!$A$166,'Données projet'!$B$166,DO144+DN145-DW144)))</f>
        <v>287.19999999999948</v>
      </c>
      <c r="DP145" s="18">
        <f>DO145*VLOOKUP('Données projet'!$B$14,Paramètres!$A$1:$I$89,3,0)*VLOOKUP('Données projet'!$B$14,Paramètres!$A$1:$I$89,5,0)</f>
        <v>309.14207999999945</v>
      </c>
      <c r="DQ145" s="14">
        <f t="shared" si="151"/>
        <v>73.089633441733085</v>
      </c>
      <c r="DR145" s="22">
        <f t="shared" si="124"/>
        <v>665.72023424435088</v>
      </c>
      <c r="DS145" s="62">
        <f t="shared" si="125"/>
        <v>959.05356757768413</v>
      </c>
      <c r="DT145" s="62">
        <f ca="1">AVERAGE(OFFSET($DS$3,0,0,'Données projet'!$E$14+1,1))-AVERAGE(OFFSET($H$3,0,0,'Données projet'!$E$14+1,1))</f>
        <v>503.92230226365683</v>
      </c>
      <c r="DU145" s="62">
        <f t="shared" si="152"/>
        <v>267.2998309535638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2.6</v>
      </c>
      <c r="EJ145" s="13">
        <f>IF('Données projet'!$A$192&gt;35,EJ144+EI145-ER144,IF(A145&lt;'Données projet'!$A$192,$EG$205^A145,IF(A145='Données projet'!$A$192,'Données projet'!$B$192,EJ144+EI145-ER144)))</f>
        <v>287.19999999999948</v>
      </c>
      <c r="EK145" s="18">
        <f>EJ145*VLOOKUP('Données projet'!$B$15,Paramètres!$A$1:$I$89,3,0)*VLOOKUP('Données projet'!$B$15,Paramètres!$A$1:$I$89,5,0)</f>
        <v>277.77983999999952</v>
      </c>
      <c r="EL145" s="14">
        <f t="shared" si="153"/>
        <v>66.497608092453063</v>
      </c>
      <c r="EM145" s="22">
        <f t="shared" si="127"/>
        <v>599.61655542768824</v>
      </c>
      <c r="EN145" s="62">
        <f t="shared" si="128"/>
        <v>892.94988876102161</v>
      </c>
      <c r="EO145" s="62">
        <f ca="1">AVERAGE(OFFSET($EN$3,0,0,'Données projet'!$E$15+1,1))-AVERAGE(OFFSET($H$3,0,0,'Données projet'!$E$15+1,1))</f>
        <v>457.16923206840744</v>
      </c>
      <c r="EP145" s="62">
        <f t="shared" si="154"/>
        <v>244.45149244446094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3.979039320256561E-13</v>
      </c>
      <c r="FF145" s="18">
        <f>FE145*VLOOKUP('Données projet'!$B$16,Paramètres!$A$1:$I$89,3,0)*VLOOKUP('Données projet'!$B$16,Paramètres!$A$1:$I$89,5,0)</f>
        <v>2.669139576028101E-13</v>
      </c>
      <c r="FG145" s="14">
        <f t="shared" si="155"/>
        <v>3.5767923834585247E-12</v>
      </c>
      <c r="FH145" s="22">
        <f t="shared" si="130"/>
        <v>6.6944552106818241E-12</v>
      </c>
      <c r="FI145" s="62">
        <f t="shared" si="131"/>
        <v>293.33333333334002</v>
      </c>
      <c r="FJ145" s="62">
        <f ca="1">AVERAGE(OFFSET($FI$3,0,0,'Données projet'!$E$16+1,1))-AVERAGE(OFFSET($H$3,0,0,'Données projet'!$E$16+1,1))</f>
        <v>385.97853124853452</v>
      </c>
      <c r="FK145" s="62">
        <f t="shared" si="156"/>
        <v>300.99118099739695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132.280299502248</v>
      </c>
      <c r="T146" s="62">
        <f t="shared" si="142"/>
        <v>337.98099449405339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6.6839880669046767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1.8063780112056984E-17</v>
      </c>
      <c r="AC146" s="24">
        <f t="shared" si="111"/>
        <v>6.6839880669046767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2.6</v>
      </c>
      <c r="AI146" s="14">
        <f>IF('Données projet'!$A$62&gt;35,AI145+AH146-AQ145,IF(A146&lt;'Données projet'!$A$62,$AF$205^A146,IF(A146='Données projet'!$A$62,'Données projet'!$B$62,AI145+AH146-AQ145)))</f>
        <v>289.7999999999995</v>
      </c>
      <c r="AJ146" s="14">
        <f>AI146*VLOOKUP('Données projet'!$B$10,Paramètres!$A$1:$I$89,3,0)*VLOOKUP('Données projet'!$B$10,Paramètres!$A$1:$I$89,5,0)</f>
        <v>262.21103999999951</v>
      </c>
      <c r="AK146" s="14">
        <f t="shared" si="143"/>
        <v>63.19344980490574</v>
      </c>
      <c r="AL146" s="22">
        <f t="shared" si="112"/>
        <v>566.74615307687668</v>
      </c>
      <c r="AM146" s="62">
        <f t="shared" si="113"/>
        <v>860.07948641020994</v>
      </c>
      <c r="AN146" s="62">
        <f ca="1">AVERAGE(OFFSET($AM$3,0,0,'Données projet'!$E$10+1,1))-AVERAGE(OFFSET($H$3,0,0,'Données projet'!$E$10+1,1))</f>
        <v>430.40491895612814</v>
      </c>
      <c r="AO146" s="62">
        <f t="shared" si="144"/>
        <v>231.36959598460686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1.1368683772161603E-13</v>
      </c>
      <c r="BE146" s="14">
        <f>BD146*VLOOKUP('Données projet'!$B$11,Paramètres!$A$1:$I$89,3,0)*VLOOKUP('Données projet'!$B$11,Paramètres!$A$1:$I$89,5,0)</f>
        <v>6.7984728957526396E-14</v>
      </c>
      <c r="BF146" s="14">
        <f t="shared" si="145"/>
        <v>1.0682447123141398E-12</v>
      </c>
      <c r="BG146" s="22">
        <f t="shared" si="115"/>
        <v>1.978932943548152E-12</v>
      </c>
      <c r="BH146" s="62">
        <f t="shared" si="116"/>
        <v>293.3333333333353</v>
      </c>
      <c r="BI146" s="62">
        <f ca="1">AVERAGE(OFFSET($BH$3,0,0,'Données projet'!$E$11+1,1))-AVERAGE(OFFSET($H$3,0,0,'Données projet'!$E$11+1,1))</f>
        <v>295.83974441964551</v>
      </c>
      <c r="BJ146" s="62">
        <f t="shared" si="146"/>
        <v>212.24900914818096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-5.6843418860808015E-14</v>
      </c>
      <c r="BZ146" s="14">
        <f>BY146*VLOOKUP('Données projet'!$B$12,Paramètres!$A$1:$I$89,3,0)*VLOOKUP('Données projet'!$B$12,Paramètres!$A$1:$I$89,5,0)</f>
        <v>-3.2514435588382188E-14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309.71642374647882</v>
      </c>
      <c r="CE146" s="62">
        <f t="shared" si="148"/>
        <v>266.63880397664315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0.10673342771322143</v>
      </c>
      <c r="CM146" s="23">
        <f>EXP(-LN(2)/2)*CM145+(1-EXP(-LN(2)/2))/(LN(2)/2)*CG146*CJ146*VLOOKUP('Données projet'!$B$12,Paramètres!$A$1:$I$89,3,0)*0.475*44/12</f>
        <v>7.8074515090625418E-17</v>
      </c>
      <c r="CN146" s="24">
        <f t="shared" si="120"/>
        <v>0.10673342771322152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-1.7053025658242404E-13</v>
      </c>
      <c r="CU146" s="18">
        <f>CT146*VLOOKUP('Données projet'!$B$13,Paramètres!$A$1:$I$89,3,0)*VLOOKUP('Données projet'!$B$13,Paramètres!$A$1:$I$89,5,0)</f>
        <v>-1.3567387213697657E-13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312.53381881960331</v>
      </c>
      <c r="CZ146" s="62">
        <f t="shared" si="150"/>
        <v>342.06887933351783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2.6</v>
      </c>
      <c r="DO146" s="13">
        <f>IF('Données projet'!$A$166&gt;35,DO145+DN146-DW145,IF(A146&lt;'Données projet'!$A$166,$DL$205^A146,IF(A146='Données projet'!$A$166,'Données projet'!$B$166,DO145+DN146-DW145)))</f>
        <v>289.7999999999995</v>
      </c>
      <c r="DP146" s="18">
        <f>DO146*VLOOKUP('Données projet'!$B$14,Paramètres!$A$1:$I$89,3,0)*VLOOKUP('Données projet'!$B$14,Paramètres!$A$1:$I$89,5,0)</f>
        <v>311.94071999999949</v>
      </c>
      <c r="DQ146" s="14">
        <f t="shared" si="151"/>
        <v>73.673982420724542</v>
      </c>
      <c r="DR146" s="22">
        <f t="shared" si="124"/>
        <v>671.61227338276092</v>
      </c>
      <c r="DS146" s="62">
        <f t="shared" si="125"/>
        <v>964.94560671609429</v>
      </c>
      <c r="DT146" s="62">
        <f ca="1">AVERAGE(OFFSET($DS$3,0,0,'Données projet'!$E$14+1,1))-AVERAGE(OFFSET($H$3,0,0,'Données projet'!$E$14+1,1))</f>
        <v>503.92230226365683</v>
      </c>
      <c r="DU146" s="62">
        <f t="shared" si="152"/>
        <v>267.2998309535638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2.6</v>
      </c>
      <c r="EJ146" s="13">
        <f>IF('Données projet'!$A$192&gt;35,EJ145+EI146-ER145,IF(A146&lt;'Données projet'!$A$192,$EG$205^A146,IF(A146='Données projet'!$A$192,'Données projet'!$B$192,EJ145+EI146-ER145)))</f>
        <v>289.7999999999995</v>
      </c>
      <c r="EK146" s="18">
        <f>EJ146*VLOOKUP('Données projet'!$B$15,Paramètres!$A$1:$I$89,3,0)*VLOOKUP('Données projet'!$B$15,Paramètres!$A$1:$I$89,5,0)</f>
        <v>280.29455999999948</v>
      </c>
      <c r="EL146" s="14">
        <f t="shared" si="153"/>
        <v>67.02925406691503</v>
      </c>
      <c r="EM146" s="22">
        <f t="shared" si="127"/>
        <v>604.92230949987606</v>
      </c>
      <c r="EN146" s="62">
        <f t="shared" si="128"/>
        <v>898.25564283320932</v>
      </c>
      <c r="EO146" s="62">
        <f ca="1">AVERAGE(OFFSET($EN$3,0,0,'Données projet'!$E$15+1,1))-AVERAGE(OFFSET($H$3,0,0,'Données projet'!$E$15+1,1))</f>
        <v>457.16923206840744</v>
      </c>
      <c r="EP146" s="62">
        <f t="shared" si="154"/>
        <v>244.45149244446094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3.979039320256561E-13</v>
      </c>
      <c r="FF146" s="18">
        <f>FE146*VLOOKUP('Données projet'!$B$16,Paramètres!$A$1:$I$89,3,0)*VLOOKUP('Données projet'!$B$16,Paramètres!$A$1:$I$89,5,0)</f>
        <v>2.669139576028101E-13</v>
      </c>
      <c r="FG146" s="14">
        <f t="shared" si="155"/>
        <v>3.5767923834585247E-12</v>
      </c>
      <c r="FH146" s="22">
        <f t="shared" si="130"/>
        <v>6.6944552106818241E-12</v>
      </c>
      <c r="FI146" s="62">
        <f t="shared" si="131"/>
        <v>293.33333333334002</v>
      </c>
      <c r="FJ146" s="62">
        <f ca="1">AVERAGE(OFFSET($FI$3,0,0,'Données projet'!$E$16+1,1))-AVERAGE(OFFSET($H$3,0,0,'Données projet'!$E$16+1,1))</f>
        <v>385.97853124853452</v>
      </c>
      <c r="FK146" s="62">
        <f t="shared" si="156"/>
        <v>300.99118099739695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132.280299502248</v>
      </c>
      <c r="T147" s="62">
        <f t="shared" si="142"/>
        <v>337.98099449405339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6.5529191377428431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1.2773021411098187E-17</v>
      </c>
      <c r="AC147" s="24">
        <f t="shared" si="111"/>
        <v>6.5529191377428431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2.6</v>
      </c>
      <c r="AI147" s="14">
        <f>IF('Données projet'!$A$62&gt;35,AI146+AH147-AQ146,IF(A147&lt;'Données projet'!$A$62,$AF$205^A147,IF(A147='Données projet'!$A$62,'Données projet'!$B$62,AI146+AH147-AQ146)))</f>
        <v>292.39999999999952</v>
      </c>
      <c r="AJ147" s="14">
        <f>AI147*VLOOKUP('Données projet'!$B$10,Paramètres!$A$1:$I$89,3,0)*VLOOKUP('Données projet'!$B$10,Paramètres!$A$1:$I$89,5,0)</f>
        <v>264.56351999999953</v>
      </c>
      <c r="AK147" s="14">
        <f t="shared" si="143"/>
        <v>63.694148737013748</v>
      </c>
      <c r="AL147" s="22">
        <f t="shared" si="112"/>
        <v>571.71543971696474</v>
      </c>
      <c r="AM147" s="62">
        <f t="shared" si="113"/>
        <v>865.048773050298</v>
      </c>
      <c r="AN147" s="62">
        <f ca="1">AVERAGE(OFFSET($AM$3,0,0,'Données projet'!$E$10+1,1))-AVERAGE(OFFSET($H$3,0,0,'Données projet'!$E$10+1,1))</f>
        <v>430.40491895612814</v>
      </c>
      <c r="AO147" s="62">
        <f t="shared" si="144"/>
        <v>231.36959598460686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1.1368683772161603E-13</v>
      </c>
      <c r="BE147" s="14">
        <f>BD147*VLOOKUP('Données projet'!$B$11,Paramètres!$A$1:$I$89,3,0)*VLOOKUP('Données projet'!$B$11,Paramètres!$A$1:$I$89,5,0)</f>
        <v>6.7984728957526396E-14</v>
      </c>
      <c r="BF147" s="14">
        <f t="shared" si="145"/>
        <v>1.0682447123141398E-12</v>
      </c>
      <c r="BG147" s="22">
        <f t="shared" si="115"/>
        <v>1.978932943548152E-12</v>
      </c>
      <c r="BH147" s="62">
        <f t="shared" si="116"/>
        <v>293.3333333333353</v>
      </c>
      <c r="BI147" s="62">
        <f ca="1">AVERAGE(OFFSET($BH$3,0,0,'Données projet'!$E$11+1,1))-AVERAGE(OFFSET($H$3,0,0,'Données projet'!$E$11+1,1))</f>
        <v>295.83974441964551</v>
      </c>
      <c r="BJ147" s="62">
        <f t="shared" si="146"/>
        <v>212.24900914818096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-5.6843418860808015E-14</v>
      </c>
      <c r="BZ147" s="14">
        <f>BY147*VLOOKUP('Données projet'!$B$12,Paramètres!$A$1:$I$89,3,0)*VLOOKUP('Données projet'!$B$12,Paramètres!$A$1:$I$89,5,0)</f>
        <v>-3.2514435588382188E-14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309.71642374647882</v>
      </c>
      <c r="CE147" s="62">
        <f t="shared" si="148"/>
        <v>266.63880397664315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0.10381479651953637</v>
      </c>
      <c r="CM147" s="23">
        <f>EXP(-LN(2)/2)*CM146+(1-EXP(-LN(2)/2))/(LN(2)/2)*CG147*CJ147*VLOOKUP('Données projet'!$B$12,Paramètres!$A$1:$I$89,3,0)*0.475*44/12</f>
        <v>5.5207019058432672E-17</v>
      </c>
      <c r="CN147" s="24">
        <f t="shared" si="120"/>
        <v>0.10381479651953643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-1.7053025658242404E-13</v>
      </c>
      <c r="CU147" s="18">
        <f>CT147*VLOOKUP('Données projet'!$B$13,Paramètres!$A$1:$I$89,3,0)*VLOOKUP('Données projet'!$B$13,Paramètres!$A$1:$I$89,5,0)</f>
        <v>-1.3567387213697657E-13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312.53381881960331</v>
      </c>
      <c r="CZ147" s="62">
        <f t="shared" si="150"/>
        <v>342.06887933351783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2.6</v>
      </c>
      <c r="DO147" s="13">
        <f>IF('Données projet'!$A$166&gt;35,DO146+DN147-DW146,IF(A147&lt;'Données projet'!$A$166,$DL$205^A147,IF(A147='Données projet'!$A$166,'Données projet'!$B$166,DO146+DN147-DW146)))</f>
        <v>292.39999999999952</v>
      </c>
      <c r="DP147" s="18">
        <f>DO147*VLOOKUP('Données projet'!$B$14,Paramètres!$A$1:$I$89,3,0)*VLOOKUP('Données projet'!$B$14,Paramètres!$A$1:$I$89,5,0)</f>
        <v>314.73935999999946</v>
      </c>
      <c r="DQ147" s="14">
        <f t="shared" si="151"/>
        <v>74.257721470200096</v>
      </c>
      <c r="DR147" s="22">
        <f t="shared" si="124"/>
        <v>677.50325022726418</v>
      </c>
      <c r="DS147" s="62">
        <f t="shared" si="125"/>
        <v>970.83658356059755</v>
      </c>
      <c r="DT147" s="62">
        <f ca="1">AVERAGE(OFFSET($DS$3,0,0,'Données projet'!$E$14+1,1))-AVERAGE(OFFSET($H$3,0,0,'Données projet'!$E$14+1,1))</f>
        <v>503.92230226365683</v>
      </c>
      <c r="DU147" s="62">
        <f t="shared" si="152"/>
        <v>267.2998309535638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2.6</v>
      </c>
      <c r="EJ147" s="13">
        <f>IF('Données projet'!$A$192&gt;35,EJ146+EI147-ER146,IF(A147&lt;'Données projet'!$A$192,$EG$205^A147,IF(A147='Données projet'!$A$192,'Données projet'!$B$192,EJ146+EI147-ER146)))</f>
        <v>292.39999999999952</v>
      </c>
      <c r="EK147" s="18">
        <f>EJ147*VLOOKUP('Données projet'!$B$15,Paramètres!$A$1:$I$89,3,0)*VLOOKUP('Données projet'!$B$15,Paramètres!$A$1:$I$89,5,0)</f>
        <v>282.80927999999955</v>
      </c>
      <c r="EL147" s="14">
        <f t="shared" si="153"/>
        <v>67.560345121999219</v>
      </c>
      <c r="EM147" s="22">
        <f t="shared" si="127"/>
        <v>610.22709708748118</v>
      </c>
      <c r="EN147" s="62">
        <f t="shared" si="128"/>
        <v>903.56043042081455</v>
      </c>
      <c r="EO147" s="62">
        <f ca="1">AVERAGE(OFFSET($EN$3,0,0,'Données projet'!$E$15+1,1))-AVERAGE(OFFSET($H$3,0,0,'Données projet'!$E$15+1,1))</f>
        <v>457.16923206840744</v>
      </c>
      <c r="EP147" s="62">
        <f t="shared" si="154"/>
        <v>244.45149244446094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3.979039320256561E-13</v>
      </c>
      <c r="FF147" s="18">
        <f>FE147*VLOOKUP('Données projet'!$B$16,Paramètres!$A$1:$I$89,3,0)*VLOOKUP('Données projet'!$B$16,Paramètres!$A$1:$I$89,5,0)</f>
        <v>2.669139576028101E-13</v>
      </c>
      <c r="FG147" s="14">
        <f t="shared" si="155"/>
        <v>3.5767923834585247E-12</v>
      </c>
      <c r="FH147" s="22">
        <f t="shared" si="130"/>
        <v>6.6944552106818241E-12</v>
      </c>
      <c r="FI147" s="62">
        <f t="shared" si="131"/>
        <v>293.33333333334002</v>
      </c>
      <c r="FJ147" s="62">
        <f ca="1">AVERAGE(OFFSET($FI$3,0,0,'Données projet'!$E$16+1,1))-AVERAGE(OFFSET($H$3,0,0,'Données projet'!$E$16+1,1))</f>
        <v>385.97853124853452</v>
      </c>
      <c r="FK147" s="62">
        <f t="shared" si="156"/>
        <v>300.99118099739695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132.280299502248</v>
      </c>
      <c r="T148" s="62">
        <f t="shared" si="142"/>
        <v>337.98099449405339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6.4244203903377199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9.0318900560284921E-18</v>
      </c>
      <c r="AC148" s="24">
        <f t="shared" si="111"/>
        <v>6.4244203903377199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>
        <f>VLOOKUP(A148,'Données projet'!$A$61:$I$81,2,0)</f>
        <v>295</v>
      </c>
      <c r="AG148" s="13">
        <f>VLOOKUP(A148,'Données projet'!$A$61:$I$81,9,0)</f>
        <v>2.6</v>
      </c>
      <c r="AH148" s="13">
        <f t="array" ref="AH148">INDEX(AG:AG,MIN(IF(ISNUMBER(AG148:AG344),ROW(AG148:AG344),"")))</f>
        <v>2.6</v>
      </c>
      <c r="AI148" s="14">
        <f>IF('Données projet'!$A$62&gt;35,AI147+AH148-AQ147,IF(A148&lt;'Données projet'!$A$62,$AF$205^A148,IF(A148='Données projet'!$A$62,'Données projet'!$B$62,AI147+AH148-AQ147)))</f>
        <v>294.99999999999955</v>
      </c>
      <c r="AJ148" s="14">
        <f>AI148*VLOOKUP('Données projet'!$B$10,Paramètres!$A$1:$I$89,3,0)*VLOOKUP('Données projet'!$B$10,Paramètres!$A$1:$I$89,5,0)</f>
        <v>266.9159999999996</v>
      </c>
      <c r="AK148" s="14">
        <f t="shared" si="143"/>
        <v>64.194329696332062</v>
      </c>
      <c r="AL148" s="22">
        <f t="shared" si="112"/>
        <v>576.68382422111085</v>
      </c>
      <c r="AM148" s="62">
        <f t="shared" si="113"/>
        <v>870.01715755444411</v>
      </c>
      <c r="AN148" s="62">
        <f ca="1">AVERAGE(OFFSET($AM$3,0,0,'Données projet'!$E$10+1,1))-AVERAGE(OFFSET($H$3,0,0,'Données projet'!$E$10+1,1))</f>
        <v>430.40491895612814</v>
      </c>
      <c r="AO148" s="62">
        <f t="shared" si="144"/>
        <v>231.36959598460686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1.1368683772161603E-13</v>
      </c>
      <c r="BE148" s="14">
        <f>BD148*VLOOKUP('Données projet'!$B$11,Paramètres!$A$1:$I$89,3,0)*VLOOKUP('Données projet'!$B$11,Paramètres!$A$1:$I$89,5,0)</f>
        <v>6.7984728957526396E-14</v>
      </c>
      <c r="BF148" s="14">
        <f t="shared" si="145"/>
        <v>1.0682447123141398E-12</v>
      </c>
      <c r="BG148" s="22">
        <f t="shared" si="115"/>
        <v>1.978932943548152E-12</v>
      </c>
      <c r="BH148" s="62">
        <f t="shared" si="116"/>
        <v>293.3333333333353</v>
      </c>
      <c r="BI148" s="62">
        <f ca="1">AVERAGE(OFFSET($BH$3,0,0,'Données projet'!$E$11+1,1))-AVERAGE(OFFSET($H$3,0,0,'Données projet'!$E$11+1,1))</f>
        <v>295.83974441964551</v>
      </c>
      <c r="BJ148" s="62">
        <f t="shared" si="146"/>
        <v>212.24900914818096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-5.6843418860808015E-14</v>
      </c>
      <c r="BZ148" s="14">
        <f>BY148*VLOOKUP('Données projet'!$B$12,Paramètres!$A$1:$I$89,3,0)*VLOOKUP('Données projet'!$B$12,Paramètres!$A$1:$I$89,5,0)</f>
        <v>-3.2514435588382188E-14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309.71642374647882</v>
      </c>
      <c r="CE148" s="62">
        <f t="shared" si="148"/>
        <v>266.63880397664315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0.10097597544932678</v>
      </c>
      <c r="CM148" s="23">
        <f>EXP(-LN(2)/2)*CM147+(1-EXP(-LN(2)/2))/(LN(2)/2)*CG148*CJ148*VLOOKUP('Données projet'!$B$12,Paramètres!$A$1:$I$89,3,0)*0.475*44/12</f>
        <v>3.9037257545312715E-17</v>
      </c>
      <c r="CN148" s="24">
        <f t="shared" si="120"/>
        <v>0.10097597544932682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-1.7053025658242404E-13</v>
      </c>
      <c r="CU148" s="18">
        <f>CT148*VLOOKUP('Données projet'!$B$13,Paramètres!$A$1:$I$89,3,0)*VLOOKUP('Données projet'!$B$13,Paramètres!$A$1:$I$89,5,0)</f>
        <v>-1.3567387213697657E-13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312.53381881960331</v>
      </c>
      <c r="CZ148" s="62">
        <f t="shared" si="150"/>
        <v>342.06887933351783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>
        <f>VLOOKUP(A148,'Données projet'!$A$165:$I$185,2,0)</f>
        <v>295</v>
      </c>
      <c r="DM148" s="13">
        <f>VLOOKUP(A148,'Données projet'!$A$165:$I$185,9,0)</f>
        <v>2.6</v>
      </c>
      <c r="DN148" s="13">
        <f t="array" ref="DN148">INDEX(DM:DM,MIN(IF(ISNUMBER(DM148:DM344),ROW(DM148:DM344),"")))</f>
        <v>2.6</v>
      </c>
      <c r="DO148" s="13">
        <f>IF('Données projet'!$A$166&gt;35,DO147+DN148-DW147,IF(A148&lt;'Données projet'!$A$166,$DL$205^A148,IF(A148='Données projet'!$A$166,'Données projet'!$B$166,DO147+DN148-DW147)))</f>
        <v>294.99999999999955</v>
      </c>
      <c r="DP148" s="18">
        <f>DO148*VLOOKUP('Données projet'!$B$14,Paramètres!$A$1:$I$89,3,0)*VLOOKUP('Données projet'!$B$14,Paramètres!$A$1:$I$89,5,0)</f>
        <v>317.5379999999995</v>
      </c>
      <c r="DQ148" s="14">
        <f t="shared" si="151"/>
        <v>74.84085664192699</v>
      </c>
      <c r="DR148" s="22">
        <f t="shared" si="124"/>
        <v>683.39317531802192</v>
      </c>
      <c r="DS148" s="62">
        <f t="shared" si="125"/>
        <v>976.72650865135529</v>
      </c>
      <c r="DT148" s="62">
        <f ca="1">AVERAGE(OFFSET($DS$3,0,0,'Données projet'!$E$14+1,1))-AVERAGE(OFFSET($H$3,0,0,'Données projet'!$E$14+1,1))</f>
        <v>503.92230226365683</v>
      </c>
      <c r="DU148" s="62">
        <f t="shared" si="152"/>
        <v>267.2998309535638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>
        <f>VLOOKUP(A148,'Données projet'!$A$191:$I$211,2,0)</f>
        <v>295</v>
      </c>
      <c r="EH148" s="13">
        <f>VLOOKUP(A148,'Données projet'!$A$191:$I$211,9,0)</f>
        <v>2.6</v>
      </c>
      <c r="EI148" s="13">
        <f t="array" ref="EI148">INDEX(EH:EH,MIN(IF(ISNUMBER(EH148:EH344),ROW(EH148:EH344),"")))</f>
        <v>2.6</v>
      </c>
      <c r="EJ148" s="13">
        <f>IF('Données projet'!$A$192&gt;35,EJ147+EI148-ER147,IF(A148&lt;'Données projet'!$A$192,$EG$205^A148,IF(A148='Données projet'!$A$192,'Données projet'!$B$192,EJ147+EI148-ER147)))</f>
        <v>294.99999999999955</v>
      </c>
      <c r="EK148" s="18">
        <f>EJ148*VLOOKUP('Données projet'!$B$15,Paramètres!$A$1:$I$89,3,0)*VLOOKUP('Données projet'!$B$15,Paramètres!$A$1:$I$89,5,0)</f>
        <v>285.32399999999956</v>
      </c>
      <c r="EL148" s="14">
        <f t="shared" si="153"/>
        <v>68.090886763658133</v>
      </c>
      <c r="EM148" s="22">
        <f t="shared" si="127"/>
        <v>615.53092778003713</v>
      </c>
      <c r="EN148" s="62">
        <f t="shared" si="128"/>
        <v>908.8642611133705</v>
      </c>
      <c r="EO148" s="62">
        <f ca="1">AVERAGE(OFFSET($EN$3,0,0,'Données projet'!$E$15+1,1))-AVERAGE(OFFSET($H$3,0,0,'Données projet'!$E$15+1,1))</f>
        <v>457.16923206840744</v>
      </c>
      <c r="EP148" s="62">
        <f t="shared" si="154"/>
        <v>244.45149244446094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3.979039320256561E-13</v>
      </c>
      <c r="FF148" s="18">
        <f>FE148*VLOOKUP('Données projet'!$B$16,Paramètres!$A$1:$I$89,3,0)*VLOOKUP('Données projet'!$B$16,Paramètres!$A$1:$I$89,5,0)</f>
        <v>2.669139576028101E-13</v>
      </c>
      <c r="FG148" s="14">
        <f t="shared" si="155"/>
        <v>3.5767923834585247E-12</v>
      </c>
      <c r="FH148" s="22">
        <f t="shared" si="130"/>
        <v>6.6944552106818241E-12</v>
      </c>
      <c r="FI148" s="62">
        <f t="shared" si="131"/>
        <v>293.33333333334002</v>
      </c>
      <c r="FJ148" s="62">
        <f ca="1">AVERAGE(OFFSET($FI$3,0,0,'Données projet'!$E$16+1,1))-AVERAGE(OFFSET($H$3,0,0,'Données projet'!$E$16+1,1))</f>
        <v>385.97853124853452</v>
      </c>
      <c r="FK148" s="62">
        <f t="shared" si="156"/>
        <v>300.99118099739695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132.280299502248</v>
      </c>
      <c r="T149" s="62">
        <f t="shared" si="142"/>
        <v>337.98099449405339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6.2984414249927143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6.3865107055490936E-18</v>
      </c>
      <c r="AC149" s="24">
        <f t="shared" si="111"/>
        <v>6.2984414249927143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2.2000000000000002</v>
      </c>
      <c r="AI149" s="14">
        <f>IF('Données projet'!$A$62&gt;35,AI148+AH149-AQ148,IF(A149&lt;'Données projet'!$A$62,$AF$205^A149,IF(A149='Données projet'!$A$62,'Données projet'!$B$62,AI148+AH149-AQ148)))</f>
        <v>297.19999999999953</v>
      </c>
      <c r="AJ149" s="14">
        <f>AI149*VLOOKUP('Données projet'!$B$10,Paramètres!$A$1:$I$89,3,0)*VLOOKUP('Données projet'!$B$10,Paramètres!$A$1:$I$89,5,0)</f>
        <v>268.90655999999956</v>
      </c>
      <c r="AK149" s="14">
        <f t="shared" si="143"/>
        <v>64.617158945843656</v>
      </c>
      <c r="AL149" s="22">
        <f t="shared" si="112"/>
        <v>580.88714383067679</v>
      </c>
      <c r="AM149" s="62">
        <f t="shared" si="113"/>
        <v>874.22047716401016</v>
      </c>
      <c r="AN149" s="62">
        <f ca="1">AVERAGE(OFFSET($AM$3,0,0,'Données projet'!$E$10+1,1))-AVERAGE(OFFSET($H$3,0,0,'Données projet'!$E$10+1,1))</f>
        <v>430.40491895612814</v>
      </c>
      <c r="AO149" s="62">
        <f t="shared" si="144"/>
        <v>231.36959598460686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1.1368683772161603E-13</v>
      </c>
      <c r="BE149" s="14">
        <f>BD149*VLOOKUP('Données projet'!$B$11,Paramètres!$A$1:$I$89,3,0)*VLOOKUP('Données projet'!$B$11,Paramètres!$A$1:$I$89,5,0)</f>
        <v>6.7984728957526396E-14</v>
      </c>
      <c r="BF149" s="14">
        <f t="shared" si="145"/>
        <v>1.0682447123141398E-12</v>
      </c>
      <c r="BG149" s="22">
        <f t="shared" si="115"/>
        <v>1.978932943548152E-12</v>
      </c>
      <c r="BH149" s="62">
        <f t="shared" si="116"/>
        <v>293.3333333333353</v>
      </c>
      <c r="BI149" s="62">
        <f ca="1">AVERAGE(OFFSET($BH$3,0,0,'Données projet'!$E$11+1,1))-AVERAGE(OFFSET($H$3,0,0,'Données projet'!$E$11+1,1))</f>
        <v>295.83974441964551</v>
      </c>
      <c r="BJ149" s="62">
        <f t="shared" si="146"/>
        <v>212.24900914818096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-5.6843418860808015E-14</v>
      </c>
      <c r="BZ149" s="14">
        <f>BY149*VLOOKUP('Données projet'!$B$12,Paramètres!$A$1:$I$89,3,0)*VLOOKUP('Données projet'!$B$12,Paramètres!$A$1:$I$89,5,0)</f>
        <v>-3.2514435588382188E-14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309.71642374647882</v>
      </c>
      <c r="CE149" s="62">
        <f t="shared" si="148"/>
        <v>266.63880397664315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9.8214782090569178E-2</v>
      </c>
      <c r="CM149" s="23">
        <f>EXP(-LN(2)/2)*CM148+(1-EXP(-LN(2)/2))/(LN(2)/2)*CG149*CJ149*VLOOKUP('Données projet'!$B$12,Paramètres!$A$1:$I$89,3,0)*0.475*44/12</f>
        <v>2.7603509529216342E-17</v>
      </c>
      <c r="CN149" s="24">
        <f t="shared" si="120"/>
        <v>9.8214782090569205E-2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-1.7053025658242404E-13</v>
      </c>
      <c r="CU149" s="18">
        <f>CT149*VLOOKUP('Données projet'!$B$13,Paramètres!$A$1:$I$89,3,0)*VLOOKUP('Données projet'!$B$13,Paramètres!$A$1:$I$89,5,0)</f>
        <v>-1.3567387213697657E-13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312.53381881960331</v>
      </c>
      <c r="CZ149" s="62">
        <f t="shared" si="150"/>
        <v>342.06887933351783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2.2000000000000002</v>
      </c>
      <c r="DO149" s="13">
        <f>IF('Données projet'!$A$166&gt;35,DO148+DN149-DW148,IF(A149&lt;'Données projet'!$A$166,$DL$205^A149,IF(A149='Données projet'!$A$166,'Données projet'!$B$166,DO148+DN149-DW148)))</f>
        <v>297.19999999999953</v>
      </c>
      <c r="DP149" s="18">
        <f>DO149*VLOOKUP('Données projet'!$B$14,Paramètres!$A$1:$I$89,3,0)*VLOOKUP('Données projet'!$B$14,Paramètres!$A$1:$I$89,5,0)</f>
        <v>319.90607999999952</v>
      </c>
      <c r="DQ149" s="14">
        <f t="shared" si="151"/>
        <v>75.333811446446475</v>
      </c>
      <c r="DR149" s="22">
        <f t="shared" si="124"/>
        <v>688.37614426922676</v>
      </c>
      <c r="DS149" s="62">
        <f t="shared" si="125"/>
        <v>981.70947760256013</v>
      </c>
      <c r="DT149" s="62">
        <f ca="1">AVERAGE(OFFSET($DS$3,0,0,'Données projet'!$E$14+1,1))-AVERAGE(OFFSET($H$3,0,0,'Données projet'!$E$14+1,1))</f>
        <v>503.92230226365683</v>
      </c>
      <c r="DU149" s="62">
        <f t="shared" si="152"/>
        <v>267.2998309535638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2.2000000000000002</v>
      </c>
      <c r="EJ149" s="13">
        <f>IF('Données projet'!$A$192&gt;35,EJ148+EI149-ER148,IF(A149&lt;'Données projet'!$A$192,$EG$205^A149,IF(A149='Données projet'!$A$192,'Données projet'!$B$192,EJ148+EI149-ER148)))</f>
        <v>297.19999999999953</v>
      </c>
      <c r="EK149" s="18">
        <f>EJ149*VLOOKUP('Données projet'!$B$15,Paramètres!$A$1:$I$89,3,0)*VLOOKUP('Données projet'!$B$15,Paramètres!$A$1:$I$89,5,0)</f>
        <v>287.45183999999955</v>
      </c>
      <c r="EL149" s="14">
        <f t="shared" si="153"/>
        <v>68.539381493411511</v>
      </c>
      <c r="EM149" s="22">
        <f t="shared" si="127"/>
        <v>620.0180441010242</v>
      </c>
      <c r="EN149" s="62">
        <f t="shared" si="128"/>
        <v>913.35137743435757</v>
      </c>
      <c r="EO149" s="62">
        <f ca="1">AVERAGE(OFFSET($EN$3,0,0,'Données projet'!$E$15+1,1))-AVERAGE(OFFSET($H$3,0,0,'Données projet'!$E$15+1,1))</f>
        <v>457.16923206840744</v>
      </c>
      <c r="EP149" s="62">
        <f t="shared" si="154"/>
        <v>244.45149244446094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3.979039320256561E-13</v>
      </c>
      <c r="FF149" s="18">
        <f>FE149*VLOOKUP('Données projet'!$B$16,Paramètres!$A$1:$I$89,3,0)*VLOOKUP('Données projet'!$B$16,Paramètres!$A$1:$I$89,5,0)</f>
        <v>2.669139576028101E-13</v>
      </c>
      <c r="FG149" s="14">
        <f t="shared" si="155"/>
        <v>3.5767923834585247E-12</v>
      </c>
      <c r="FH149" s="22">
        <f t="shared" si="130"/>
        <v>6.6944552106818241E-12</v>
      </c>
      <c r="FI149" s="62">
        <f t="shared" si="131"/>
        <v>293.33333333334002</v>
      </c>
      <c r="FJ149" s="62">
        <f ca="1">AVERAGE(OFFSET($FI$3,0,0,'Données projet'!$E$16+1,1))-AVERAGE(OFFSET($H$3,0,0,'Données projet'!$E$16+1,1))</f>
        <v>385.97853124853452</v>
      </c>
      <c r="FK149" s="62">
        <f t="shared" si="156"/>
        <v>300.99118099739695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132.280299502248</v>
      </c>
      <c r="T150" s="62">
        <f t="shared" si="142"/>
        <v>337.98099449405339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6.1749328303185429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4.5159450280142461E-18</v>
      </c>
      <c r="AC150" s="24">
        <f t="shared" si="111"/>
        <v>6.1749328303185429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2.2000000000000002</v>
      </c>
      <c r="AI150" s="14">
        <f>IF('Données projet'!$A$62&gt;35,AI149+AH150-AQ149,IF(A150&lt;'Données projet'!$A$62,$AF$205^A150,IF(A150='Données projet'!$A$62,'Données projet'!$B$62,AI149+AH150-AQ149)))</f>
        <v>299.39999999999952</v>
      </c>
      <c r="AJ150" s="14">
        <f>AI150*VLOOKUP('Données projet'!$B$10,Paramètres!$A$1:$I$89,3,0)*VLOOKUP('Données projet'!$B$10,Paramètres!$A$1:$I$89,5,0)</f>
        <v>270.89711999999952</v>
      </c>
      <c r="AK150" s="14">
        <f t="shared" si="143"/>
        <v>65.039624021315362</v>
      </c>
      <c r="AL150" s="22">
        <f t="shared" si="112"/>
        <v>585.08982917045671</v>
      </c>
      <c r="AM150" s="62">
        <f t="shared" si="113"/>
        <v>878.42316250379008</v>
      </c>
      <c r="AN150" s="62">
        <f ca="1">AVERAGE(OFFSET($AM$3,0,0,'Données projet'!$E$10+1,1))-AVERAGE(OFFSET($H$3,0,0,'Données projet'!$E$10+1,1))</f>
        <v>430.40491895612814</v>
      </c>
      <c r="AO150" s="62">
        <f t="shared" si="144"/>
        <v>231.36959598460686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1.1368683772161603E-13</v>
      </c>
      <c r="BE150" s="14">
        <f>BD150*VLOOKUP('Données projet'!$B$11,Paramètres!$A$1:$I$89,3,0)*VLOOKUP('Données projet'!$B$11,Paramètres!$A$1:$I$89,5,0)</f>
        <v>6.7984728957526396E-14</v>
      </c>
      <c r="BF150" s="14">
        <f t="shared" si="145"/>
        <v>1.0682447123141398E-12</v>
      </c>
      <c r="BG150" s="22">
        <f t="shared" si="115"/>
        <v>1.978932943548152E-12</v>
      </c>
      <c r="BH150" s="62">
        <f t="shared" si="116"/>
        <v>293.3333333333353</v>
      </c>
      <c r="BI150" s="62">
        <f ca="1">AVERAGE(OFFSET($BH$3,0,0,'Données projet'!$E$11+1,1))-AVERAGE(OFFSET($H$3,0,0,'Données projet'!$E$11+1,1))</f>
        <v>295.83974441964551</v>
      </c>
      <c r="BJ150" s="62">
        <f t="shared" si="146"/>
        <v>212.24900914818096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-5.6843418860808015E-14</v>
      </c>
      <c r="BZ150" s="14">
        <f>BY150*VLOOKUP('Données projet'!$B$12,Paramètres!$A$1:$I$89,3,0)*VLOOKUP('Données projet'!$B$12,Paramètres!$A$1:$I$89,5,0)</f>
        <v>-3.2514435588382188E-14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309.71642374647882</v>
      </c>
      <c r="CE150" s="62">
        <f t="shared" si="148"/>
        <v>266.63880397664315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9.552909370941165E-2</v>
      </c>
      <c r="CM150" s="23">
        <f>EXP(-LN(2)/2)*CM149+(1-EXP(-LN(2)/2))/(LN(2)/2)*CG150*CJ150*VLOOKUP('Données projet'!$B$12,Paramètres!$A$1:$I$89,3,0)*0.475*44/12</f>
        <v>1.9518628772656361E-17</v>
      </c>
      <c r="CN150" s="24">
        <f t="shared" si="120"/>
        <v>9.5529093709411664E-2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-1.7053025658242404E-13</v>
      </c>
      <c r="CU150" s="18">
        <f>CT150*VLOOKUP('Données projet'!$B$13,Paramètres!$A$1:$I$89,3,0)*VLOOKUP('Données projet'!$B$13,Paramètres!$A$1:$I$89,5,0)</f>
        <v>-1.3567387213697657E-13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312.53381881960331</v>
      </c>
      <c r="CZ150" s="62">
        <f t="shared" si="150"/>
        <v>342.06887933351783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2.2000000000000002</v>
      </c>
      <c r="DO150" s="13">
        <f>IF('Données projet'!$A$166&gt;35,DO149+DN150-DW149,IF(A150&lt;'Données projet'!$A$166,$DL$205^A150,IF(A150='Données projet'!$A$166,'Données projet'!$B$166,DO149+DN150-DW149)))</f>
        <v>299.39999999999952</v>
      </c>
      <c r="DP150" s="18">
        <f>DO150*VLOOKUP('Données projet'!$B$14,Paramètres!$A$1:$I$89,3,0)*VLOOKUP('Données projet'!$B$14,Paramètres!$A$1:$I$89,5,0)</f>
        <v>322.27415999999943</v>
      </c>
      <c r="DQ150" s="14">
        <f t="shared" si="151"/>
        <v>75.826341679243669</v>
      </c>
      <c r="DR150" s="22">
        <f t="shared" si="124"/>
        <v>693.35837375801509</v>
      </c>
      <c r="DS150" s="62">
        <f t="shared" si="125"/>
        <v>986.69170709134846</v>
      </c>
      <c r="DT150" s="62">
        <f ca="1">AVERAGE(OFFSET($DS$3,0,0,'Données projet'!$E$14+1,1))-AVERAGE(OFFSET($H$3,0,0,'Données projet'!$E$14+1,1))</f>
        <v>503.92230226365683</v>
      </c>
      <c r="DU150" s="62">
        <f t="shared" si="152"/>
        <v>267.2998309535638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2.2000000000000002</v>
      </c>
      <c r="EJ150" s="13">
        <f>IF('Données projet'!$A$192&gt;35,EJ149+EI150-ER149,IF(A150&lt;'Données projet'!$A$192,$EG$205^A150,IF(A150='Données projet'!$A$192,'Données projet'!$B$192,EJ149+EI150-ER149)))</f>
        <v>299.39999999999952</v>
      </c>
      <c r="EK150" s="18">
        <f>EJ150*VLOOKUP('Données projet'!$B$15,Paramètres!$A$1:$I$89,3,0)*VLOOKUP('Données projet'!$B$15,Paramètres!$A$1:$I$89,5,0)</f>
        <v>289.57967999999954</v>
      </c>
      <c r="EL150" s="14">
        <f t="shared" si="153"/>
        <v>68.987489943980606</v>
      </c>
      <c r="EM150" s="22">
        <f t="shared" si="127"/>
        <v>624.50448765243209</v>
      </c>
      <c r="EN150" s="62">
        <f t="shared" si="128"/>
        <v>917.83782098576535</v>
      </c>
      <c r="EO150" s="62">
        <f ca="1">AVERAGE(OFFSET($EN$3,0,0,'Données projet'!$E$15+1,1))-AVERAGE(OFFSET($H$3,0,0,'Données projet'!$E$15+1,1))</f>
        <v>457.16923206840744</v>
      </c>
      <c r="EP150" s="62">
        <f t="shared" si="154"/>
        <v>244.45149244446094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3.979039320256561E-13</v>
      </c>
      <c r="FF150" s="18">
        <f>FE150*VLOOKUP('Données projet'!$B$16,Paramètres!$A$1:$I$89,3,0)*VLOOKUP('Données projet'!$B$16,Paramètres!$A$1:$I$89,5,0)</f>
        <v>2.669139576028101E-13</v>
      </c>
      <c r="FG150" s="14">
        <f t="shared" si="155"/>
        <v>3.5767923834585247E-12</v>
      </c>
      <c r="FH150" s="22">
        <f t="shared" si="130"/>
        <v>6.6944552106818241E-12</v>
      </c>
      <c r="FI150" s="62">
        <f t="shared" si="131"/>
        <v>293.33333333334002</v>
      </c>
      <c r="FJ150" s="62">
        <f ca="1">AVERAGE(OFFSET($FI$3,0,0,'Données projet'!$E$16+1,1))-AVERAGE(OFFSET($H$3,0,0,'Données projet'!$E$16+1,1))</f>
        <v>385.97853124853452</v>
      </c>
      <c r="FK150" s="62">
        <f t="shared" si="156"/>
        <v>300.99118099739695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132.280299502248</v>
      </c>
      <c r="T151" s="62">
        <f t="shared" si="142"/>
        <v>337.98099449405339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6.0538461638531276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3.1932553527745468E-18</v>
      </c>
      <c r="AC151" s="24">
        <f t="shared" si="111"/>
        <v>6.0538461638531276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2.2000000000000002</v>
      </c>
      <c r="AI151" s="14">
        <f>IF('Données projet'!$A$62&gt;35,AI150+AH151-AQ150,IF(A151&lt;'Données projet'!$A$62,$AF$205^A151,IF(A151='Données projet'!$A$62,'Données projet'!$B$62,AI150+AH151-AQ150)))</f>
        <v>301.59999999999951</v>
      </c>
      <c r="AJ151" s="14">
        <f>AI151*VLOOKUP('Données projet'!$B$10,Paramètres!$A$1:$I$89,3,0)*VLOOKUP('Données projet'!$B$10,Paramètres!$A$1:$I$89,5,0)</f>
        <v>272.88767999999953</v>
      </c>
      <c r="AK151" s="14">
        <f t="shared" si="143"/>
        <v>65.461727908967305</v>
      </c>
      <c r="AL151" s="22">
        <f t="shared" si="112"/>
        <v>589.29188544145063</v>
      </c>
      <c r="AM151" s="62">
        <f t="shared" si="113"/>
        <v>882.62521877478389</v>
      </c>
      <c r="AN151" s="62">
        <f ca="1">AVERAGE(OFFSET($AM$3,0,0,'Données projet'!$E$10+1,1))-AVERAGE(OFFSET($H$3,0,0,'Données projet'!$E$10+1,1))</f>
        <v>430.40491895612814</v>
      </c>
      <c r="AO151" s="62">
        <f t="shared" si="144"/>
        <v>231.36959598460686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1.1368683772161603E-13</v>
      </c>
      <c r="BE151" s="14">
        <f>BD151*VLOOKUP('Données projet'!$B$11,Paramètres!$A$1:$I$89,3,0)*VLOOKUP('Données projet'!$B$11,Paramètres!$A$1:$I$89,5,0)</f>
        <v>6.7984728957526396E-14</v>
      </c>
      <c r="BF151" s="14">
        <f t="shared" si="145"/>
        <v>1.0682447123141398E-12</v>
      </c>
      <c r="BG151" s="22">
        <f t="shared" si="115"/>
        <v>1.978932943548152E-12</v>
      </c>
      <c r="BH151" s="62">
        <f t="shared" si="116"/>
        <v>293.3333333333353</v>
      </c>
      <c r="BI151" s="62">
        <f ca="1">AVERAGE(OFFSET($BH$3,0,0,'Données projet'!$E$11+1,1))-AVERAGE(OFFSET($H$3,0,0,'Données projet'!$E$11+1,1))</f>
        <v>295.83974441964551</v>
      </c>
      <c r="BJ151" s="62">
        <f t="shared" si="146"/>
        <v>212.24900914818096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-5.6843418860808015E-14</v>
      </c>
      <c r="BZ151" s="14">
        <f>BY151*VLOOKUP('Données projet'!$B$12,Paramètres!$A$1:$I$89,3,0)*VLOOKUP('Données projet'!$B$12,Paramètres!$A$1:$I$89,5,0)</f>
        <v>-3.2514435588382188E-14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309.71642374647882</v>
      </c>
      <c r="CE151" s="62">
        <f t="shared" si="148"/>
        <v>266.63880397664315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9.2916845618271085E-2</v>
      </c>
      <c r="CM151" s="23">
        <f>EXP(-LN(2)/2)*CM150+(1-EXP(-LN(2)/2))/(LN(2)/2)*CG151*CJ151*VLOOKUP('Données projet'!$B$12,Paramètres!$A$1:$I$89,3,0)*0.475*44/12</f>
        <v>1.3801754764608173E-17</v>
      </c>
      <c r="CN151" s="24">
        <f t="shared" si="120"/>
        <v>9.2916845618271099E-2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-1.7053025658242404E-13</v>
      </c>
      <c r="CU151" s="18">
        <f>CT151*VLOOKUP('Données projet'!$B$13,Paramètres!$A$1:$I$89,3,0)*VLOOKUP('Données projet'!$B$13,Paramètres!$A$1:$I$89,5,0)</f>
        <v>-1.3567387213697657E-13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312.53381881960331</v>
      </c>
      <c r="CZ151" s="62">
        <f t="shared" si="150"/>
        <v>342.06887933351783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2.2000000000000002</v>
      </c>
      <c r="DO151" s="13">
        <f>IF('Données projet'!$A$166&gt;35,DO150+DN151-DW150,IF(A151&lt;'Données projet'!$A$166,$DL$205^A151,IF(A151='Données projet'!$A$166,'Données projet'!$B$166,DO150+DN151-DW150)))</f>
        <v>301.59999999999951</v>
      </c>
      <c r="DP151" s="18">
        <f>DO151*VLOOKUP('Données projet'!$B$14,Paramètres!$A$1:$I$89,3,0)*VLOOKUP('Données projet'!$B$14,Paramètres!$A$1:$I$89,5,0)</f>
        <v>324.64223999999945</v>
      </c>
      <c r="DQ151" s="14">
        <f t="shared" si="151"/>
        <v>76.318450821798734</v>
      </c>
      <c r="DR151" s="22">
        <f t="shared" si="124"/>
        <v>698.33986984796502</v>
      </c>
      <c r="DS151" s="62">
        <f t="shared" si="125"/>
        <v>991.67320318129828</v>
      </c>
      <c r="DT151" s="62">
        <f ca="1">AVERAGE(OFFSET($DS$3,0,0,'Données projet'!$E$14+1,1))-AVERAGE(OFFSET($H$3,0,0,'Données projet'!$E$14+1,1))</f>
        <v>503.92230226365683</v>
      </c>
      <c r="DU151" s="62">
        <f t="shared" si="152"/>
        <v>267.2998309535638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2.2000000000000002</v>
      </c>
      <c r="EJ151" s="13">
        <f>IF('Données projet'!$A$192&gt;35,EJ150+EI151-ER150,IF(A151&lt;'Données projet'!$A$192,$EG$205^A151,IF(A151='Données projet'!$A$192,'Données projet'!$B$192,EJ150+EI151-ER150)))</f>
        <v>301.59999999999951</v>
      </c>
      <c r="EK151" s="18">
        <f>EJ151*VLOOKUP('Données projet'!$B$15,Paramètres!$A$1:$I$89,3,0)*VLOOKUP('Données projet'!$B$15,Paramètres!$A$1:$I$89,5,0)</f>
        <v>291.70751999999953</v>
      </c>
      <c r="EL151" s="14">
        <f t="shared" si="153"/>
        <v>69.435215282847196</v>
      </c>
      <c r="EM151" s="22">
        <f t="shared" si="127"/>
        <v>628.99026395095802</v>
      </c>
      <c r="EN151" s="62">
        <f t="shared" si="128"/>
        <v>922.32359728429128</v>
      </c>
      <c r="EO151" s="62">
        <f ca="1">AVERAGE(OFFSET($EN$3,0,0,'Données projet'!$E$15+1,1))-AVERAGE(OFFSET($H$3,0,0,'Données projet'!$E$15+1,1))</f>
        <v>457.16923206840744</v>
      </c>
      <c r="EP151" s="62">
        <f t="shared" si="154"/>
        <v>244.45149244446094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3.979039320256561E-13</v>
      </c>
      <c r="FF151" s="18">
        <f>FE151*VLOOKUP('Données projet'!$B$16,Paramètres!$A$1:$I$89,3,0)*VLOOKUP('Données projet'!$B$16,Paramètres!$A$1:$I$89,5,0)</f>
        <v>2.669139576028101E-13</v>
      </c>
      <c r="FG151" s="14">
        <f t="shared" si="155"/>
        <v>3.5767923834585247E-12</v>
      </c>
      <c r="FH151" s="22">
        <f t="shared" si="130"/>
        <v>6.6944552106818241E-12</v>
      </c>
      <c r="FI151" s="62">
        <f t="shared" si="131"/>
        <v>293.33333333334002</v>
      </c>
      <c r="FJ151" s="62">
        <f ca="1">AVERAGE(OFFSET($FI$3,0,0,'Données projet'!$E$16+1,1))-AVERAGE(OFFSET($H$3,0,0,'Données projet'!$E$16+1,1))</f>
        <v>385.97853124853452</v>
      </c>
      <c r="FK151" s="62">
        <f t="shared" si="156"/>
        <v>300.99118099739695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132.280299502248</v>
      </c>
      <c r="T152" s="62">
        <f t="shared" si="142"/>
        <v>337.98099449405339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5.9351339330615254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2.257972514007123E-18</v>
      </c>
      <c r="AC152" s="24">
        <f t="shared" si="111"/>
        <v>5.9351339330615254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2.2000000000000002</v>
      </c>
      <c r="AI152" s="14">
        <f>IF('Données projet'!$A$62&gt;35,AI151+AH152-AQ151,IF(A152&lt;'Données projet'!$A$62,$AF$205^A152,IF(A152='Données projet'!$A$62,'Données projet'!$B$62,AI151+AH152-AQ151)))</f>
        <v>303.7999999999995</v>
      </c>
      <c r="AJ152" s="14">
        <f>AI152*VLOOKUP('Données projet'!$B$10,Paramètres!$A$1:$I$89,3,0)*VLOOKUP('Données projet'!$B$10,Paramètres!$A$1:$I$89,5,0)</f>
        <v>274.87823999999955</v>
      </c>
      <c r="AK152" s="14">
        <f t="shared" si="143"/>
        <v>65.883473548936905</v>
      </c>
      <c r="AL152" s="22">
        <f t="shared" si="112"/>
        <v>593.4933177643976</v>
      </c>
      <c r="AM152" s="62">
        <f t="shared" si="113"/>
        <v>886.82665109773097</v>
      </c>
      <c r="AN152" s="62">
        <f ca="1">AVERAGE(OFFSET($AM$3,0,0,'Données projet'!$E$10+1,1))-AVERAGE(OFFSET($H$3,0,0,'Données projet'!$E$10+1,1))</f>
        <v>430.40491895612814</v>
      </c>
      <c r="AO152" s="62">
        <f t="shared" si="144"/>
        <v>231.36959598460686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1.1368683772161603E-13</v>
      </c>
      <c r="BE152" s="14">
        <f>BD152*VLOOKUP('Données projet'!$B$11,Paramètres!$A$1:$I$89,3,0)*VLOOKUP('Données projet'!$B$11,Paramètres!$A$1:$I$89,5,0)</f>
        <v>6.7984728957526396E-14</v>
      </c>
      <c r="BF152" s="14">
        <f t="shared" si="145"/>
        <v>1.0682447123141398E-12</v>
      </c>
      <c r="BG152" s="22">
        <f t="shared" si="115"/>
        <v>1.978932943548152E-12</v>
      </c>
      <c r="BH152" s="62">
        <f t="shared" si="116"/>
        <v>293.3333333333353</v>
      </c>
      <c r="BI152" s="62">
        <f ca="1">AVERAGE(OFFSET($BH$3,0,0,'Données projet'!$E$11+1,1))-AVERAGE(OFFSET($H$3,0,0,'Données projet'!$E$11+1,1))</f>
        <v>295.83974441964551</v>
      </c>
      <c r="BJ152" s="62">
        <f t="shared" si="146"/>
        <v>212.24900914818096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-5.6843418860808015E-14</v>
      </c>
      <c r="BZ152" s="14">
        <f>BY152*VLOOKUP('Données projet'!$B$12,Paramètres!$A$1:$I$89,3,0)*VLOOKUP('Données projet'!$B$12,Paramètres!$A$1:$I$89,5,0)</f>
        <v>-3.2514435588382188E-14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309.71642374647882</v>
      </c>
      <c r="CE152" s="62">
        <f t="shared" si="148"/>
        <v>266.63880397664315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9.037602958855491E-2</v>
      </c>
      <c r="CM152" s="23">
        <f>EXP(-LN(2)/2)*CM151+(1-EXP(-LN(2)/2))/(LN(2)/2)*CG152*CJ152*VLOOKUP('Données projet'!$B$12,Paramètres!$A$1:$I$89,3,0)*0.475*44/12</f>
        <v>9.7593143863281819E-18</v>
      </c>
      <c r="CN152" s="24">
        <f t="shared" si="120"/>
        <v>9.0376029588554924E-2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-1.7053025658242404E-13</v>
      </c>
      <c r="CU152" s="18">
        <f>CT152*VLOOKUP('Données projet'!$B$13,Paramètres!$A$1:$I$89,3,0)*VLOOKUP('Données projet'!$B$13,Paramètres!$A$1:$I$89,5,0)</f>
        <v>-1.3567387213697657E-13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312.53381881960331</v>
      </c>
      <c r="CZ152" s="62">
        <f t="shared" si="150"/>
        <v>342.06887933351783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2.2000000000000002</v>
      </c>
      <c r="DO152" s="13">
        <f>IF('Données projet'!$A$166&gt;35,DO151+DN152-DW151,IF(A152&lt;'Données projet'!$A$166,$DL$205^A152,IF(A152='Données projet'!$A$166,'Données projet'!$B$166,DO151+DN152-DW151)))</f>
        <v>303.7999999999995</v>
      </c>
      <c r="DP152" s="18">
        <f>DO152*VLOOKUP('Données projet'!$B$14,Paramètres!$A$1:$I$89,3,0)*VLOOKUP('Données projet'!$B$14,Paramètres!$A$1:$I$89,5,0)</f>
        <v>327.01031999999947</v>
      </c>
      <c r="DQ152" s="14">
        <f t="shared" si="151"/>
        <v>76.810142301866179</v>
      </c>
      <c r="DR152" s="22">
        <f t="shared" si="124"/>
        <v>703.32063850908264</v>
      </c>
      <c r="DS152" s="62">
        <f t="shared" si="125"/>
        <v>996.65397184241601</v>
      </c>
      <c r="DT152" s="62">
        <f ca="1">AVERAGE(OFFSET($DS$3,0,0,'Données projet'!$E$14+1,1))-AVERAGE(OFFSET($H$3,0,0,'Données projet'!$E$14+1,1))</f>
        <v>503.92230226365683</v>
      </c>
      <c r="DU152" s="62">
        <f t="shared" si="152"/>
        <v>267.2998309535638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2.2000000000000002</v>
      </c>
      <c r="EJ152" s="13">
        <f>IF('Données projet'!$A$192&gt;35,EJ151+EI152-ER151,IF(A152&lt;'Données projet'!$A$192,$EG$205^A152,IF(A152='Données projet'!$A$192,'Données projet'!$B$192,EJ151+EI152-ER151)))</f>
        <v>303.7999999999995</v>
      </c>
      <c r="EK152" s="18">
        <f>EJ152*VLOOKUP('Données projet'!$B$15,Paramètres!$A$1:$I$89,3,0)*VLOOKUP('Données projet'!$B$15,Paramètres!$A$1:$I$89,5,0)</f>
        <v>293.83535999999953</v>
      </c>
      <c r="EL152" s="14">
        <f t="shared" si="153"/>
        <v>69.88256062861349</v>
      </c>
      <c r="EM152" s="22">
        <f t="shared" si="127"/>
        <v>633.47537842816757</v>
      </c>
      <c r="EN152" s="62">
        <f t="shared" si="128"/>
        <v>926.80871176150094</v>
      </c>
      <c r="EO152" s="62">
        <f ca="1">AVERAGE(OFFSET($EN$3,0,0,'Données projet'!$E$15+1,1))-AVERAGE(OFFSET($H$3,0,0,'Données projet'!$E$15+1,1))</f>
        <v>457.16923206840744</v>
      </c>
      <c r="EP152" s="62">
        <f t="shared" si="154"/>
        <v>244.45149244446094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3.979039320256561E-13</v>
      </c>
      <c r="FF152" s="18">
        <f>FE152*VLOOKUP('Données projet'!$B$16,Paramètres!$A$1:$I$89,3,0)*VLOOKUP('Données projet'!$B$16,Paramètres!$A$1:$I$89,5,0)</f>
        <v>2.669139576028101E-13</v>
      </c>
      <c r="FG152" s="14">
        <f t="shared" si="155"/>
        <v>3.5767923834585247E-12</v>
      </c>
      <c r="FH152" s="22">
        <f t="shared" si="130"/>
        <v>6.6944552106818241E-12</v>
      </c>
      <c r="FI152" s="62">
        <f t="shared" si="131"/>
        <v>293.33333333334002</v>
      </c>
      <c r="FJ152" s="62">
        <f ca="1">AVERAGE(OFFSET($FI$3,0,0,'Données projet'!$E$16+1,1))-AVERAGE(OFFSET($H$3,0,0,'Données projet'!$E$16+1,1))</f>
        <v>385.97853124853452</v>
      </c>
      <c r="FK152" s="62">
        <f t="shared" si="156"/>
        <v>300.99118099739695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132.280299502248</v>
      </c>
      <c r="T153" s="62">
        <f t="shared" si="142"/>
        <v>337.98099449405339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5.8187495767084352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1.5966276763872734E-18</v>
      </c>
      <c r="AC153" s="24">
        <f t="shared" si="111"/>
        <v>5.8187495767084352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306</v>
      </c>
      <c r="AG153" s="13">
        <f>VLOOKUP(A153,'Données projet'!$A$61:$I$81,9,0)</f>
        <v>2.2000000000000002</v>
      </c>
      <c r="AH153" s="13">
        <f t="array" ref="AH153">INDEX(AG:AG,MIN(IF(ISNUMBER(AG153:AG349),ROW(AG153:AG349),"")))</f>
        <v>2.2000000000000002</v>
      </c>
      <c r="AI153" s="14">
        <f>IF('Données projet'!$A$62&gt;35,AI152+AH153-AQ152,IF(A153&lt;'Données projet'!$A$62,$AF$205^A153,IF(A153='Données projet'!$A$62,'Données projet'!$B$62,AI152+AH153-AQ152)))</f>
        <v>305.99999999999949</v>
      </c>
      <c r="AJ153" s="14">
        <f>AI153*VLOOKUP('Données projet'!$B$10,Paramètres!$A$1:$I$89,3,0)*VLOOKUP('Données projet'!$B$10,Paramètres!$A$1:$I$89,5,0)</f>
        <v>276.86879999999951</v>
      </c>
      <c r="AK153" s="14">
        <f t="shared" si="143"/>
        <v>66.304863836318546</v>
      </c>
      <c r="AL153" s="22">
        <f t="shared" si="112"/>
        <v>597.6941311815873</v>
      </c>
      <c r="AM153" s="62">
        <f t="shared" si="113"/>
        <v>891.02746451492067</v>
      </c>
      <c r="AN153" s="62">
        <f ca="1">AVERAGE(OFFSET($AM$3,0,0,'Données projet'!$E$10+1,1))-AVERAGE(OFFSET($H$3,0,0,'Données projet'!$E$10+1,1))</f>
        <v>430.40491895612814</v>
      </c>
      <c r="AO153" s="62">
        <f t="shared" si="144"/>
        <v>231.36959598460686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306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1.1368683772161603E-13</v>
      </c>
      <c r="BE153" s="14">
        <f>BD153*VLOOKUP('Données projet'!$B$11,Paramètres!$A$1:$I$89,3,0)*VLOOKUP('Données projet'!$B$11,Paramètres!$A$1:$I$89,5,0)</f>
        <v>6.7984728957526396E-14</v>
      </c>
      <c r="BF153" s="14">
        <f t="shared" si="145"/>
        <v>1.0682447123141398E-12</v>
      </c>
      <c r="BG153" s="22">
        <f t="shared" si="115"/>
        <v>1.978932943548152E-12</v>
      </c>
      <c r="BH153" s="62">
        <f t="shared" si="116"/>
        <v>293.3333333333353</v>
      </c>
      <c r="BI153" s="62">
        <f ca="1">AVERAGE(OFFSET($BH$3,0,0,'Données projet'!$E$11+1,1))-AVERAGE(OFFSET($H$3,0,0,'Données projet'!$E$11+1,1))</f>
        <v>295.83974441964551</v>
      </c>
      <c r="BJ153" s="62">
        <f t="shared" si="146"/>
        <v>212.24900914818096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-5.6843418860808015E-14</v>
      </c>
      <c r="BZ153" s="14">
        <f>BY153*VLOOKUP('Données projet'!$B$12,Paramètres!$A$1:$I$89,3,0)*VLOOKUP('Données projet'!$B$12,Paramètres!$A$1:$I$89,5,0)</f>
        <v>-3.2514435588382188E-14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309.71642374647882</v>
      </c>
      <c r="CE153" s="62">
        <f t="shared" si="148"/>
        <v>266.63880397664315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8.7904692306787033E-2</v>
      </c>
      <c r="CM153" s="23">
        <f>EXP(-LN(2)/2)*CM152+(1-EXP(-LN(2)/2))/(LN(2)/2)*CG153*CJ153*VLOOKUP('Données projet'!$B$12,Paramètres!$A$1:$I$89,3,0)*0.475*44/12</f>
        <v>6.9008773823040878E-18</v>
      </c>
      <c r="CN153" s="24">
        <f t="shared" si="120"/>
        <v>8.7904692306787033E-2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-1.7053025658242404E-13</v>
      </c>
      <c r="CU153" s="18">
        <f>CT153*VLOOKUP('Données projet'!$B$13,Paramètres!$A$1:$I$89,3,0)*VLOOKUP('Données projet'!$B$13,Paramètres!$A$1:$I$89,5,0)</f>
        <v>-1.3567387213697657E-13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312.53381881960331</v>
      </c>
      <c r="CZ153" s="62">
        <f t="shared" si="150"/>
        <v>342.06887933351783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>
        <f>VLOOKUP(A153,'Données projet'!$A$165:$I$185,2,0)</f>
        <v>306</v>
      </c>
      <c r="DM153" s="13">
        <f>VLOOKUP(A153,'Données projet'!$A$165:$I$185,9,0)</f>
        <v>2.2000000000000002</v>
      </c>
      <c r="DN153" s="13">
        <f t="array" ref="DN153">INDEX(DM:DM,MIN(IF(ISNUMBER(DM153:DM349),ROW(DM153:DM349),"")))</f>
        <v>2.2000000000000002</v>
      </c>
      <c r="DO153" s="13">
        <f>IF('Données projet'!$A$166&gt;35,DO152+DN153-DW152,IF(A153&lt;'Données projet'!$A$166,$DL$205^A153,IF(A153='Données projet'!$A$166,'Données projet'!$B$166,DO152+DN153-DW152)))</f>
        <v>305.99999999999949</v>
      </c>
      <c r="DP153" s="18">
        <f>DO153*VLOOKUP('Données projet'!$B$14,Paramètres!$A$1:$I$89,3,0)*VLOOKUP('Données projet'!$B$14,Paramètres!$A$1:$I$89,5,0)</f>
        <v>329.37839999999943</v>
      </c>
      <c r="DQ153" s="14">
        <f t="shared" si="151"/>
        <v>77.301419494687025</v>
      </c>
      <c r="DR153" s="22">
        <f t="shared" si="124"/>
        <v>708.3006856199122</v>
      </c>
      <c r="DS153" s="62">
        <f t="shared" si="125"/>
        <v>1001.6340189532455</v>
      </c>
      <c r="DT153" s="62">
        <f ca="1">AVERAGE(OFFSET($DS$3,0,0,'Données projet'!$E$14+1,1))-AVERAGE(OFFSET($H$3,0,0,'Données projet'!$E$14+1,1))</f>
        <v>503.92230226365683</v>
      </c>
      <c r="DU153" s="62">
        <f t="shared" si="152"/>
        <v>267.2998309535638</v>
      </c>
      <c r="DV153" s="16">
        <f>IF(ISNA(VLOOKUP(A153,'Données projet'!$A$165:$I$185,3,0)),0,VLOOKUP(A153,'Données projet'!$A$165:$I$185,3,0))</f>
        <v>13</v>
      </c>
      <c r="DW153" s="16">
        <f>IF(ISNA(VLOOKUP(A153,'Données projet'!$A$165:$I$185,4,0)),0,VLOOKUP(A153,'Données projet'!$A$165:$I$185,4,0))</f>
        <v>306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>
        <f>VLOOKUP(A153,'Données projet'!$A$191:$I$211,2,0)</f>
        <v>306</v>
      </c>
      <c r="EH153" s="13">
        <f>VLOOKUP(A153,'Données projet'!$A$191:$I$211,9,0)</f>
        <v>2.2000000000000002</v>
      </c>
      <c r="EI153" s="13">
        <f t="array" ref="EI153">INDEX(EH:EH,MIN(IF(ISNUMBER(EH153:EH349),ROW(EH153:EH349),"")))</f>
        <v>2.2000000000000002</v>
      </c>
      <c r="EJ153" s="13">
        <f>IF('Données projet'!$A$192&gt;35,EJ152+EI153-ER152,IF(A153&lt;'Données projet'!$A$192,$EG$205^A153,IF(A153='Données projet'!$A$192,'Données projet'!$B$192,EJ152+EI153-ER152)))</f>
        <v>305.99999999999949</v>
      </c>
      <c r="EK153" s="18">
        <f>EJ153*VLOOKUP('Données projet'!$B$15,Paramètres!$A$1:$I$89,3,0)*VLOOKUP('Données projet'!$B$15,Paramètres!$A$1:$I$89,5,0)</f>
        <v>295.96319999999952</v>
      </c>
      <c r="EL153" s="14">
        <f t="shared" si="153"/>
        <v>70.329529052104135</v>
      </c>
      <c r="EM153" s="22">
        <f t="shared" si="127"/>
        <v>637.95983643241379</v>
      </c>
      <c r="EN153" s="62">
        <f t="shared" si="128"/>
        <v>931.29316976574705</v>
      </c>
      <c r="EO153" s="62">
        <f ca="1">AVERAGE(OFFSET($EN$3,0,0,'Données projet'!$E$15+1,1))-AVERAGE(OFFSET($H$3,0,0,'Données projet'!$E$15+1,1))</f>
        <v>457.16923206840744</v>
      </c>
      <c r="EP153" s="62">
        <f t="shared" si="154"/>
        <v>244.45149244446094</v>
      </c>
      <c r="EQ153" s="16">
        <f>IF(ISNA(VLOOKUP(A153,'Données projet'!$A$191:$I$211,3,0)),0,VLOOKUP(A153,'Données projet'!$A$191:$I$211,3,0))</f>
        <v>13</v>
      </c>
      <c r="ER153" s="16">
        <f>IF(ISNA(VLOOKUP(A153,'Données projet'!$A$191:$I$211,4,0)),0,VLOOKUP(A153,'Données projet'!$A$191:$I$211,4,0))</f>
        <v>306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3.979039320256561E-13</v>
      </c>
      <c r="FF153" s="18">
        <f>FE153*VLOOKUP('Données projet'!$B$16,Paramètres!$A$1:$I$89,3,0)*VLOOKUP('Données projet'!$B$16,Paramètres!$A$1:$I$89,5,0)</f>
        <v>2.669139576028101E-13</v>
      </c>
      <c r="FG153" s="14">
        <f t="shared" si="155"/>
        <v>3.5767923834585247E-12</v>
      </c>
      <c r="FH153" s="22">
        <f t="shared" si="130"/>
        <v>6.6944552106818241E-12</v>
      </c>
      <c r="FI153" s="62">
        <f t="shared" si="131"/>
        <v>293.33333333334002</v>
      </c>
      <c r="FJ153" s="62">
        <f ca="1">AVERAGE(OFFSET($FI$3,0,0,'Données projet'!$E$16+1,1))-AVERAGE(OFFSET($H$3,0,0,'Données projet'!$E$16+1,1))</f>
        <v>385.97853124853452</v>
      </c>
      <c r="FK153" s="62">
        <f t="shared" si="156"/>
        <v>300.99118099739695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132.280299502248</v>
      </c>
      <c r="T154" s="62">
        <f t="shared" si="142"/>
        <v>337.98099449405339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5.7046474465959811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1.1289862570035615E-18</v>
      </c>
      <c r="AC154" s="24">
        <f t="shared" ref="AC154:AC203" si="163">SUM(Z154:AB154)</f>
        <v>5.7046474465959811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-5.1159076974727213E-13</v>
      </c>
      <c r="AJ154" s="14">
        <f>AI154*VLOOKUP('Données projet'!$B$10,Paramètres!$A$1:$I$89,3,0)*VLOOKUP('Données projet'!$B$10,Paramètres!$A$1:$I$89,5,0)</f>
        <v>-4.6288732846733184E-13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430.40491895612814</v>
      </c>
      <c r="AO154" s="62">
        <f t="shared" si="144"/>
        <v>231.36959598460686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1.1368683772161603E-13</v>
      </c>
      <c r="BE154" s="14">
        <f>BD154*VLOOKUP('Données projet'!$B$11,Paramètres!$A$1:$I$89,3,0)*VLOOKUP('Données projet'!$B$11,Paramètres!$A$1:$I$89,5,0)</f>
        <v>6.7984728957526396E-14</v>
      </c>
      <c r="BF154" s="14">
        <f t="shared" ref="BF154:BF203" si="167">EXP(-1.0587+0.8836*LN(BE154)+0.284)</f>
        <v>1.0682447123141398E-12</v>
      </c>
      <c r="BG154" s="22">
        <f t="shared" ref="BG154:BG203" si="168">(BE154+BF154)*0.475*44/12</f>
        <v>1.978932943548152E-12</v>
      </c>
      <c r="BH154" s="62">
        <f t="shared" si="116"/>
        <v>293.3333333333353</v>
      </c>
      <c r="BI154" s="62">
        <f ca="1">AVERAGE(OFFSET($BH$3,0,0,'Données projet'!$E$11+1,1))-AVERAGE(OFFSET($H$3,0,0,'Données projet'!$E$11+1,1))</f>
        <v>295.83974441964551</v>
      </c>
      <c r="BJ154" s="62">
        <f t="shared" si="146"/>
        <v>212.24900914818096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-5.6843418860808015E-14</v>
      </c>
      <c r="BZ154" s="14">
        <f>BY154*VLOOKUP('Données projet'!$B$12,Paramètres!$A$1:$I$89,3,0)*VLOOKUP('Données projet'!$B$12,Paramètres!$A$1:$I$89,5,0)</f>
        <v>-3.2514435588382188E-14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309.71642374647882</v>
      </c>
      <c r="CE154" s="62">
        <f t="shared" si="148"/>
        <v>266.63880397664315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8.5500933872951088E-2</v>
      </c>
      <c r="CM154" s="23">
        <f>EXP(-LN(2)/2)*CM153+(1-EXP(-LN(2)/2))/(LN(2)/2)*CG154*CJ154*VLOOKUP('Données projet'!$B$12,Paramètres!$A$1:$I$89,3,0)*0.475*44/12</f>
        <v>4.8796571931640917E-18</v>
      </c>
      <c r="CN154" s="24">
        <f t="shared" ref="CN154:CN203" si="172">SUM(CK154:CM154)</f>
        <v>8.5500933872951088E-2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-1.7053025658242404E-13</v>
      </c>
      <c r="CU154" s="18">
        <f>CT154*VLOOKUP('Données projet'!$B$13,Paramètres!$A$1:$I$89,3,0)*VLOOKUP('Données projet'!$B$13,Paramètres!$A$1:$I$89,5,0)</f>
        <v>-1.3567387213697657E-13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312.53381881960331</v>
      </c>
      <c r="CZ154" s="62">
        <f t="shared" si="150"/>
        <v>342.06887933351783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-5.1159076974727213E-13</v>
      </c>
      <c r="DP154" s="18">
        <f>DO154*VLOOKUP('Données projet'!$B$14,Paramètres!$A$1:$I$89,3,0)*VLOOKUP('Données projet'!$B$14,Paramètres!$A$1:$I$89,5,0)</f>
        <v>-5.5067630455596371E-13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503.92230226365683</v>
      </c>
      <c r="DU154" s="62">
        <f t="shared" si="152"/>
        <v>267.2998309535638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-5.1159076974727213E-13</v>
      </c>
      <c r="EK154" s="18">
        <f>EJ154*VLOOKUP('Données projet'!$B$15,Paramètres!$A$1:$I$89,3,0)*VLOOKUP('Données projet'!$B$15,Paramètres!$A$1:$I$89,5,0)</f>
        <v>-4.9481059249956164E-13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457.16923206840744</v>
      </c>
      <c r="EP154" s="62">
        <f t="shared" si="154"/>
        <v>244.45149244446094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3.979039320256561E-13</v>
      </c>
      <c r="FF154" s="18">
        <f>FE154*VLOOKUP('Données projet'!$B$16,Paramètres!$A$1:$I$89,3,0)*VLOOKUP('Données projet'!$B$16,Paramètres!$A$1:$I$89,5,0)</f>
        <v>2.669139576028101E-13</v>
      </c>
      <c r="FG154" s="14">
        <f t="shared" ref="FG154:FG203" si="182">EXP(-1.0587+0.8836*LN(FF154)+0.284)</f>
        <v>3.5767923834585247E-12</v>
      </c>
      <c r="FH154" s="22">
        <f t="shared" ref="FH154:FH203" si="183">(FF154+FG154)*0.475*44/12</f>
        <v>6.6944552106818241E-12</v>
      </c>
      <c r="FI154" s="62">
        <f t="shared" si="131"/>
        <v>293.33333333334002</v>
      </c>
      <c r="FJ154" s="62">
        <f ca="1">AVERAGE(OFFSET($FI$3,0,0,'Données projet'!$E$16+1,1))-AVERAGE(OFFSET($H$3,0,0,'Données projet'!$E$16+1,1))</f>
        <v>385.97853124853452</v>
      </c>
      <c r="FK154" s="62">
        <f t="shared" si="156"/>
        <v>300.99118099739695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132.280299502248</v>
      </c>
      <c r="T155" s="62">
        <f t="shared" si="142"/>
        <v>337.98099449405339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5.592782789659605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7.9831383819363669E-19</v>
      </c>
      <c r="AC155" s="24">
        <f t="shared" si="163"/>
        <v>5.592782789659605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-5.1159076974727213E-13</v>
      </c>
      <c r="AJ155" s="14">
        <f>AI155*VLOOKUP('Données projet'!$B$10,Paramètres!$A$1:$I$89,3,0)*VLOOKUP('Données projet'!$B$10,Paramètres!$A$1:$I$89,5,0)</f>
        <v>-4.6288732846733184E-13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430.40491895612814</v>
      </c>
      <c r="AO155" s="62">
        <f t="shared" si="144"/>
        <v>231.36959598460686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1.1368683772161603E-13</v>
      </c>
      <c r="BE155" s="14">
        <f>BD155*VLOOKUP('Données projet'!$B$11,Paramètres!$A$1:$I$89,3,0)*VLOOKUP('Données projet'!$B$11,Paramètres!$A$1:$I$89,5,0)</f>
        <v>6.7984728957526396E-14</v>
      </c>
      <c r="BF155" s="14">
        <f t="shared" si="167"/>
        <v>1.0682447123141398E-12</v>
      </c>
      <c r="BG155" s="22">
        <f t="shared" si="168"/>
        <v>1.978932943548152E-12</v>
      </c>
      <c r="BH155" s="62">
        <f t="shared" si="116"/>
        <v>293.3333333333353</v>
      </c>
      <c r="BI155" s="62">
        <f ca="1">AVERAGE(OFFSET($BH$3,0,0,'Données projet'!$E$11+1,1))-AVERAGE(OFFSET($H$3,0,0,'Données projet'!$E$11+1,1))</f>
        <v>295.83974441964551</v>
      </c>
      <c r="BJ155" s="62">
        <f t="shared" si="146"/>
        <v>212.24900914818096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-5.6843418860808015E-14</v>
      </c>
      <c r="BZ155" s="14">
        <f>BY155*VLOOKUP('Données projet'!$B$12,Paramètres!$A$1:$I$89,3,0)*VLOOKUP('Données projet'!$B$12,Paramètres!$A$1:$I$89,5,0)</f>
        <v>-3.2514435588382188E-14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309.71642374647882</v>
      </c>
      <c r="CE155" s="62">
        <f t="shared" si="148"/>
        <v>266.63880397664315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8.3162906339896536E-2</v>
      </c>
      <c r="CM155" s="23">
        <f>EXP(-LN(2)/2)*CM154+(1-EXP(-LN(2)/2))/(LN(2)/2)*CG155*CJ155*VLOOKUP('Données projet'!$B$12,Paramètres!$A$1:$I$89,3,0)*0.475*44/12</f>
        <v>3.4504386911520443E-18</v>
      </c>
      <c r="CN155" s="24">
        <f t="shared" si="172"/>
        <v>8.3162906339896536E-2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-1.7053025658242404E-13</v>
      </c>
      <c r="CU155" s="18">
        <f>CT155*VLOOKUP('Données projet'!$B$13,Paramètres!$A$1:$I$89,3,0)*VLOOKUP('Données projet'!$B$13,Paramètres!$A$1:$I$89,5,0)</f>
        <v>-1.3567387213697657E-13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312.53381881960331</v>
      </c>
      <c r="CZ155" s="62">
        <f t="shared" si="150"/>
        <v>342.06887933351783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-5.1159076974727213E-13</v>
      </c>
      <c r="DP155" s="18">
        <f>DO155*VLOOKUP('Données projet'!$B$14,Paramètres!$A$1:$I$89,3,0)*VLOOKUP('Données projet'!$B$14,Paramètres!$A$1:$I$89,5,0)</f>
        <v>-5.5067630455596371E-13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503.92230226365683</v>
      </c>
      <c r="DU155" s="62">
        <f t="shared" si="152"/>
        <v>267.2998309535638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-5.1159076974727213E-13</v>
      </c>
      <c r="EK155" s="18">
        <f>EJ155*VLOOKUP('Données projet'!$B$15,Paramètres!$A$1:$I$89,3,0)*VLOOKUP('Données projet'!$B$15,Paramètres!$A$1:$I$89,5,0)</f>
        <v>-4.9481059249956164E-13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457.16923206840744</v>
      </c>
      <c r="EP155" s="62">
        <f t="shared" si="154"/>
        <v>244.45149244446094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3.979039320256561E-13</v>
      </c>
      <c r="FF155" s="18">
        <f>FE155*VLOOKUP('Données projet'!$B$16,Paramètres!$A$1:$I$89,3,0)*VLOOKUP('Données projet'!$B$16,Paramètres!$A$1:$I$89,5,0)</f>
        <v>2.669139576028101E-13</v>
      </c>
      <c r="FG155" s="14">
        <f t="shared" si="182"/>
        <v>3.5767923834585247E-12</v>
      </c>
      <c r="FH155" s="22">
        <f t="shared" si="183"/>
        <v>6.6944552106818241E-12</v>
      </c>
      <c r="FI155" s="62">
        <f t="shared" si="131"/>
        <v>293.33333333334002</v>
      </c>
      <c r="FJ155" s="62">
        <f ca="1">AVERAGE(OFFSET($FI$3,0,0,'Données projet'!$E$16+1,1))-AVERAGE(OFFSET($H$3,0,0,'Données projet'!$E$16+1,1))</f>
        <v>385.97853124853452</v>
      </c>
      <c r="FK155" s="62">
        <f t="shared" si="156"/>
        <v>300.99118099739695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132.280299502248</v>
      </c>
      <c r="T156" s="62">
        <f t="shared" si="142"/>
        <v>337.98099449405339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5.4831117304150476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5.6449312850178076E-19</v>
      </c>
      <c r="AC156" s="24">
        <f t="shared" si="163"/>
        <v>5.4831117304150476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-5.1159076974727213E-13</v>
      </c>
      <c r="AJ156" s="14">
        <f>AI156*VLOOKUP('Données projet'!$B$10,Paramètres!$A$1:$I$89,3,0)*VLOOKUP('Données projet'!$B$10,Paramètres!$A$1:$I$89,5,0)</f>
        <v>-4.6288732846733184E-13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430.40491895612814</v>
      </c>
      <c r="AO156" s="62">
        <f t="shared" si="144"/>
        <v>231.36959598460686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1.1368683772161603E-13</v>
      </c>
      <c r="BE156" s="14">
        <f>BD156*VLOOKUP('Données projet'!$B$11,Paramètres!$A$1:$I$89,3,0)*VLOOKUP('Données projet'!$B$11,Paramètres!$A$1:$I$89,5,0)</f>
        <v>6.7984728957526396E-14</v>
      </c>
      <c r="BF156" s="14">
        <f t="shared" si="167"/>
        <v>1.0682447123141398E-12</v>
      </c>
      <c r="BG156" s="22">
        <f t="shared" si="168"/>
        <v>1.978932943548152E-12</v>
      </c>
      <c r="BH156" s="62">
        <f t="shared" si="116"/>
        <v>293.3333333333353</v>
      </c>
      <c r="BI156" s="62">
        <f ca="1">AVERAGE(OFFSET($BH$3,0,0,'Données projet'!$E$11+1,1))-AVERAGE(OFFSET($H$3,0,0,'Données projet'!$E$11+1,1))</f>
        <v>295.83974441964551</v>
      </c>
      <c r="BJ156" s="62">
        <f t="shared" si="146"/>
        <v>212.24900914818096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-5.6843418860808015E-14</v>
      </c>
      <c r="BZ156" s="14">
        <f>BY156*VLOOKUP('Données projet'!$B$12,Paramètres!$A$1:$I$89,3,0)*VLOOKUP('Données projet'!$B$12,Paramètres!$A$1:$I$89,5,0)</f>
        <v>-3.2514435588382188E-14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309.71642374647882</v>
      </c>
      <c r="CE156" s="62">
        <f t="shared" si="148"/>
        <v>266.63880397664315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8.0888812292684895E-2</v>
      </c>
      <c r="CM156" s="23">
        <f>EXP(-LN(2)/2)*CM155+(1-EXP(-LN(2)/2))/(LN(2)/2)*CG156*CJ156*VLOOKUP('Données projet'!$B$12,Paramètres!$A$1:$I$89,3,0)*0.475*44/12</f>
        <v>2.4398285965820462E-18</v>
      </c>
      <c r="CN156" s="24">
        <f t="shared" si="172"/>
        <v>8.0888812292684895E-2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-1.7053025658242404E-13</v>
      </c>
      <c r="CU156" s="18">
        <f>CT156*VLOOKUP('Données projet'!$B$13,Paramètres!$A$1:$I$89,3,0)*VLOOKUP('Données projet'!$B$13,Paramètres!$A$1:$I$89,5,0)</f>
        <v>-1.3567387213697657E-13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312.53381881960331</v>
      </c>
      <c r="CZ156" s="62">
        <f t="shared" si="150"/>
        <v>342.06887933351783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-5.1159076974727213E-13</v>
      </c>
      <c r="DP156" s="18">
        <f>DO156*VLOOKUP('Données projet'!$B$14,Paramètres!$A$1:$I$89,3,0)*VLOOKUP('Données projet'!$B$14,Paramètres!$A$1:$I$89,5,0)</f>
        <v>-5.5067630455596371E-13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503.92230226365683</v>
      </c>
      <c r="DU156" s="62">
        <f t="shared" si="152"/>
        <v>267.2998309535638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-5.1159076974727213E-13</v>
      </c>
      <c r="EK156" s="18">
        <f>EJ156*VLOOKUP('Données projet'!$B$15,Paramètres!$A$1:$I$89,3,0)*VLOOKUP('Données projet'!$B$15,Paramètres!$A$1:$I$89,5,0)</f>
        <v>-4.9481059249956164E-13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457.16923206840744</v>
      </c>
      <c r="EP156" s="62">
        <f t="shared" si="154"/>
        <v>244.45149244446094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3.979039320256561E-13</v>
      </c>
      <c r="FF156" s="18">
        <f>FE156*VLOOKUP('Données projet'!$B$16,Paramètres!$A$1:$I$89,3,0)*VLOOKUP('Données projet'!$B$16,Paramètres!$A$1:$I$89,5,0)</f>
        <v>2.669139576028101E-13</v>
      </c>
      <c r="FG156" s="14">
        <f t="shared" si="182"/>
        <v>3.5767923834585247E-12</v>
      </c>
      <c r="FH156" s="22">
        <f t="shared" si="183"/>
        <v>6.6944552106818241E-12</v>
      </c>
      <c r="FI156" s="62">
        <f t="shared" si="131"/>
        <v>293.33333333334002</v>
      </c>
      <c r="FJ156" s="62">
        <f ca="1">AVERAGE(OFFSET($FI$3,0,0,'Données projet'!$E$16+1,1))-AVERAGE(OFFSET($H$3,0,0,'Données projet'!$E$16+1,1))</f>
        <v>385.97853124853452</v>
      </c>
      <c r="FK156" s="62">
        <f t="shared" si="156"/>
        <v>300.99118099739695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132.280299502248</v>
      </c>
      <c r="T157" s="62">
        <f t="shared" si="142"/>
        <v>337.98099449405339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5.3755912537495352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3.9915691909681835E-19</v>
      </c>
      <c r="AC157" s="24">
        <f t="shared" si="163"/>
        <v>5.3755912537495352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-5.1159076974727213E-13</v>
      </c>
      <c r="AJ157" s="14">
        <f>AI157*VLOOKUP('Données projet'!$B$10,Paramètres!$A$1:$I$89,3,0)*VLOOKUP('Données projet'!$B$10,Paramètres!$A$1:$I$89,5,0)</f>
        <v>-4.6288732846733184E-13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430.40491895612814</v>
      </c>
      <c r="AO157" s="62">
        <f t="shared" si="144"/>
        <v>231.36959598460686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1.1368683772161603E-13</v>
      </c>
      <c r="BE157" s="14">
        <f>BD157*VLOOKUP('Données projet'!$B$11,Paramètres!$A$1:$I$89,3,0)*VLOOKUP('Données projet'!$B$11,Paramètres!$A$1:$I$89,5,0)</f>
        <v>6.7984728957526396E-14</v>
      </c>
      <c r="BF157" s="14">
        <f t="shared" si="167"/>
        <v>1.0682447123141398E-12</v>
      </c>
      <c r="BG157" s="22">
        <f t="shared" si="168"/>
        <v>1.978932943548152E-12</v>
      </c>
      <c r="BH157" s="62">
        <f t="shared" si="116"/>
        <v>293.3333333333353</v>
      </c>
      <c r="BI157" s="62">
        <f ca="1">AVERAGE(OFFSET($BH$3,0,0,'Données projet'!$E$11+1,1))-AVERAGE(OFFSET($H$3,0,0,'Données projet'!$E$11+1,1))</f>
        <v>295.83974441964551</v>
      </c>
      <c r="BJ157" s="62">
        <f t="shared" si="146"/>
        <v>212.24900914818096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-5.6843418860808015E-14</v>
      </c>
      <c r="BZ157" s="14">
        <f>BY157*VLOOKUP('Données projet'!$B$12,Paramètres!$A$1:$I$89,3,0)*VLOOKUP('Données projet'!$B$12,Paramètres!$A$1:$I$89,5,0)</f>
        <v>-3.2514435588382188E-14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309.71642374647882</v>
      </c>
      <c r="CE157" s="62">
        <f t="shared" si="148"/>
        <v>266.63880397664315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7.867690346678366E-2</v>
      </c>
      <c r="CM157" s="23">
        <f>EXP(-LN(2)/2)*CM156+(1-EXP(-LN(2)/2))/(LN(2)/2)*CG157*CJ157*VLOOKUP('Données projet'!$B$12,Paramètres!$A$1:$I$89,3,0)*0.475*44/12</f>
        <v>1.7252193455760223E-18</v>
      </c>
      <c r="CN157" s="24">
        <f t="shared" si="172"/>
        <v>7.867690346678366E-2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-1.7053025658242404E-13</v>
      </c>
      <c r="CU157" s="18">
        <f>CT157*VLOOKUP('Données projet'!$B$13,Paramètres!$A$1:$I$89,3,0)*VLOOKUP('Données projet'!$B$13,Paramètres!$A$1:$I$89,5,0)</f>
        <v>-1.3567387213697657E-13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312.53381881960331</v>
      </c>
      <c r="CZ157" s="62">
        <f t="shared" si="150"/>
        <v>342.06887933351783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-5.1159076974727213E-13</v>
      </c>
      <c r="DP157" s="18">
        <f>DO157*VLOOKUP('Données projet'!$B$14,Paramètres!$A$1:$I$89,3,0)*VLOOKUP('Données projet'!$B$14,Paramètres!$A$1:$I$89,5,0)</f>
        <v>-5.5067630455596371E-13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503.92230226365683</v>
      </c>
      <c r="DU157" s="62">
        <f t="shared" si="152"/>
        <v>267.2998309535638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-5.1159076974727213E-13</v>
      </c>
      <c r="EK157" s="18">
        <f>EJ157*VLOOKUP('Données projet'!$B$15,Paramètres!$A$1:$I$89,3,0)*VLOOKUP('Données projet'!$B$15,Paramètres!$A$1:$I$89,5,0)</f>
        <v>-4.9481059249956164E-13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457.16923206840744</v>
      </c>
      <c r="EP157" s="62">
        <f t="shared" si="154"/>
        <v>244.45149244446094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3.979039320256561E-13</v>
      </c>
      <c r="FF157" s="18">
        <f>FE157*VLOOKUP('Données projet'!$B$16,Paramètres!$A$1:$I$89,3,0)*VLOOKUP('Données projet'!$B$16,Paramètres!$A$1:$I$89,5,0)</f>
        <v>2.669139576028101E-13</v>
      </c>
      <c r="FG157" s="14">
        <f t="shared" si="182"/>
        <v>3.5767923834585247E-12</v>
      </c>
      <c r="FH157" s="22">
        <f t="shared" si="183"/>
        <v>6.6944552106818241E-12</v>
      </c>
      <c r="FI157" s="62">
        <f t="shared" si="131"/>
        <v>293.33333333334002</v>
      </c>
      <c r="FJ157" s="62">
        <f ca="1">AVERAGE(OFFSET($FI$3,0,0,'Données projet'!$E$16+1,1))-AVERAGE(OFFSET($H$3,0,0,'Données projet'!$E$16+1,1))</f>
        <v>385.97853124853452</v>
      </c>
      <c r="FK157" s="62">
        <f t="shared" si="156"/>
        <v>300.99118099739695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132.280299502248</v>
      </c>
      <c r="T158" s="62">
        <f t="shared" si="142"/>
        <v>337.98099449405339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5.2701791880504185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2.8224656425089038E-19</v>
      </c>
      <c r="AC158" s="24">
        <f t="shared" si="163"/>
        <v>5.2701791880504185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-5.1159076974727213E-13</v>
      </c>
      <c r="AJ158" s="14">
        <f>AI158*VLOOKUP('Données projet'!$B$10,Paramètres!$A$1:$I$89,3,0)*VLOOKUP('Données projet'!$B$10,Paramètres!$A$1:$I$89,5,0)</f>
        <v>-4.6288732846733184E-13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430.40491895612814</v>
      </c>
      <c r="AO158" s="62">
        <f t="shared" si="144"/>
        <v>231.36959598460686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1.1368683772161603E-13</v>
      </c>
      <c r="BE158" s="14">
        <f>BD158*VLOOKUP('Données projet'!$B$11,Paramètres!$A$1:$I$89,3,0)*VLOOKUP('Données projet'!$B$11,Paramètres!$A$1:$I$89,5,0)</f>
        <v>6.7984728957526396E-14</v>
      </c>
      <c r="BF158" s="14">
        <f t="shared" si="167"/>
        <v>1.0682447123141398E-12</v>
      </c>
      <c r="BG158" s="22">
        <f t="shared" si="168"/>
        <v>1.978932943548152E-12</v>
      </c>
      <c r="BH158" s="62">
        <f t="shared" si="116"/>
        <v>293.3333333333353</v>
      </c>
      <c r="BI158" s="62">
        <f ca="1">AVERAGE(OFFSET($BH$3,0,0,'Données projet'!$E$11+1,1))-AVERAGE(OFFSET($H$3,0,0,'Données projet'!$E$11+1,1))</f>
        <v>295.83974441964551</v>
      </c>
      <c r="BJ158" s="62">
        <f t="shared" si="146"/>
        <v>212.24900914818096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-5.6843418860808015E-14</v>
      </c>
      <c r="BZ158" s="14">
        <f>BY158*VLOOKUP('Données projet'!$B$12,Paramètres!$A$1:$I$89,3,0)*VLOOKUP('Données projet'!$B$12,Paramètres!$A$1:$I$89,5,0)</f>
        <v>-3.2514435588382188E-14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309.71642374647882</v>
      </c>
      <c r="CE158" s="62">
        <f t="shared" si="148"/>
        <v>266.63880397664315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7.6525479404045929E-2</v>
      </c>
      <c r="CM158" s="23">
        <f>EXP(-LN(2)/2)*CM157+(1-EXP(-LN(2)/2))/(LN(2)/2)*CG158*CJ158*VLOOKUP('Données projet'!$B$12,Paramètres!$A$1:$I$89,3,0)*0.475*44/12</f>
        <v>1.2199142982910233E-18</v>
      </c>
      <c r="CN158" s="24">
        <f t="shared" si="172"/>
        <v>7.6525479404045929E-2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-1.7053025658242404E-13</v>
      </c>
      <c r="CU158" s="18">
        <f>CT158*VLOOKUP('Données projet'!$B$13,Paramètres!$A$1:$I$89,3,0)*VLOOKUP('Données projet'!$B$13,Paramètres!$A$1:$I$89,5,0)</f>
        <v>-1.3567387213697657E-13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312.53381881960331</v>
      </c>
      <c r="CZ158" s="62">
        <f t="shared" si="150"/>
        <v>342.06887933351783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-5.1159076974727213E-13</v>
      </c>
      <c r="DP158" s="18">
        <f>DO158*VLOOKUP('Données projet'!$B$14,Paramètres!$A$1:$I$89,3,0)*VLOOKUP('Données projet'!$B$14,Paramètres!$A$1:$I$89,5,0)</f>
        <v>-5.5067630455596371E-13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503.92230226365683</v>
      </c>
      <c r="DU158" s="62">
        <f t="shared" si="152"/>
        <v>267.2998309535638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-5.1159076974727213E-13</v>
      </c>
      <c r="EK158" s="18">
        <f>EJ158*VLOOKUP('Données projet'!$B$15,Paramètres!$A$1:$I$89,3,0)*VLOOKUP('Données projet'!$B$15,Paramètres!$A$1:$I$89,5,0)</f>
        <v>-4.9481059249956164E-13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457.16923206840744</v>
      </c>
      <c r="EP158" s="62">
        <f t="shared" si="154"/>
        <v>244.45149244446094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3.979039320256561E-13</v>
      </c>
      <c r="FF158" s="18">
        <f>FE158*VLOOKUP('Données projet'!$B$16,Paramètres!$A$1:$I$89,3,0)*VLOOKUP('Données projet'!$B$16,Paramètres!$A$1:$I$89,5,0)</f>
        <v>2.669139576028101E-13</v>
      </c>
      <c r="FG158" s="14">
        <f t="shared" si="182"/>
        <v>3.5767923834585247E-12</v>
      </c>
      <c r="FH158" s="22">
        <f t="shared" si="183"/>
        <v>6.6944552106818241E-12</v>
      </c>
      <c r="FI158" s="62">
        <f t="shared" si="131"/>
        <v>293.33333333334002</v>
      </c>
      <c r="FJ158" s="62">
        <f ca="1">AVERAGE(OFFSET($FI$3,0,0,'Données projet'!$E$16+1,1))-AVERAGE(OFFSET($H$3,0,0,'Données projet'!$E$16+1,1))</f>
        <v>385.97853124853452</v>
      </c>
      <c r="FK158" s="62">
        <f t="shared" si="156"/>
        <v>300.99118099739695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132.280299502248</v>
      </c>
      <c r="T159" s="62">
        <f t="shared" si="142"/>
        <v>337.98099449405339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5.1668341886646498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1.9957845954840917E-19</v>
      </c>
      <c r="AC159" s="24">
        <f t="shared" si="163"/>
        <v>5.1668341886646498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-5.1159076974727213E-13</v>
      </c>
      <c r="AJ159" s="14">
        <f>AI159*VLOOKUP('Données projet'!$B$10,Paramètres!$A$1:$I$89,3,0)*VLOOKUP('Données projet'!$B$10,Paramètres!$A$1:$I$89,5,0)</f>
        <v>-4.6288732846733184E-13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430.40491895612814</v>
      </c>
      <c r="AO159" s="62">
        <f t="shared" si="144"/>
        <v>231.36959598460686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1.1368683772161603E-13</v>
      </c>
      <c r="BE159" s="14">
        <f>BD159*VLOOKUP('Données projet'!$B$11,Paramètres!$A$1:$I$89,3,0)*VLOOKUP('Données projet'!$B$11,Paramètres!$A$1:$I$89,5,0)</f>
        <v>6.7984728957526396E-14</v>
      </c>
      <c r="BF159" s="14">
        <f t="shared" si="167"/>
        <v>1.0682447123141398E-12</v>
      </c>
      <c r="BG159" s="22">
        <f t="shared" si="168"/>
        <v>1.978932943548152E-12</v>
      </c>
      <c r="BH159" s="62">
        <f t="shared" si="116"/>
        <v>293.3333333333353</v>
      </c>
      <c r="BI159" s="62">
        <f ca="1">AVERAGE(OFFSET($BH$3,0,0,'Données projet'!$E$11+1,1))-AVERAGE(OFFSET($H$3,0,0,'Données projet'!$E$11+1,1))</f>
        <v>295.83974441964551</v>
      </c>
      <c r="BJ159" s="62">
        <f t="shared" si="146"/>
        <v>212.24900914818096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-5.6843418860808015E-14</v>
      </c>
      <c r="BZ159" s="14">
        <f>BY159*VLOOKUP('Données projet'!$B$12,Paramètres!$A$1:$I$89,3,0)*VLOOKUP('Données projet'!$B$12,Paramètres!$A$1:$I$89,5,0)</f>
        <v>-3.2514435588382188E-14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309.71642374647882</v>
      </c>
      <c r="CE159" s="62">
        <f t="shared" si="148"/>
        <v>266.63880397664315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7.4432886145442231E-2</v>
      </c>
      <c r="CM159" s="23">
        <f>EXP(-LN(2)/2)*CM158+(1-EXP(-LN(2)/2))/(LN(2)/2)*CG159*CJ159*VLOOKUP('Données projet'!$B$12,Paramètres!$A$1:$I$89,3,0)*0.475*44/12</f>
        <v>8.6260967278801137E-19</v>
      </c>
      <c r="CN159" s="24">
        <f t="shared" si="172"/>
        <v>7.4432886145442231E-2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-1.7053025658242404E-13</v>
      </c>
      <c r="CU159" s="18">
        <f>CT159*VLOOKUP('Données projet'!$B$13,Paramètres!$A$1:$I$89,3,0)*VLOOKUP('Données projet'!$B$13,Paramètres!$A$1:$I$89,5,0)</f>
        <v>-1.3567387213697657E-13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312.53381881960331</v>
      </c>
      <c r="CZ159" s="62">
        <f t="shared" si="150"/>
        <v>342.06887933351783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-5.1159076974727213E-13</v>
      </c>
      <c r="DP159" s="18">
        <f>DO159*VLOOKUP('Données projet'!$B$14,Paramètres!$A$1:$I$89,3,0)*VLOOKUP('Données projet'!$B$14,Paramètres!$A$1:$I$89,5,0)</f>
        <v>-5.5067630455596371E-13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503.92230226365683</v>
      </c>
      <c r="DU159" s="62">
        <f t="shared" si="152"/>
        <v>267.2998309535638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-5.1159076974727213E-13</v>
      </c>
      <c r="EK159" s="18">
        <f>EJ159*VLOOKUP('Données projet'!$B$15,Paramètres!$A$1:$I$89,3,0)*VLOOKUP('Données projet'!$B$15,Paramètres!$A$1:$I$89,5,0)</f>
        <v>-4.9481059249956164E-13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457.16923206840744</v>
      </c>
      <c r="EP159" s="62">
        <f t="shared" si="154"/>
        <v>244.45149244446094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3.979039320256561E-13</v>
      </c>
      <c r="FF159" s="18">
        <f>FE159*VLOOKUP('Données projet'!$B$16,Paramètres!$A$1:$I$89,3,0)*VLOOKUP('Données projet'!$B$16,Paramètres!$A$1:$I$89,5,0)</f>
        <v>2.669139576028101E-13</v>
      </c>
      <c r="FG159" s="14">
        <f t="shared" si="182"/>
        <v>3.5767923834585247E-12</v>
      </c>
      <c r="FH159" s="22">
        <f t="shared" si="183"/>
        <v>6.6944552106818241E-12</v>
      </c>
      <c r="FI159" s="62">
        <f t="shared" si="131"/>
        <v>293.33333333334002</v>
      </c>
      <c r="FJ159" s="62">
        <f ca="1">AVERAGE(OFFSET($FI$3,0,0,'Données projet'!$E$16+1,1))-AVERAGE(OFFSET($H$3,0,0,'Données projet'!$E$16+1,1))</f>
        <v>385.97853124853452</v>
      </c>
      <c r="FK159" s="62">
        <f t="shared" si="156"/>
        <v>300.99118099739695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132.280299502248</v>
      </c>
      <c r="T160" s="62">
        <f t="shared" si="142"/>
        <v>337.98099449405339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5.0655157216826101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1.4112328212544519E-19</v>
      </c>
      <c r="AC160" s="24">
        <f t="shared" si="163"/>
        <v>5.0655157216826101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-5.1159076974727213E-13</v>
      </c>
      <c r="AJ160" s="14">
        <f>AI160*VLOOKUP('Données projet'!$B$10,Paramètres!$A$1:$I$89,3,0)*VLOOKUP('Données projet'!$B$10,Paramètres!$A$1:$I$89,5,0)</f>
        <v>-4.6288732846733184E-13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430.40491895612814</v>
      </c>
      <c r="AO160" s="62">
        <f t="shared" si="144"/>
        <v>231.36959598460686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1.1368683772161603E-13</v>
      </c>
      <c r="BE160" s="14">
        <f>BD160*VLOOKUP('Données projet'!$B$11,Paramètres!$A$1:$I$89,3,0)*VLOOKUP('Données projet'!$B$11,Paramètres!$A$1:$I$89,5,0)</f>
        <v>6.7984728957526396E-14</v>
      </c>
      <c r="BF160" s="14">
        <f t="shared" si="167"/>
        <v>1.0682447123141398E-12</v>
      </c>
      <c r="BG160" s="22">
        <f t="shared" si="168"/>
        <v>1.978932943548152E-12</v>
      </c>
      <c r="BH160" s="62">
        <f t="shared" si="116"/>
        <v>293.3333333333353</v>
      </c>
      <c r="BI160" s="62">
        <f ca="1">AVERAGE(OFFSET($BH$3,0,0,'Données projet'!$E$11+1,1))-AVERAGE(OFFSET($H$3,0,0,'Données projet'!$E$11+1,1))</f>
        <v>295.83974441964551</v>
      </c>
      <c r="BJ160" s="62">
        <f t="shared" si="146"/>
        <v>212.24900914818096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-5.6843418860808015E-14</v>
      </c>
      <c r="BZ160" s="14">
        <f>BY160*VLOOKUP('Données projet'!$B$12,Paramètres!$A$1:$I$89,3,0)*VLOOKUP('Données projet'!$B$12,Paramètres!$A$1:$I$89,5,0)</f>
        <v>-3.2514435588382188E-14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309.71642374647882</v>
      </c>
      <c r="CE160" s="62">
        <f t="shared" si="148"/>
        <v>266.63880397664315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7.2397514959539749E-2</v>
      </c>
      <c r="CM160" s="23">
        <f>EXP(-LN(2)/2)*CM159+(1-EXP(-LN(2)/2))/(LN(2)/2)*CG160*CJ160*VLOOKUP('Données projet'!$B$12,Paramètres!$A$1:$I$89,3,0)*0.475*44/12</f>
        <v>6.0995714914551175E-19</v>
      </c>
      <c r="CN160" s="24">
        <f t="shared" si="172"/>
        <v>7.2397514959539749E-2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-1.7053025658242404E-13</v>
      </c>
      <c r="CU160" s="18">
        <f>CT160*VLOOKUP('Données projet'!$B$13,Paramètres!$A$1:$I$89,3,0)*VLOOKUP('Données projet'!$B$13,Paramètres!$A$1:$I$89,5,0)</f>
        <v>-1.3567387213697657E-13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312.53381881960331</v>
      </c>
      <c r="CZ160" s="62">
        <f t="shared" si="150"/>
        <v>342.06887933351783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-5.1159076974727213E-13</v>
      </c>
      <c r="DP160" s="18">
        <f>DO160*VLOOKUP('Données projet'!$B$14,Paramètres!$A$1:$I$89,3,0)*VLOOKUP('Données projet'!$B$14,Paramètres!$A$1:$I$89,5,0)</f>
        <v>-5.5067630455596371E-13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503.92230226365683</v>
      </c>
      <c r="DU160" s="62">
        <f t="shared" si="152"/>
        <v>267.2998309535638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-5.1159076974727213E-13</v>
      </c>
      <c r="EK160" s="18">
        <f>EJ160*VLOOKUP('Données projet'!$B$15,Paramètres!$A$1:$I$89,3,0)*VLOOKUP('Données projet'!$B$15,Paramètres!$A$1:$I$89,5,0)</f>
        <v>-4.9481059249956164E-13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457.16923206840744</v>
      </c>
      <c r="EP160" s="62">
        <f t="shared" si="154"/>
        <v>244.45149244446094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3.979039320256561E-13</v>
      </c>
      <c r="FF160" s="18">
        <f>FE160*VLOOKUP('Données projet'!$B$16,Paramètres!$A$1:$I$89,3,0)*VLOOKUP('Données projet'!$B$16,Paramètres!$A$1:$I$89,5,0)</f>
        <v>2.669139576028101E-13</v>
      </c>
      <c r="FG160" s="14">
        <f t="shared" si="182"/>
        <v>3.5767923834585247E-12</v>
      </c>
      <c r="FH160" s="22">
        <f t="shared" si="183"/>
        <v>6.6944552106818241E-12</v>
      </c>
      <c r="FI160" s="62">
        <f t="shared" si="131"/>
        <v>293.33333333334002</v>
      </c>
      <c r="FJ160" s="62">
        <f ca="1">AVERAGE(OFFSET($FI$3,0,0,'Données projet'!$E$16+1,1))-AVERAGE(OFFSET($H$3,0,0,'Données projet'!$E$16+1,1))</f>
        <v>385.97853124853452</v>
      </c>
      <c r="FK160" s="62">
        <f t="shared" si="156"/>
        <v>300.99118099739695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132.280299502248</v>
      </c>
      <c r="T161" s="62">
        <f t="shared" si="142"/>
        <v>337.98099449405339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4.966184048039926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9.9789229774204587E-20</v>
      </c>
      <c r="AC161" s="24">
        <f t="shared" si="163"/>
        <v>4.966184048039926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-5.1159076974727213E-13</v>
      </c>
      <c r="AJ161" s="14">
        <f>AI161*VLOOKUP('Données projet'!$B$10,Paramètres!$A$1:$I$89,3,0)*VLOOKUP('Données projet'!$B$10,Paramètres!$A$1:$I$89,5,0)</f>
        <v>-4.6288732846733184E-13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430.40491895612814</v>
      </c>
      <c r="AO161" s="62">
        <f t="shared" si="144"/>
        <v>231.36959598460686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1.1368683772161603E-13</v>
      </c>
      <c r="BE161" s="14">
        <f>BD161*VLOOKUP('Données projet'!$B$11,Paramètres!$A$1:$I$89,3,0)*VLOOKUP('Données projet'!$B$11,Paramètres!$A$1:$I$89,5,0)</f>
        <v>6.7984728957526396E-14</v>
      </c>
      <c r="BF161" s="14">
        <f t="shared" si="167"/>
        <v>1.0682447123141398E-12</v>
      </c>
      <c r="BG161" s="22">
        <f t="shared" si="168"/>
        <v>1.978932943548152E-12</v>
      </c>
      <c r="BH161" s="62">
        <f t="shared" si="116"/>
        <v>293.3333333333353</v>
      </c>
      <c r="BI161" s="62">
        <f ca="1">AVERAGE(OFFSET($BH$3,0,0,'Données projet'!$E$11+1,1))-AVERAGE(OFFSET($H$3,0,0,'Données projet'!$E$11+1,1))</f>
        <v>295.83974441964551</v>
      </c>
      <c r="BJ161" s="62">
        <f t="shared" si="146"/>
        <v>212.24900914818096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-5.6843418860808015E-14</v>
      </c>
      <c r="BZ161" s="14">
        <f>BY161*VLOOKUP('Données projet'!$B$12,Paramètres!$A$1:$I$89,3,0)*VLOOKUP('Données projet'!$B$12,Paramètres!$A$1:$I$89,5,0)</f>
        <v>-3.2514435588382188E-14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309.71642374647882</v>
      </c>
      <c r="CE161" s="62">
        <f t="shared" si="148"/>
        <v>266.63880397664315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7.0417801105751285E-2</v>
      </c>
      <c r="CM161" s="23">
        <f>EXP(-LN(2)/2)*CM160+(1-EXP(-LN(2)/2))/(LN(2)/2)*CG161*CJ161*VLOOKUP('Données projet'!$B$12,Paramètres!$A$1:$I$89,3,0)*0.475*44/12</f>
        <v>4.3130483639400573E-19</v>
      </c>
      <c r="CN161" s="24">
        <f t="shared" si="172"/>
        <v>7.0417801105751285E-2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-1.7053025658242404E-13</v>
      </c>
      <c r="CU161" s="18">
        <f>CT161*VLOOKUP('Données projet'!$B$13,Paramètres!$A$1:$I$89,3,0)*VLOOKUP('Données projet'!$B$13,Paramètres!$A$1:$I$89,5,0)</f>
        <v>-1.3567387213697657E-13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312.53381881960331</v>
      </c>
      <c r="CZ161" s="62">
        <f t="shared" si="150"/>
        <v>342.06887933351783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-5.1159076974727213E-13</v>
      </c>
      <c r="DP161" s="18">
        <f>DO161*VLOOKUP('Données projet'!$B$14,Paramètres!$A$1:$I$89,3,0)*VLOOKUP('Données projet'!$B$14,Paramètres!$A$1:$I$89,5,0)</f>
        <v>-5.5067630455596371E-13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503.92230226365683</v>
      </c>
      <c r="DU161" s="62">
        <f t="shared" si="152"/>
        <v>267.2998309535638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-5.1159076974727213E-13</v>
      </c>
      <c r="EK161" s="18">
        <f>EJ161*VLOOKUP('Données projet'!$B$15,Paramètres!$A$1:$I$89,3,0)*VLOOKUP('Données projet'!$B$15,Paramètres!$A$1:$I$89,5,0)</f>
        <v>-4.9481059249956164E-13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457.16923206840744</v>
      </c>
      <c r="EP161" s="62">
        <f t="shared" si="154"/>
        <v>244.45149244446094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3.979039320256561E-13</v>
      </c>
      <c r="FF161" s="18">
        <f>FE161*VLOOKUP('Données projet'!$B$16,Paramètres!$A$1:$I$89,3,0)*VLOOKUP('Données projet'!$B$16,Paramètres!$A$1:$I$89,5,0)</f>
        <v>2.669139576028101E-13</v>
      </c>
      <c r="FG161" s="14">
        <f t="shared" si="182"/>
        <v>3.5767923834585247E-12</v>
      </c>
      <c r="FH161" s="22">
        <f t="shared" si="183"/>
        <v>6.6944552106818241E-12</v>
      </c>
      <c r="FI161" s="62">
        <f t="shared" si="131"/>
        <v>293.33333333334002</v>
      </c>
      <c r="FJ161" s="62">
        <f ca="1">AVERAGE(OFFSET($FI$3,0,0,'Données projet'!$E$16+1,1))-AVERAGE(OFFSET($H$3,0,0,'Données projet'!$E$16+1,1))</f>
        <v>385.97853124853452</v>
      </c>
      <c r="FK161" s="62">
        <f t="shared" si="156"/>
        <v>300.99118099739695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132.280299502248</v>
      </c>
      <c r="T162" s="62">
        <f t="shared" si="142"/>
        <v>337.98099449405339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4.8688002079310362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7.0561641062722595E-20</v>
      </c>
      <c r="AC162" s="24">
        <f t="shared" si="163"/>
        <v>4.8688002079310362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-5.1159076974727213E-13</v>
      </c>
      <c r="AJ162" s="14">
        <f>AI162*VLOOKUP('Données projet'!$B$10,Paramètres!$A$1:$I$89,3,0)*VLOOKUP('Données projet'!$B$10,Paramètres!$A$1:$I$89,5,0)</f>
        <v>-4.6288732846733184E-13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430.40491895612814</v>
      </c>
      <c r="AO162" s="62">
        <f t="shared" si="144"/>
        <v>231.36959598460686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1.1368683772161603E-13</v>
      </c>
      <c r="BE162" s="14">
        <f>BD162*VLOOKUP('Données projet'!$B$11,Paramètres!$A$1:$I$89,3,0)*VLOOKUP('Données projet'!$B$11,Paramètres!$A$1:$I$89,5,0)</f>
        <v>6.7984728957526396E-14</v>
      </c>
      <c r="BF162" s="14">
        <f t="shared" si="167"/>
        <v>1.0682447123141398E-12</v>
      </c>
      <c r="BG162" s="22">
        <f t="shared" si="168"/>
        <v>1.978932943548152E-12</v>
      </c>
      <c r="BH162" s="62">
        <f t="shared" si="116"/>
        <v>293.3333333333353</v>
      </c>
      <c r="BI162" s="62">
        <f ca="1">AVERAGE(OFFSET($BH$3,0,0,'Données projet'!$E$11+1,1))-AVERAGE(OFFSET($H$3,0,0,'Données projet'!$E$11+1,1))</f>
        <v>295.83974441964551</v>
      </c>
      <c r="BJ162" s="62">
        <f t="shared" si="146"/>
        <v>212.24900914818096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-5.6843418860808015E-14</v>
      </c>
      <c r="BZ162" s="14">
        <f>BY162*VLOOKUP('Données projet'!$B$12,Paramètres!$A$1:$I$89,3,0)*VLOOKUP('Données projet'!$B$12,Paramètres!$A$1:$I$89,5,0)</f>
        <v>-3.2514435588382188E-14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309.71642374647882</v>
      </c>
      <c r="CE162" s="62">
        <f t="shared" si="148"/>
        <v>266.63880397664315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6.8492222631403296E-2</v>
      </c>
      <c r="CM162" s="23">
        <f>EXP(-LN(2)/2)*CM161+(1-EXP(-LN(2)/2))/(LN(2)/2)*CG162*CJ162*VLOOKUP('Données projet'!$B$12,Paramètres!$A$1:$I$89,3,0)*0.475*44/12</f>
        <v>3.0497857457275593E-19</v>
      </c>
      <c r="CN162" s="24">
        <f t="shared" si="172"/>
        <v>6.8492222631403296E-2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-1.7053025658242404E-13</v>
      </c>
      <c r="CU162" s="18">
        <f>CT162*VLOOKUP('Données projet'!$B$13,Paramètres!$A$1:$I$89,3,0)*VLOOKUP('Données projet'!$B$13,Paramètres!$A$1:$I$89,5,0)</f>
        <v>-1.3567387213697657E-13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312.53381881960331</v>
      </c>
      <c r="CZ162" s="62">
        <f t="shared" si="150"/>
        <v>342.06887933351783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-5.1159076974727213E-13</v>
      </c>
      <c r="DP162" s="18">
        <f>DO162*VLOOKUP('Données projet'!$B$14,Paramètres!$A$1:$I$89,3,0)*VLOOKUP('Données projet'!$B$14,Paramètres!$A$1:$I$89,5,0)</f>
        <v>-5.5067630455596371E-13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503.92230226365683</v>
      </c>
      <c r="DU162" s="62">
        <f t="shared" si="152"/>
        <v>267.2998309535638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-5.1159076974727213E-13</v>
      </c>
      <c r="EK162" s="18">
        <f>EJ162*VLOOKUP('Données projet'!$B$15,Paramètres!$A$1:$I$89,3,0)*VLOOKUP('Données projet'!$B$15,Paramètres!$A$1:$I$89,5,0)</f>
        <v>-4.9481059249956164E-13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457.16923206840744</v>
      </c>
      <c r="EP162" s="62">
        <f t="shared" si="154"/>
        <v>244.45149244446094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3.979039320256561E-13</v>
      </c>
      <c r="FF162" s="18">
        <f>FE162*VLOOKUP('Données projet'!$B$16,Paramètres!$A$1:$I$89,3,0)*VLOOKUP('Données projet'!$B$16,Paramètres!$A$1:$I$89,5,0)</f>
        <v>2.669139576028101E-13</v>
      </c>
      <c r="FG162" s="14">
        <f t="shared" si="182"/>
        <v>3.5767923834585247E-12</v>
      </c>
      <c r="FH162" s="22">
        <f t="shared" si="183"/>
        <v>6.6944552106818241E-12</v>
      </c>
      <c r="FI162" s="62">
        <f t="shared" si="131"/>
        <v>293.33333333334002</v>
      </c>
      <c r="FJ162" s="62">
        <f ca="1">AVERAGE(OFFSET($FI$3,0,0,'Données projet'!$E$16+1,1))-AVERAGE(OFFSET($H$3,0,0,'Données projet'!$E$16+1,1))</f>
        <v>385.97853124853452</v>
      </c>
      <c r="FK162" s="62">
        <f t="shared" si="156"/>
        <v>300.99118099739695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132.280299502248</v>
      </c>
      <c r="T163" s="62">
        <f t="shared" si="142"/>
        <v>337.98099449405339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4.7733260055284044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4.9894614887102293E-20</v>
      </c>
      <c r="AC163" s="24">
        <f t="shared" si="163"/>
        <v>4.7733260055284044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-5.1159076974727213E-13</v>
      </c>
      <c r="AJ163" s="14">
        <f>AI163*VLOOKUP('Données projet'!$B$10,Paramètres!$A$1:$I$89,3,0)*VLOOKUP('Données projet'!$B$10,Paramètres!$A$1:$I$89,5,0)</f>
        <v>-4.6288732846733184E-13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430.40491895612814</v>
      </c>
      <c r="AO163" s="62">
        <f t="shared" si="144"/>
        <v>231.36959598460686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1.1368683772161603E-13</v>
      </c>
      <c r="BE163" s="14">
        <f>BD163*VLOOKUP('Données projet'!$B$11,Paramètres!$A$1:$I$89,3,0)*VLOOKUP('Données projet'!$B$11,Paramètres!$A$1:$I$89,5,0)</f>
        <v>6.7984728957526396E-14</v>
      </c>
      <c r="BF163" s="14">
        <f t="shared" si="167"/>
        <v>1.0682447123141398E-12</v>
      </c>
      <c r="BG163" s="22">
        <f t="shared" si="168"/>
        <v>1.978932943548152E-12</v>
      </c>
      <c r="BH163" s="62">
        <f t="shared" si="116"/>
        <v>293.3333333333353</v>
      </c>
      <c r="BI163" s="62">
        <f ca="1">AVERAGE(OFFSET($BH$3,0,0,'Données projet'!$E$11+1,1))-AVERAGE(OFFSET($H$3,0,0,'Données projet'!$E$11+1,1))</f>
        <v>295.83974441964551</v>
      </c>
      <c r="BJ163" s="62">
        <f t="shared" si="146"/>
        <v>212.24900914818096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-5.6843418860808015E-14</v>
      </c>
      <c r="BZ163" s="14">
        <f>BY163*VLOOKUP('Données projet'!$B$12,Paramètres!$A$1:$I$89,3,0)*VLOOKUP('Données projet'!$B$12,Paramètres!$A$1:$I$89,5,0)</f>
        <v>-3.2514435588382188E-14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309.71642374647882</v>
      </c>
      <c r="CE163" s="62">
        <f t="shared" si="148"/>
        <v>266.63880397664315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6.6619299201698123E-2</v>
      </c>
      <c r="CM163" s="23">
        <f>EXP(-LN(2)/2)*CM162+(1-EXP(-LN(2)/2))/(LN(2)/2)*CG163*CJ163*VLOOKUP('Données projet'!$B$12,Paramètres!$A$1:$I$89,3,0)*0.475*44/12</f>
        <v>2.1565241819700291E-19</v>
      </c>
      <c r="CN163" s="24">
        <f t="shared" si="172"/>
        <v>6.6619299201698123E-2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-1.7053025658242404E-13</v>
      </c>
      <c r="CU163" s="18">
        <f>CT163*VLOOKUP('Données projet'!$B$13,Paramètres!$A$1:$I$89,3,0)*VLOOKUP('Données projet'!$B$13,Paramètres!$A$1:$I$89,5,0)</f>
        <v>-1.3567387213697657E-13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312.53381881960331</v>
      </c>
      <c r="CZ163" s="62">
        <f t="shared" si="150"/>
        <v>342.06887933351783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-5.1159076974727213E-13</v>
      </c>
      <c r="DP163" s="18">
        <f>DO163*VLOOKUP('Données projet'!$B$14,Paramètres!$A$1:$I$89,3,0)*VLOOKUP('Données projet'!$B$14,Paramètres!$A$1:$I$89,5,0)</f>
        <v>-5.5067630455596371E-13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503.92230226365683</v>
      </c>
      <c r="DU163" s="62">
        <f t="shared" si="152"/>
        <v>267.2998309535638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-5.1159076974727213E-13</v>
      </c>
      <c r="EK163" s="18">
        <f>EJ163*VLOOKUP('Données projet'!$B$15,Paramètres!$A$1:$I$89,3,0)*VLOOKUP('Données projet'!$B$15,Paramètres!$A$1:$I$89,5,0)</f>
        <v>-4.9481059249956164E-13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457.16923206840744</v>
      </c>
      <c r="EP163" s="62">
        <f t="shared" si="154"/>
        <v>244.45149244446094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3.979039320256561E-13</v>
      </c>
      <c r="FF163" s="18">
        <f>FE163*VLOOKUP('Données projet'!$B$16,Paramètres!$A$1:$I$89,3,0)*VLOOKUP('Données projet'!$B$16,Paramètres!$A$1:$I$89,5,0)</f>
        <v>2.669139576028101E-13</v>
      </c>
      <c r="FG163" s="14">
        <f t="shared" si="182"/>
        <v>3.5767923834585247E-12</v>
      </c>
      <c r="FH163" s="22">
        <f t="shared" si="183"/>
        <v>6.6944552106818241E-12</v>
      </c>
      <c r="FI163" s="62">
        <f t="shared" si="131"/>
        <v>293.33333333334002</v>
      </c>
      <c r="FJ163" s="62">
        <f ca="1">AVERAGE(OFFSET($FI$3,0,0,'Données projet'!$E$16+1,1))-AVERAGE(OFFSET($H$3,0,0,'Données projet'!$E$16+1,1))</f>
        <v>385.97853124853452</v>
      </c>
      <c r="FK163" s="62">
        <f t="shared" si="156"/>
        <v>300.99118099739695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132.280299502248</v>
      </c>
      <c r="T164" s="62">
        <f t="shared" si="142"/>
        <v>337.98099449405339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4.6797239940013746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3.5280820531361297E-20</v>
      </c>
      <c r="AC164" s="24">
        <f t="shared" si="163"/>
        <v>4.6797239940013746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-5.1159076974727213E-13</v>
      </c>
      <c r="AJ164" s="14">
        <f>AI164*VLOOKUP('Données projet'!$B$10,Paramètres!$A$1:$I$89,3,0)*VLOOKUP('Données projet'!$B$10,Paramètres!$A$1:$I$89,5,0)</f>
        <v>-4.6288732846733184E-13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430.40491895612814</v>
      </c>
      <c r="AO164" s="62">
        <f t="shared" si="144"/>
        <v>231.36959598460686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1.1368683772161603E-13</v>
      </c>
      <c r="BE164" s="14">
        <f>BD164*VLOOKUP('Données projet'!$B$11,Paramètres!$A$1:$I$89,3,0)*VLOOKUP('Données projet'!$B$11,Paramètres!$A$1:$I$89,5,0)</f>
        <v>6.7984728957526396E-14</v>
      </c>
      <c r="BF164" s="14">
        <f t="shared" si="167"/>
        <v>1.0682447123141398E-12</v>
      </c>
      <c r="BG164" s="22">
        <f t="shared" si="168"/>
        <v>1.978932943548152E-12</v>
      </c>
      <c r="BH164" s="62">
        <f t="shared" si="116"/>
        <v>293.3333333333353</v>
      </c>
      <c r="BI164" s="62">
        <f ca="1">AVERAGE(OFFSET($BH$3,0,0,'Données projet'!$E$11+1,1))-AVERAGE(OFFSET($H$3,0,0,'Données projet'!$E$11+1,1))</f>
        <v>295.83974441964551</v>
      </c>
      <c r="BJ164" s="62">
        <f t="shared" si="146"/>
        <v>212.24900914818096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-5.6843418860808015E-14</v>
      </c>
      <c r="BZ164" s="14">
        <f>BY164*VLOOKUP('Données projet'!$B$12,Paramètres!$A$1:$I$89,3,0)*VLOOKUP('Données projet'!$B$12,Paramètres!$A$1:$I$89,5,0)</f>
        <v>-3.2514435588382188E-14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309.71642374647882</v>
      </c>
      <c r="CE164" s="62">
        <f t="shared" si="148"/>
        <v>266.63880397664315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6.4797590961671009E-2</v>
      </c>
      <c r="CM164" s="23">
        <f>EXP(-LN(2)/2)*CM163+(1-EXP(-LN(2)/2))/(LN(2)/2)*CG164*CJ164*VLOOKUP('Données projet'!$B$12,Paramètres!$A$1:$I$89,3,0)*0.475*44/12</f>
        <v>1.5248928728637799E-19</v>
      </c>
      <c r="CN164" s="24">
        <f t="shared" si="172"/>
        <v>6.4797590961671009E-2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-1.7053025658242404E-13</v>
      </c>
      <c r="CU164" s="18">
        <f>CT164*VLOOKUP('Données projet'!$B$13,Paramètres!$A$1:$I$89,3,0)*VLOOKUP('Données projet'!$B$13,Paramètres!$A$1:$I$89,5,0)</f>
        <v>-1.3567387213697657E-13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312.53381881960331</v>
      </c>
      <c r="CZ164" s="62">
        <f t="shared" si="150"/>
        <v>342.06887933351783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-5.1159076974727213E-13</v>
      </c>
      <c r="DP164" s="18">
        <f>DO164*VLOOKUP('Données projet'!$B$14,Paramètres!$A$1:$I$89,3,0)*VLOOKUP('Données projet'!$B$14,Paramètres!$A$1:$I$89,5,0)</f>
        <v>-5.5067630455596371E-13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503.92230226365683</v>
      </c>
      <c r="DU164" s="62">
        <f t="shared" si="152"/>
        <v>267.2998309535638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-5.1159076974727213E-13</v>
      </c>
      <c r="EK164" s="18">
        <f>EJ164*VLOOKUP('Données projet'!$B$15,Paramètres!$A$1:$I$89,3,0)*VLOOKUP('Données projet'!$B$15,Paramètres!$A$1:$I$89,5,0)</f>
        <v>-4.9481059249956164E-13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457.16923206840744</v>
      </c>
      <c r="EP164" s="62">
        <f t="shared" si="154"/>
        <v>244.45149244446094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3.979039320256561E-13</v>
      </c>
      <c r="FF164" s="18">
        <f>FE164*VLOOKUP('Données projet'!$B$16,Paramètres!$A$1:$I$89,3,0)*VLOOKUP('Données projet'!$B$16,Paramètres!$A$1:$I$89,5,0)</f>
        <v>2.669139576028101E-13</v>
      </c>
      <c r="FG164" s="14">
        <f t="shared" si="182"/>
        <v>3.5767923834585247E-12</v>
      </c>
      <c r="FH164" s="22">
        <f t="shared" si="183"/>
        <v>6.6944552106818241E-12</v>
      </c>
      <c r="FI164" s="62">
        <f t="shared" si="131"/>
        <v>293.33333333334002</v>
      </c>
      <c r="FJ164" s="62">
        <f ca="1">AVERAGE(OFFSET($FI$3,0,0,'Données projet'!$E$16+1,1))-AVERAGE(OFFSET($H$3,0,0,'Données projet'!$E$16+1,1))</f>
        <v>385.97853124853452</v>
      </c>
      <c r="FK164" s="62">
        <f t="shared" si="156"/>
        <v>300.99118099739695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132.280299502248</v>
      </c>
      <c r="T165" s="62">
        <f t="shared" si="142"/>
        <v>337.98099449405339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4.5879574608288003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2.4947307443551147E-20</v>
      </c>
      <c r="AC165" s="24">
        <f t="shared" si="163"/>
        <v>4.5879574608288003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-5.1159076974727213E-13</v>
      </c>
      <c r="AJ165" s="14">
        <f>AI165*VLOOKUP('Données projet'!$B$10,Paramètres!$A$1:$I$89,3,0)*VLOOKUP('Données projet'!$B$10,Paramètres!$A$1:$I$89,5,0)</f>
        <v>-4.6288732846733184E-13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430.40491895612814</v>
      </c>
      <c r="AO165" s="62">
        <f t="shared" si="144"/>
        <v>231.36959598460686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1.1368683772161603E-13</v>
      </c>
      <c r="BE165" s="14">
        <f>BD165*VLOOKUP('Données projet'!$B$11,Paramètres!$A$1:$I$89,3,0)*VLOOKUP('Données projet'!$B$11,Paramètres!$A$1:$I$89,5,0)</f>
        <v>6.7984728957526396E-14</v>
      </c>
      <c r="BF165" s="14">
        <f t="shared" si="167"/>
        <v>1.0682447123141398E-12</v>
      </c>
      <c r="BG165" s="22">
        <f t="shared" si="168"/>
        <v>1.978932943548152E-12</v>
      </c>
      <c r="BH165" s="62">
        <f t="shared" si="116"/>
        <v>293.3333333333353</v>
      </c>
      <c r="BI165" s="62">
        <f ca="1">AVERAGE(OFFSET($BH$3,0,0,'Données projet'!$E$11+1,1))-AVERAGE(OFFSET($H$3,0,0,'Données projet'!$E$11+1,1))</f>
        <v>295.83974441964551</v>
      </c>
      <c r="BJ165" s="62">
        <f t="shared" si="146"/>
        <v>212.24900914818096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-5.6843418860808015E-14</v>
      </c>
      <c r="BZ165" s="14">
        <f>BY165*VLOOKUP('Données projet'!$B$12,Paramètres!$A$1:$I$89,3,0)*VLOOKUP('Données projet'!$B$12,Paramètres!$A$1:$I$89,5,0)</f>
        <v>-3.2514435588382188E-14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309.71642374647882</v>
      </c>
      <c r="CE165" s="62">
        <f t="shared" si="148"/>
        <v>266.63880397664315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6.3025697429266905E-2</v>
      </c>
      <c r="CM165" s="23">
        <f>EXP(-LN(2)/2)*CM164+(1-EXP(-LN(2)/2))/(LN(2)/2)*CG165*CJ165*VLOOKUP('Données projet'!$B$12,Paramètres!$A$1:$I$89,3,0)*0.475*44/12</f>
        <v>1.0782620909850147E-19</v>
      </c>
      <c r="CN165" s="24">
        <f t="shared" si="172"/>
        <v>6.3025697429266905E-2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-1.7053025658242404E-13</v>
      </c>
      <c r="CU165" s="18">
        <f>CT165*VLOOKUP('Données projet'!$B$13,Paramètres!$A$1:$I$89,3,0)*VLOOKUP('Données projet'!$B$13,Paramètres!$A$1:$I$89,5,0)</f>
        <v>-1.3567387213697657E-13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312.53381881960331</v>
      </c>
      <c r="CZ165" s="62">
        <f t="shared" si="150"/>
        <v>342.06887933351783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-5.1159076974727213E-13</v>
      </c>
      <c r="DP165" s="18">
        <f>DO165*VLOOKUP('Données projet'!$B$14,Paramètres!$A$1:$I$89,3,0)*VLOOKUP('Données projet'!$B$14,Paramètres!$A$1:$I$89,5,0)</f>
        <v>-5.5067630455596371E-13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503.92230226365683</v>
      </c>
      <c r="DU165" s="62">
        <f t="shared" si="152"/>
        <v>267.2998309535638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-5.1159076974727213E-13</v>
      </c>
      <c r="EK165" s="18">
        <f>EJ165*VLOOKUP('Données projet'!$B$15,Paramètres!$A$1:$I$89,3,0)*VLOOKUP('Données projet'!$B$15,Paramètres!$A$1:$I$89,5,0)</f>
        <v>-4.9481059249956164E-13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457.16923206840744</v>
      </c>
      <c r="EP165" s="62">
        <f t="shared" si="154"/>
        <v>244.45149244446094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3.979039320256561E-13</v>
      </c>
      <c r="FF165" s="18">
        <f>FE165*VLOOKUP('Données projet'!$B$16,Paramètres!$A$1:$I$89,3,0)*VLOOKUP('Données projet'!$B$16,Paramètres!$A$1:$I$89,5,0)</f>
        <v>2.669139576028101E-13</v>
      </c>
      <c r="FG165" s="14">
        <f t="shared" si="182"/>
        <v>3.5767923834585247E-12</v>
      </c>
      <c r="FH165" s="22">
        <f t="shared" si="183"/>
        <v>6.6944552106818241E-12</v>
      </c>
      <c r="FI165" s="62">
        <f t="shared" si="131"/>
        <v>293.33333333334002</v>
      </c>
      <c r="FJ165" s="62">
        <f ca="1">AVERAGE(OFFSET($FI$3,0,0,'Données projet'!$E$16+1,1))-AVERAGE(OFFSET($H$3,0,0,'Données projet'!$E$16+1,1))</f>
        <v>385.97853124853452</v>
      </c>
      <c r="FK165" s="62">
        <f t="shared" si="156"/>
        <v>300.99118099739695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132.280299502248</v>
      </c>
      <c r="T166" s="62">
        <f t="shared" si="142"/>
        <v>337.98099449405339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4.4979904133996822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1.7640410265680649E-20</v>
      </c>
      <c r="AC166" s="24">
        <f t="shared" si="163"/>
        <v>4.4979904133996822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-5.1159076974727213E-13</v>
      </c>
      <c r="AJ166" s="14">
        <f>AI166*VLOOKUP('Données projet'!$B$10,Paramètres!$A$1:$I$89,3,0)*VLOOKUP('Données projet'!$B$10,Paramètres!$A$1:$I$89,5,0)</f>
        <v>-4.6288732846733184E-13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430.40491895612814</v>
      </c>
      <c r="AO166" s="62">
        <f t="shared" si="144"/>
        <v>231.36959598460686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1.1368683772161603E-13</v>
      </c>
      <c r="BE166" s="14">
        <f>BD166*VLOOKUP('Données projet'!$B$11,Paramètres!$A$1:$I$89,3,0)*VLOOKUP('Données projet'!$B$11,Paramètres!$A$1:$I$89,5,0)</f>
        <v>6.7984728957526396E-14</v>
      </c>
      <c r="BF166" s="14">
        <f t="shared" si="167"/>
        <v>1.0682447123141398E-12</v>
      </c>
      <c r="BG166" s="22">
        <f t="shared" si="168"/>
        <v>1.978932943548152E-12</v>
      </c>
      <c r="BH166" s="62">
        <f t="shared" si="116"/>
        <v>293.3333333333353</v>
      </c>
      <c r="BI166" s="62">
        <f ca="1">AVERAGE(OFFSET($BH$3,0,0,'Données projet'!$E$11+1,1))-AVERAGE(OFFSET($H$3,0,0,'Données projet'!$E$11+1,1))</f>
        <v>295.83974441964551</v>
      </c>
      <c r="BJ166" s="62">
        <f t="shared" si="146"/>
        <v>212.24900914818096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-5.6843418860808015E-14</v>
      </c>
      <c r="BZ166" s="14">
        <f>BY166*VLOOKUP('Données projet'!$B$12,Paramètres!$A$1:$I$89,3,0)*VLOOKUP('Données projet'!$B$12,Paramètres!$A$1:$I$89,5,0)</f>
        <v>-3.2514435588382188E-14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309.71642374647882</v>
      </c>
      <c r="CE166" s="62">
        <f t="shared" si="148"/>
        <v>266.63880397664315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6.1302256418686224E-2</v>
      </c>
      <c r="CM166" s="23">
        <f>EXP(-LN(2)/2)*CM165+(1-EXP(-LN(2)/2))/(LN(2)/2)*CG166*CJ166*VLOOKUP('Données projet'!$B$12,Paramètres!$A$1:$I$89,3,0)*0.475*44/12</f>
        <v>7.6244643643189005E-20</v>
      </c>
      <c r="CN166" s="24">
        <f t="shared" si="172"/>
        <v>6.1302256418686224E-2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-1.7053025658242404E-13</v>
      </c>
      <c r="CU166" s="18">
        <f>CT166*VLOOKUP('Données projet'!$B$13,Paramètres!$A$1:$I$89,3,0)*VLOOKUP('Données projet'!$B$13,Paramètres!$A$1:$I$89,5,0)</f>
        <v>-1.3567387213697657E-13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312.53381881960331</v>
      </c>
      <c r="CZ166" s="62">
        <f t="shared" si="150"/>
        <v>342.06887933351783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-5.1159076974727213E-13</v>
      </c>
      <c r="DP166" s="18">
        <f>DO166*VLOOKUP('Données projet'!$B$14,Paramètres!$A$1:$I$89,3,0)*VLOOKUP('Données projet'!$B$14,Paramètres!$A$1:$I$89,5,0)</f>
        <v>-5.5067630455596371E-13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503.92230226365683</v>
      </c>
      <c r="DU166" s="62">
        <f t="shared" si="152"/>
        <v>267.2998309535638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-5.1159076974727213E-13</v>
      </c>
      <c r="EK166" s="18">
        <f>EJ166*VLOOKUP('Données projet'!$B$15,Paramètres!$A$1:$I$89,3,0)*VLOOKUP('Données projet'!$B$15,Paramètres!$A$1:$I$89,5,0)</f>
        <v>-4.9481059249956164E-13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457.16923206840744</v>
      </c>
      <c r="EP166" s="62">
        <f t="shared" si="154"/>
        <v>244.45149244446094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3.979039320256561E-13</v>
      </c>
      <c r="FF166" s="18">
        <f>FE166*VLOOKUP('Données projet'!$B$16,Paramètres!$A$1:$I$89,3,0)*VLOOKUP('Données projet'!$B$16,Paramètres!$A$1:$I$89,5,0)</f>
        <v>2.669139576028101E-13</v>
      </c>
      <c r="FG166" s="14">
        <f t="shared" si="182"/>
        <v>3.5767923834585247E-12</v>
      </c>
      <c r="FH166" s="22">
        <f t="shared" si="183"/>
        <v>6.6944552106818241E-12</v>
      </c>
      <c r="FI166" s="62">
        <f t="shared" si="131"/>
        <v>293.33333333334002</v>
      </c>
      <c r="FJ166" s="62">
        <f ca="1">AVERAGE(OFFSET($FI$3,0,0,'Données projet'!$E$16+1,1))-AVERAGE(OFFSET($H$3,0,0,'Données projet'!$E$16+1,1))</f>
        <v>385.97853124853452</v>
      </c>
      <c r="FK166" s="62">
        <f t="shared" si="156"/>
        <v>300.99118099739695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132.280299502248</v>
      </c>
      <c r="T167" s="62">
        <f t="shared" si="142"/>
        <v>337.98099449405339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4.4097875648961677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1.2473653721775573E-20</v>
      </c>
      <c r="AC167" s="24">
        <f t="shared" si="163"/>
        <v>4.4097875648961677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-5.1159076974727213E-13</v>
      </c>
      <c r="AJ167" s="14">
        <f>AI167*VLOOKUP('Données projet'!$B$10,Paramètres!$A$1:$I$89,3,0)*VLOOKUP('Données projet'!$B$10,Paramètres!$A$1:$I$89,5,0)</f>
        <v>-4.6288732846733184E-13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430.40491895612814</v>
      </c>
      <c r="AO167" s="62">
        <f t="shared" si="144"/>
        <v>231.36959598460686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1.1368683772161603E-13</v>
      </c>
      <c r="BE167" s="14">
        <f>BD167*VLOOKUP('Données projet'!$B$11,Paramètres!$A$1:$I$89,3,0)*VLOOKUP('Données projet'!$B$11,Paramètres!$A$1:$I$89,5,0)</f>
        <v>6.7984728957526396E-14</v>
      </c>
      <c r="BF167" s="14">
        <f t="shared" si="167"/>
        <v>1.0682447123141398E-12</v>
      </c>
      <c r="BG167" s="22">
        <f t="shared" si="168"/>
        <v>1.978932943548152E-12</v>
      </c>
      <c r="BH167" s="62">
        <f t="shared" si="116"/>
        <v>293.3333333333353</v>
      </c>
      <c r="BI167" s="62">
        <f ca="1">AVERAGE(OFFSET($BH$3,0,0,'Données projet'!$E$11+1,1))-AVERAGE(OFFSET($H$3,0,0,'Données projet'!$E$11+1,1))</f>
        <v>295.83974441964551</v>
      </c>
      <c r="BJ167" s="62">
        <f t="shared" si="146"/>
        <v>212.24900914818096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-5.6843418860808015E-14</v>
      </c>
      <c r="BZ167" s="14">
        <f>BY167*VLOOKUP('Données projet'!$B$12,Paramètres!$A$1:$I$89,3,0)*VLOOKUP('Données projet'!$B$12,Paramètres!$A$1:$I$89,5,0)</f>
        <v>-3.2514435588382188E-14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309.71642374647882</v>
      </c>
      <c r="CE167" s="62">
        <f t="shared" si="148"/>
        <v>266.63880397664315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5.9625942993171692E-2</v>
      </c>
      <c r="CM167" s="23">
        <f>EXP(-LN(2)/2)*CM166+(1-EXP(-LN(2)/2))/(LN(2)/2)*CG167*CJ167*VLOOKUP('Données projet'!$B$12,Paramètres!$A$1:$I$89,3,0)*0.475*44/12</f>
        <v>5.391310454925074E-20</v>
      </c>
      <c r="CN167" s="24">
        <f t="shared" si="172"/>
        <v>5.9625942993171692E-2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-1.7053025658242404E-13</v>
      </c>
      <c r="CU167" s="18">
        <f>CT167*VLOOKUP('Données projet'!$B$13,Paramètres!$A$1:$I$89,3,0)*VLOOKUP('Données projet'!$B$13,Paramètres!$A$1:$I$89,5,0)</f>
        <v>-1.3567387213697657E-13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312.53381881960331</v>
      </c>
      <c r="CZ167" s="62">
        <f t="shared" si="150"/>
        <v>342.06887933351783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-5.1159076974727213E-13</v>
      </c>
      <c r="DP167" s="18">
        <f>DO167*VLOOKUP('Données projet'!$B$14,Paramètres!$A$1:$I$89,3,0)*VLOOKUP('Données projet'!$B$14,Paramètres!$A$1:$I$89,5,0)</f>
        <v>-5.5067630455596371E-13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503.92230226365683</v>
      </c>
      <c r="DU167" s="62">
        <f t="shared" si="152"/>
        <v>267.2998309535638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-5.1159076974727213E-13</v>
      </c>
      <c r="EK167" s="18">
        <f>EJ167*VLOOKUP('Données projet'!$B$15,Paramètres!$A$1:$I$89,3,0)*VLOOKUP('Données projet'!$B$15,Paramètres!$A$1:$I$89,5,0)</f>
        <v>-4.9481059249956164E-13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457.16923206840744</v>
      </c>
      <c r="EP167" s="62">
        <f t="shared" si="154"/>
        <v>244.45149244446094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3.979039320256561E-13</v>
      </c>
      <c r="FF167" s="18">
        <f>FE167*VLOOKUP('Données projet'!$B$16,Paramètres!$A$1:$I$89,3,0)*VLOOKUP('Données projet'!$B$16,Paramètres!$A$1:$I$89,5,0)</f>
        <v>2.669139576028101E-13</v>
      </c>
      <c r="FG167" s="14">
        <f t="shared" si="182"/>
        <v>3.5767923834585247E-12</v>
      </c>
      <c r="FH167" s="22">
        <f t="shared" si="183"/>
        <v>6.6944552106818241E-12</v>
      </c>
      <c r="FI167" s="62">
        <f t="shared" si="131"/>
        <v>293.33333333334002</v>
      </c>
      <c r="FJ167" s="62">
        <f ca="1">AVERAGE(OFFSET($FI$3,0,0,'Données projet'!$E$16+1,1))-AVERAGE(OFFSET($H$3,0,0,'Données projet'!$E$16+1,1))</f>
        <v>385.97853124853452</v>
      </c>
      <c r="FK167" s="62">
        <f t="shared" si="156"/>
        <v>300.99118099739695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132.280299502248</v>
      </c>
      <c r="T168" s="62">
        <f t="shared" si="142"/>
        <v>337.98099449405339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4.3233143204533819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8.8202051328403243E-21</v>
      </c>
      <c r="AC168" s="24">
        <f t="shared" si="163"/>
        <v>4.3233143204533819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-5.1159076974727213E-13</v>
      </c>
      <c r="AJ168" s="14">
        <f>AI168*VLOOKUP('Données projet'!$B$10,Paramètres!$A$1:$I$89,3,0)*VLOOKUP('Données projet'!$B$10,Paramètres!$A$1:$I$89,5,0)</f>
        <v>-4.6288732846733184E-13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430.40491895612814</v>
      </c>
      <c r="AO168" s="62">
        <f t="shared" si="144"/>
        <v>231.36959598460686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1.1368683772161603E-13</v>
      </c>
      <c r="BE168" s="14">
        <f>BD168*VLOOKUP('Données projet'!$B$11,Paramètres!$A$1:$I$89,3,0)*VLOOKUP('Données projet'!$B$11,Paramètres!$A$1:$I$89,5,0)</f>
        <v>6.7984728957526396E-14</v>
      </c>
      <c r="BF168" s="14">
        <f t="shared" si="167"/>
        <v>1.0682447123141398E-12</v>
      </c>
      <c r="BG168" s="22">
        <f t="shared" si="168"/>
        <v>1.978932943548152E-12</v>
      </c>
      <c r="BH168" s="62">
        <f t="shared" si="116"/>
        <v>293.3333333333353</v>
      </c>
      <c r="BI168" s="62">
        <f ca="1">AVERAGE(OFFSET($BH$3,0,0,'Données projet'!$E$11+1,1))-AVERAGE(OFFSET($H$3,0,0,'Données projet'!$E$11+1,1))</f>
        <v>295.83974441964551</v>
      </c>
      <c r="BJ168" s="62">
        <f t="shared" si="146"/>
        <v>212.24900914818096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-5.6843418860808015E-14</v>
      </c>
      <c r="BZ168" s="14">
        <f>BY168*VLOOKUP('Données projet'!$B$12,Paramètres!$A$1:$I$89,3,0)*VLOOKUP('Données projet'!$B$12,Paramètres!$A$1:$I$89,5,0)</f>
        <v>-3.2514435588382188E-14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309.71642374647882</v>
      </c>
      <c r="CE168" s="62">
        <f t="shared" si="148"/>
        <v>266.63880397664315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5.7995468446431345E-2</v>
      </c>
      <c r="CM168" s="23">
        <f>EXP(-LN(2)/2)*CM167+(1-EXP(-LN(2)/2))/(LN(2)/2)*CG168*CJ168*VLOOKUP('Données projet'!$B$12,Paramètres!$A$1:$I$89,3,0)*0.475*44/12</f>
        <v>3.8122321821594509E-20</v>
      </c>
      <c r="CN168" s="24">
        <f t="shared" si="172"/>
        <v>5.7995468446431345E-2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-1.7053025658242404E-13</v>
      </c>
      <c r="CU168" s="18">
        <f>CT168*VLOOKUP('Données projet'!$B$13,Paramètres!$A$1:$I$89,3,0)*VLOOKUP('Données projet'!$B$13,Paramètres!$A$1:$I$89,5,0)</f>
        <v>-1.3567387213697657E-13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312.53381881960331</v>
      </c>
      <c r="CZ168" s="62">
        <f t="shared" si="150"/>
        <v>342.06887933351783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-5.1159076974727213E-13</v>
      </c>
      <c r="DP168" s="18">
        <f>DO168*VLOOKUP('Données projet'!$B$14,Paramètres!$A$1:$I$89,3,0)*VLOOKUP('Données projet'!$B$14,Paramètres!$A$1:$I$89,5,0)</f>
        <v>-5.5067630455596371E-13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503.92230226365683</v>
      </c>
      <c r="DU168" s="62">
        <f t="shared" si="152"/>
        <v>267.2998309535638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-5.1159076974727213E-13</v>
      </c>
      <c r="EK168" s="18">
        <f>EJ168*VLOOKUP('Données projet'!$B$15,Paramètres!$A$1:$I$89,3,0)*VLOOKUP('Données projet'!$B$15,Paramètres!$A$1:$I$89,5,0)</f>
        <v>-4.9481059249956164E-13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457.16923206840744</v>
      </c>
      <c r="EP168" s="62">
        <f t="shared" si="154"/>
        <v>244.45149244446094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3.979039320256561E-13</v>
      </c>
      <c r="FF168" s="18">
        <f>FE168*VLOOKUP('Données projet'!$B$16,Paramètres!$A$1:$I$89,3,0)*VLOOKUP('Données projet'!$B$16,Paramètres!$A$1:$I$89,5,0)</f>
        <v>2.669139576028101E-13</v>
      </c>
      <c r="FG168" s="14">
        <f t="shared" si="182"/>
        <v>3.5767923834585247E-12</v>
      </c>
      <c r="FH168" s="22">
        <f t="shared" si="183"/>
        <v>6.6944552106818241E-12</v>
      </c>
      <c r="FI168" s="62">
        <f t="shared" si="131"/>
        <v>293.33333333334002</v>
      </c>
      <c r="FJ168" s="62">
        <f ca="1">AVERAGE(OFFSET($FI$3,0,0,'Données projet'!$E$16+1,1))-AVERAGE(OFFSET($H$3,0,0,'Données projet'!$E$16+1,1))</f>
        <v>385.97853124853452</v>
      </c>
      <c r="FK168" s="62">
        <f t="shared" si="156"/>
        <v>300.99118099739695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132.280299502248</v>
      </c>
      <c r="T169" s="62">
        <f t="shared" si="142"/>
        <v>337.98099449405339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4.2385367635906483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6.2368268608877867E-21</v>
      </c>
      <c r="AC169" s="24">
        <f t="shared" si="163"/>
        <v>4.2385367635906483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-5.1159076974727213E-13</v>
      </c>
      <c r="AJ169" s="14">
        <f>AI169*VLOOKUP('Données projet'!$B$10,Paramètres!$A$1:$I$89,3,0)*VLOOKUP('Données projet'!$B$10,Paramètres!$A$1:$I$89,5,0)</f>
        <v>-4.6288732846733184E-13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430.40491895612814</v>
      </c>
      <c r="AO169" s="62">
        <f t="shared" si="144"/>
        <v>231.36959598460686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1.1368683772161603E-13</v>
      </c>
      <c r="BE169" s="14">
        <f>BD169*VLOOKUP('Données projet'!$B$11,Paramètres!$A$1:$I$89,3,0)*VLOOKUP('Données projet'!$B$11,Paramètres!$A$1:$I$89,5,0)</f>
        <v>6.7984728957526396E-14</v>
      </c>
      <c r="BF169" s="14">
        <f t="shared" si="167"/>
        <v>1.0682447123141398E-12</v>
      </c>
      <c r="BG169" s="22">
        <f t="shared" si="168"/>
        <v>1.978932943548152E-12</v>
      </c>
      <c r="BH169" s="62">
        <f t="shared" si="116"/>
        <v>293.3333333333353</v>
      </c>
      <c r="BI169" s="62">
        <f ca="1">AVERAGE(OFFSET($BH$3,0,0,'Données projet'!$E$11+1,1))-AVERAGE(OFFSET($H$3,0,0,'Données projet'!$E$11+1,1))</f>
        <v>295.83974441964551</v>
      </c>
      <c r="BJ169" s="62">
        <f t="shared" si="146"/>
        <v>212.24900914818096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-5.6843418860808015E-14</v>
      </c>
      <c r="BZ169" s="14">
        <f>BY169*VLOOKUP('Données projet'!$B$12,Paramètres!$A$1:$I$89,3,0)*VLOOKUP('Données projet'!$B$12,Paramètres!$A$1:$I$89,5,0)</f>
        <v>-3.2514435588382188E-14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309.71642374647882</v>
      </c>
      <c r="CE169" s="62">
        <f t="shared" si="148"/>
        <v>266.63880397664315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5.6409579311914544E-2</v>
      </c>
      <c r="CM169" s="23">
        <f>EXP(-LN(2)/2)*CM168+(1-EXP(-LN(2)/2))/(LN(2)/2)*CG169*CJ169*VLOOKUP('Données projet'!$B$12,Paramètres!$A$1:$I$89,3,0)*0.475*44/12</f>
        <v>2.6956552274625376E-20</v>
      </c>
      <c r="CN169" s="24">
        <f t="shared" si="172"/>
        <v>5.6409579311914544E-2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-1.7053025658242404E-13</v>
      </c>
      <c r="CU169" s="18">
        <f>CT169*VLOOKUP('Données projet'!$B$13,Paramètres!$A$1:$I$89,3,0)*VLOOKUP('Données projet'!$B$13,Paramètres!$A$1:$I$89,5,0)</f>
        <v>-1.3567387213697657E-13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312.53381881960331</v>
      </c>
      <c r="CZ169" s="62">
        <f t="shared" si="150"/>
        <v>342.06887933351783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-5.1159076974727213E-13</v>
      </c>
      <c r="DP169" s="18">
        <f>DO169*VLOOKUP('Données projet'!$B$14,Paramètres!$A$1:$I$89,3,0)*VLOOKUP('Données projet'!$B$14,Paramètres!$A$1:$I$89,5,0)</f>
        <v>-5.5067630455596371E-13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503.92230226365683</v>
      </c>
      <c r="DU169" s="62">
        <f t="shared" si="152"/>
        <v>267.2998309535638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-5.1159076974727213E-13</v>
      </c>
      <c r="EK169" s="18">
        <f>EJ169*VLOOKUP('Données projet'!$B$15,Paramètres!$A$1:$I$89,3,0)*VLOOKUP('Données projet'!$B$15,Paramètres!$A$1:$I$89,5,0)</f>
        <v>-4.9481059249956164E-13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457.16923206840744</v>
      </c>
      <c r="EP169" s="62">
        <f t="shared" si="154"/>
        <v>244.45149244446094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3.979039320256561E-13</v>
      </c>
      <c r="FF169" s="18">
        <f>FE169*VLOOKUP('Données projet'!$B$16,Paramètres!$A$1:$I$89,3,0)*VLOOKUP('Données projet'!$B$16,Paramètres!$A$1:$I$89,5,0)</f>
        <v>2.669139576028101E-13</v>
      </c>
      <c r="FG169" s="14">
        <f t="shared" si="182"/>
        <v>3.5767923834585247E-12</v>
      </c>
      <c r="FH169" s="22">
        <f t="shared" si="183"/>
        <v>6.6944552106818241E-12</v>
      </c>
      <c r="FI169" s="62">
        <f t="shared" si="131"/>
        <v>293.33333333334002</v>
      </c>
      <c r="FJ169" s="62">
        <f ca="1">AVERAGE(OFFSET($FI$3,0,0,'Données projet'!$E$16+1,1))-AVERAGE(OFFSET($H$3,0,0,'Données projet'!$E$16+1,1))</f>
        <v>385.97853124853452</v>
      </c>
      <c r="FK169" s="62">
        <f t="shared" si="156"/>
        <v>300.99118099739695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132.280299502248</v>
      </c>
      <c r="T170" s="62">
        <f t="shared" si="142"/>
        <v>337.98099449405339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4.1554216429087889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4.4101025664201622E-21</v>
      </c>
      <c r="AC170" s="24">
        <f t="shared" si="163"/>
        <v>4.1554216429087889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-5.1159076974727213E-13</v>
      </c>
      <c r="AJ170" s="14">
        <f>AI170*VLOOKUP('Données projet'!$B$10,Paramètres!$A$1:$I$89,3,0)*VLOOKUP('Données projet'!$B$10,Paramètres!$A$1:$I$89,5,0)</f>
        <v>-4.6288732846733184E-13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430.40491895612814</v>
      </c>
      <c r="AO170" s="62">
        <f t="shared" si="144"/>
        <v>231.36959598460686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1.1368683772161603E-13</v>
      </c>
      <c r="BE170" s="14">
        <f>BD170*VLOOKUP('Données projet'!$B$11,Paramètres!$A$1:$I$89,3,0)*VLOOKUP('Données projet'!$B$11,Paramètres!$A$1:$I$89,5,0)</f>
        <v>6.7984728957526396E-14</v>
      </c>
      <c r="BF170" s="14">
        <f t="shared" si="167"/>
        <v>1.0682447123141398E-12</v>
      </c>
      <c r="BG170" s="22">
        <f t="shared" si="168"/>
        <v>1.978932943548152E-12</v>
      </c>
      <c r="BH170" s="62">
        <f t="shared" si="116"/>
        <v>293.3333333333353</v>
      </c>
      <c r="BI170" s="62">
        <f ca="1">AVERAGE(OFFSET($BH$3,0,0,'Données projet'!$E$11+1,1))-AVERAGE(OFFSET($H$3,0,0,'Données projet'!$E$11+1,1))</f>
        <v>295.83974441964551</v>
      </c>
      <c r="BJ170" s="62">
        <f t="shared" si="146"/>
        <v>212.24900914818096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-5.6843418860808015E-14</v>
      </c>
      <c r="BZ170" s="14">
        <f>BY170*VLOOKUP('Données projet'!$B$12,Paramètres!$A$1:$I$89,3,0)*VLOOKUP('Données projet'!$B$12,Paramètres!$A$1:$I$89,5,0)</f>
        <v>-3.2514435588382188E-14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309.71642374647882</v>
      </c>
      <c r="CE170" s="62">
        <f t="shared" si="148"/>
        <v>266.63880397664315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5.4867056399179388E-2</v>
      </c>
      <c r="CM170" s="23">
        <f>EXP(-LN(2)/2)*CM169+(1-EXP(-LN(2)/2))/(LN(2)/2)*CG170*CJ170*VLOOKUP('Données projet'!$B$12,Paramètres!$A$1:$I$89,3,0)*0.475*44/12</f>
        <v>1.9061160910797257E-20</v>
      </c>
      <c r="CN170" s="24">
        <f t="shared" si="172"/>
        <v>5.4867056399179388E-2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-1.7053025658242404E-13</v>
      </c>
      <c r="CU170" s="18">
        <f>CT170*VLOOKUP('Données projet'!$B$13,Paramètres!$A$1:$I$89,3,0)*VLOOKUP('Données projet'!$B$13,Paramètres!$A$1:$I$89,5,0)</f>
        <v>-1.3567387213697657E-13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312.53381881960331</v>
      </c>
      <c r="CZ170" s="62">
        <f t="shared" si="150"/>
        <v>342.06887933351783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-5.1159076974727213E-13</v>
      </c>
      <c r="DP170" s="18">
        <f>DO170*VLOOKUP('Données projet'!$B$14,Paramètres!$A$1:$I$89,3,0)*VLOOKUP('Données projet'!$B$14,Paramètres!$A$1:$I$89,5,0)</f>
        <v>-5.5067630455596371E-13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503.92230226365683</v>
      </c>
      <c r="DU170" s="62">
        <f t="shared" si="152"/>
        <v>267.2998309535638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-5.1159076974727213E-13</v>
      </c>
      <c r="EK170" s="18">
        <f>EJ170*VLOOKUP('Données projet'!$B$15,Paramètres!$A$1:$I$89,3,0)*VLOOKUP('Données projet'!$B$15,Paramètres!$A$1:$I$89,5,0)</f>
        <v>-4.9481059249956164E-13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457.16923206840744</v>
      </c>
      <c r="EP170" s="62">
        <f t="shared" si="154"/>
        <v>244.45149244446094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3.979039320256561E-13</v>
      </c>
      <c r="FF170" s="18">
        <f>FE170*VLOOKUP('Données projet'!$B$16,Paramètres!$A$1:$I$89,3,0)*VLOOKUP('Données projet'!$B$16,Paramètres!$A$1:$I$89,5,0)</f>
        <v>2.669139576028101E-13</v>
      </c>
      <c r="FG170" s="14">
        <f t="shared" si="182"/>
        <v>3.5767923834585247E-12</v>
      </c>
      <c r="FH170" s="22">
        <f t="shared" si="183"/>
        <v>6.6944552106818241E-12</v>
      </c>
      <c r="FI170" s="62">
        <f t="shared" si="131"/>
        <v>293.33333333334002</v>
      </c>
      <c r="FJ170" s="62">
        <f ca="1">AVERAGE(OFFSET($FI$3,0,0,'Données projet'!$E$16+1,1))-AVERAGE(OFFSET($H$3,0,0,'Données projet'!$E$16+1,1))</f>
        <v>385.97853124853452</v>
      </c>
      <c r="FK170" s="62">
        <f t="shared" si="156"/>
        <v>300.99118099739695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132.280299502248</v>
      </c>
      <c r="T171" s="62">
        <f t="shared" si="142"/>
        <v>337.98099449405339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4.0739363590482833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3.1184134304438933E-21</v>
      </c>
      <c r="AC171" s="24">
        <f t="shared" si="163"/>
        <v>4.0739363590482833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-5.1159076974727213E-13</v>
      </c>
      <c r="AJ171" s="14">
        <f>AI171*VLOOKUP('Données projet'!$B$10,Paramètres!$A$1:$I$89,3,0)*VLOOKUP('Données projet'!$B$10,Paramètres!$A$1:$I$89,5,0)</f>
        <v>-4.6288732846733184E-13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430.40491895612814</v>
      </c>
      <c r="AO171" s="62">
        <f t="shared" si="144"/>
        <v>231.36959598460686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1.1368683772161603E-13</v>
      </c>
      <c r="BE171" s="14">
        <f>BD171*VLOOKUP('Données projet'!$B$11,Paramètres!$A$1:$I$89,3,0)*VLOOKUP('Données projet'!$B$11,Paramètres!$A$1:$I$89,5,0)</f>
        <v>6.7984728957526396E-14</v>
      </c>
      <c r="BF171" s="14">
        <f t="shared" si="167"/>
        <v>1.0682447123141398E-12</v>
      </c>
      <c r="BG171" s="22">
        <f t="shared" si="168"/>
        <v>1.978932943548152E-12</v>
      </c>
      <c r="BH171" s="62">
        <f t="shared" si="116"/>
        <v>293.3333333333353</v>
      </c>
      <c r="BI171" s="62">
        <f ca="1">AVERAGE(OFFSET($BH$3,0,0,'Données projet'!$E$11+1,1))-AVERAGE(OFFSET($H$3,0,0,'Données projet'!$E$11+1,1))</f>
        <v>295.83974441964551</v>
      </c>
      <c r="BJ171" s="62">
        <f t="shared" si="146"/>
        <v>212.24900914818096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-5.6843418860808015E-14</v>
      </c>
      <c r="BZ171" s="14">
        <f>BY171*VLOOKUP('Données projet'!$B$12,Paramètres!$A$1:$I$89,3,0)*VLOOKUP('Données projet'!$B$12,Paramètres!$A$1:$I$89,5,0)</f>
        <v>-3.2514435588382188E-14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309.71642374647882</v>
      </c>
      <c r="CE171" s="62">
        <f t="shared" si="148"/>
        <v>266.63880397664315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5.336671385661073E-2</v>
      </c>
      <c r="CM171" s="23">
        <f>EXP(-LN(2)/2)*CM170+(1-EXP(-LN(2)/2))/(LN(2)/2)*CG171*CJ171*VLOOKUP('Données projet'!$B$12,Paramètres!$A$1:$I$89,3,0)*0.475*44/12</f>
        <v>1.347827613731269E-20</v>
      </c>
      <c r="CN171" s="24">
        <f t="shared" si="172"/>
        <v>5.336671385661073E-2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-1.7053025658242404E-13</v>
      </c>
      <c r="CU171" s="18">
        <f>CT171*VLOOKUP('Données projet'!$B$13,Paramètres!$A$1:$I$89,3,0)*VLOOKUP('Données projet'!$B$13,Paramètres!$A$1:$I$89,5,0)</f>
        <v>-1.3567387213697657E-13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312.53381881960331</v>
      </c>
      <c r="CZ171" s="62">
        <f t="shared" si="150"/>
        <v>342.06887933351783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-5.1159076974727213E-13</v>
      </c>
      <c r="DP171" s="18">
        <f>DO171*VLOOKUP('Données projet'!$B$14,Paramètres!$A$1:$I$89,3,0)*VLOOKUP('Données projet'!$B$14,Paramètres!$A$1:$I$89,5,0)</f>
        <v>-5.5067630455596371E-13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503.92230226365683</v>
      </c>
      <c r="DU171" s="62">
        <f t="shared" si="152"/>
        <v>267.2998309535638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-5.1159076974727213E-13</v>
      </c>
      <c r="EK171" s="18">
        <f>EJ171*VLOOKUP('Données projet'!$B$15,Paramètres!$A$1:$I$89,3,0)*VLOOKUP('Données projet'!$B$15,Paramètres!$A$1:$I$89,5,0)</f>
        <v>-4.9481059249956164E-13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457.16923206840744</v>
      </c>
      <c r="EP171" s="62">
        <f t="shared" si="154"/>
        <v>244.45149244446094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3.979039320256561E-13</v>
      </c>
      <c r="FF171" s="18">
        <f>FE171*VLOOKUP('Données projet'!$B$16,Paramètres!$A$1:$I$89,3,0)*VLOOKUP('Données projet'!$B$16,Paramètres!$A$1:$I$89,5,0)</f>
        <v>2.669139576028101E-13</v>
      </c>
      <c r="FG171" s="14">
        <f t="shared" si="182"/>
        <v>3.5767923834585247E-12</v>
      </c>
      <c r="FH171" s="22">
        <f t="shared" si="183"/>
        <v>6.6944552106818241E-12</v>
      </c>
      <c r="FI171" s="62">
        <f t="shared" si="131"/>
        <v>293.33333333334002</v>
      </c>
      <c r="FJ171" s="62">
        <f ca="1">AVERAGE(OFFSET($FI$3,0,0,'Données projet'!$E$16+1,1))-AVERAGE(OFFSET($H$3,0,0,'Données projet'!$E$16+1,1))</f>
        <v>385.97853124853452</v>
      </c>
      <c r="FK171" s="62">
        <f t="shared" si="156"/>
        <v>300.99118099739695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132.280299502248</v>
      </c>
      <c r="T172" s="62">
        <f t="shared" si="142"/>
        <v>337.98099449405339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3.9940489519031663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2.2050512832100811E-21</v>
      </c>
      <c r="AC172" s="24">
        <f t="shared" si="163"/>
        <v>3.9940489519031663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-5.1159076974727213E-13</v>
      </c>
      <c r="AJ172" s="14">
        <f>AI172*VLOOKUP('Données projet'!$B$10,Paramètres!$A$1:$I$89,3,0)*VLOOKUP('Données projet'!$B$10,Paramètres!$A$1:$I$89,5,0)</f>
        <v>-4.6288732846733184E-13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430.40491895612814</v>
      </c>
      <c r="AO172" s="62">
        <f t="shared" si="144"/>
        <v>231.36959598460686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1.1368683772161603E-13</v>
      </c>
      <c r="BE172" s="14">
        <f>BD172*VLOOKUP('Données projet'!$B$11,Paramètres!$A$1:$I$89,3,0)*VLOOKUP('Données projet'!$B$11,Paramètres!$A$1:$I$89,5,0)</f>
        <v>6.7984728957526396E-14</v>
      </c>
      <c r="BF172" s="14">
        <f t="shared" si="167"/>
        <v>1.0682447123141398E-12</v>
      </c>
      <c r="BG172" s="22">
        <f t="shared" si="168"/>
        <v>1.978932943548152E-12</v>
      </c>
      <c r="BH172" s="62">
        <f t="shared" si="116"/>
        <v>293.3333333333353</v>
      </c>
      <c r="BI172" s="62">
        <f ca="1">AVERAGE(OFFSET($BH$3,0,0,'Données projet'!$E$11+1,1))-AVERAGE(OFFSET($H$3,0,0,'Données projet'!$E$11+1,1))</f>
        <v>295.83974441964551</v>
      </c>
      <c r="BJ172" s="62">
        <f t="shared" si="146"/>
        <v>212.24900914818096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-5.6843418860808015E-14</v>
      </c>
      <c r="BZ172" s="14">
        <f>BY172*VLOOKUP('Données projet'!$B$12,Paramètres!$A$1:$I$89,3,0)*VLOOKUP('Données projet'!$B$12,Paramètres!$A$1:$I$89,5,0)</f>
        <v>-3.2514435588382188E-14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309.71642374647882</v>
      </c>
      <c r="CE172" s="62">
        <f t="shared" si="148"/>
        <v>266.63880397664315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5.19073982597682E-2</v>
      </c>
      <c r="CM172" s="23">
        <f>EXP(-LN(2)/2)*CM171+(1-EXP(-LN(2)/2))/(LN(2)/2)*CG172*CJ172*VLOOKUP('Données projet'!$B$12,Paramètres!$A$1:$I$89,3,0)*0.475*44/12</f>
        <v>9.5305804553986302E-21</v>
      </c>
      <c r="CN172" s="24">
        <f t="shared" si="172"/>
        <v>5.19073982597682E-2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-1.7053025658242404E-13</v>
      </c>
      <c r="CU172" s="18">
        <f>CT172*VLOOKUP('Données projet'!$B$13,Paramètres!$A$1:$I$89,3,0)*VLOOKUP('Données projet'!$B$13,Paramètres!$A$1:$I$89,5,0)</f>
        <v>-1.3567387213697657E-13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312.53381881960331</v>
      </c>
      <c r="CZ172" s="62">
        <f t="shared" si="150"/>
        <v>342.06887933351783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-5.1159076974727213E-13</v>
      </c>
      <c r="DP172" s="18">
        <f>DO172*VLOOKUP('Données projet'!$B$14,Paramètres!$A$1:$I$89,3,0)*VLOOKUP('Données projet'!$B$14,Paramètres!$A$1:$I$89,5,0)</f>
        <v>-5.5067630455596371E-13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503.92230226365683</v>
      </c>
      <c r="DU172" s="62">
        <f t="shared" si="152"/>
        <v>267.2998309535638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-5.1159076974727213E-13</v>
      </c>
      <c r="EK172" s="18">
        <f>EJ172*VLOOKUP('Données projet'!$B$15,Paramètres!$A$1:$I$89,3,0)*VLOOKUP('Données projet'!$B$15,Paramètres!$A$1:$I$89,5,0)</f>
        <v>-4.9481059249956164E-13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457.16923206840744</v>
      </c>
      <c r="EP172" s="62">
        <f t="shared" si="154"/>
        <v>244.45149244446094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3.979039320256561E-13</v>
      </c>
      <c r="FF172" s="18">
        <f>FE172*VLOOKUP('Données projet'!$B$16,Paramètres!$A$1:$I$89,3,0)*VLOOKUP('Données projet'!$B$16,Paramètres!$A$1:$I$89,5,0)</f>
        <v>2.669139576028101E-13</v>
      </c>
      <c r="FG172" s="14">
        <f t="shared" si="182"/>
        <v>3.5767923834585247E-12</v>
      </c>
      <c r="FH172" s="22">
        <f t="shared" si="183"/>
        <v>6.6944552106818241E-12</v>
      </c>
      <c r="FI172" s="62">
        <f t="shared" si="131"/>
        <v>293.33333333334002</v>
      </c>
      <c r="FJ172" s="62">
        <f ca="1">AVERAGE(OFFSET($FI$3,0,0,'Données projet'!$E$16+1,1))-AVERAGE(OFFSET($H$3,0,0,'Données projet'!$E$16+1,1))</f>
        <v>385.97853124853452</v>
      </c>
      <c r="FK172" s="62">
        <f t="shared" si="156"/>
        <v>300.99118099739695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132.280299502248</v>
      </c>
      <c r="T173" s="62">
        <f t="shared" si="142"/>
        <v>337.98099449405339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3.915728088085658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1.5592067152219467E-21</v>
      </c>
      <c r="AC173" s="24">
        <f t="shared" si="163"/>
        <v>3.915728088085658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-5.1159076974727213E-13</v>
      </c>
      <c r="AJ173" s="14">
        <f>AI173*VLOOKUP('Données projet'!$B$10,Paramètres!$A$1:$I$89,3,0)*VLOOKUP('Données projet'!$B$10,Paramètres!$A$1:$I$89,5,0)</f>
        <v>-4.6288732846733184E-13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430.40491895612814</v>
      </c>
      <c r="AO173" s="62">
        <f t="shared" si="144"/>
        <v>231.36959598460686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1.1368683772161603E-13</v>
      </c>
      <c r="BE173" s="14">
        <f>BD173*VLOOKUP('Données projet'!$B$11,Paramètres!$A$1:$I$89,3,0)*VLOOKUP('Données projet'!$B$11,Paramètres!$A$1:$I$89,5,0)</f>
        <v>6.7984728957526396E-14</v>
      </c>
      <c r="BF173" s="14">
        <f t="shared" si="167"/>
        <v>1.0682447123141398E-12</v>
      </c>
      <c r="BG173" s="22">
        <f t="shared" si="168"/>
        <v>1.978932943548152E-12</v>
      </c>
      <c r="BH173" s="62">
        <f t="shared" si="116"/>
        <v>293.3333333333353</v>
      </c>
      <c r="BI173" s="62">
        <f ca="1">AVERAGE(OFFSET($BH$3,0,0,'Données projet'!$E$11+1,1))-AVERAGE(OFFSET($H$3,0,0,'Données projet'!$E$11+1,1))</f>
        <v>295.83974441964551</v>
      </c>
      <c r="BJ173" s="62">
        <f t="shared" si="146"/>
        <v>212.24900914818096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-5.6843418860808015E-14</v>
      </c>
      <c r="BZ173" s="14">
        <f>BY173*VLOOKUP('Données projet'!$B$12,Paramètres!$A$1:$I$89,3,0)*VLOOKUP('Données projet'!$B$12,Paramètres!$A$1:$I$89,5,0)</f>
        <v>-3.2514435588382188E-14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309.71642374647882</v>
      </c>
      <c r="CE173" s="62">
        <f t="shared" si="148"/>
        <v>266.63880397664315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5.0487987724663404E-2</v>
      </c>
      <c r="CM173" s="23">
        <f>EXP(-LN(2)/2)*CM172+(1-EXP(-LN(2)/2))/(LN(2)/2)*CG173*CJ173*VLOOKUP('Données projet'!$B$12,Paramètres!$A$1:$I$89,3,0)*0.475*44/12</f>
        <v>6.7391380686563463E-21</v>
      </c>
      <c r="CN173" s="24">
        <f t="shared" si="172"/>
        <v>5.0487987724663404E-2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-1.7053025658242404E-13</v>
      </c>
      <c r="CU173" s="18">
        <f>CT173*VLOOKUP('Données projet'!$B$13,Paramètres!$A$1:$I$89,3,0)*VLOOKUP('Données projet'!$B$13,Paramètres!$A$1:$I$89,5,0)</f>
        <v>-1.3567387213697657E-13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312.53381881960331</v>
      </c>
      <c r="CZ173" s="62">
        <f t="shared" si="150"/>
        <v>342.06887933351783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-5.1159076974727213E-13</v>
      </c>
      <c r="DP173" s="18">
        <f>DO173*VLOOKUP('Données projet'!$B$14,Paramètres!$A$1:$I$89,3,0)*VLOOKUP('Données projet'!$B$14,Paramètres!$A$1:$I$89,5,0)</f>
        <v>-5.5067630455596371E-13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503.92230226365683</v>
      </c>
      <c r="DU173" s="62">
        <f t="shared" si="152"/>
        <v>267.2998309535638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-5.1159076974727213E-13</v>
      </c>
      <c r="EK173" s="18">
        <f>EJ173*VLOOKUP('Données projet'!$B$15,Paramètres!$A$1:$I$89,3,0)*VLOOKUP('Données projet'!$B$15,Paramètres!$A$1:$I$89,5,0)</f>
        <v>-4.9481059249956164E-13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457.16923206840744</v>
      </c>
      <c r="EP173" s="62">
        <f t="shared" si="154"/>
        <v>244.45149244446094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3.979039320256561E-13</v>
      </c>
      <c r="FF173" s="18">
        <f>FE173*VLOOKUP('Données projet'!$B$16,Paramètres!$A$1:$I$89,3,0)*VLOOKUP('Données projet'!$B$16,Paramètres!$A$1:$I$89,5,0)</f>
        <v>2.669139576028101E-13</v>
      </c>
      <c r="FG173" s="14">
        <f t="shared" si="182"/>
        <v>3.5767923834585247E-12</v>
      </c>
      <c r="FH173" s="22">
        <f t="shared" si="183"/>
        <v>6.6944552106818241E-12</v>
      </c>
      <c r="FI173" s="62">
        <f t="shared" si="131"/>
        <v>293.33333333334002</v>
      </c>
      <c r="FJ173" s="62">
        <f ca="1">AVERAGE(OFFSET($FI$3,0,0,'Données projet'!$E$16+1,1))-AVERAGE(OFFSET($H$3,0,0,'Données projet'!$E$16+1,1))</f>
        <v>385.97853124853452</v>
      </c>
      <c r="FK173" s="62">
        <f t="shared" si="156"/>
        <v>300.99118099739695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132.280299502248</v>
      </c>
      <c r="T174" s="62">
        <f t="shared" si="142"/>
        <v>337.98099449405339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3.838943048636601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1.1025256416050405E-21</v>
      </c>
      <c r="AC174" s="24">
        <f t="shared" si="163"/>
        <v>3.838943048636601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-5.1159076974727213E-13</v>
      </c>
      <c r="AJ174" s="14">
        <f>AI174*VLOOKUP('Données projet'!$B$10,Paramètres!$A$1:$I$89,3,0)*VLOOKUP('Données projet'!$B$10,Paramètres!$A$1:$I$89,5,0)</f>
        <v>-4.6288732846733184E-13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430.40491895612814</v>
      </c>
      <c r="AO174" s="62">
        <f t="shared" si="144"/>
        <v>231.36959598460686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projet'!$B$11,Paramètres!$A$1:$I$89,3,0)*VLOOKUP('Données projet'!$B$11,Paramètres!$A$1:$I$89,5,0)</f>
        <v>6.7984728957526396E-14</v>
      </c>
      <c r="BF174" s="14">
        <f t="shared" si="167"/>
        <v>1.0682447123141398E-12</v>
      </c>
      <c r="BG174" s="22">
        <f t="shared" si="168"/>
        <v>1.978932943548152E-12</v>
      </c>
      <c r="BH174" s="62">
        <f t="shared" si="116"/>
        <v>293.3333333333353</v>
      </c>
      <c r="BI174" s="62">
        <f ca="1">AVERAGE(OFFSET($BH$3,0,0,'Données projet'!$E$11+1,1))-AVERAGE(OFFSET($H$3,0,0,'Données projet'!$E$11+1,1))</f>
        <v>295.83974441964551</v>
      </c>
      <c r="BJ174" s="62">
        <f t="shared" si="146"/>
        <v>212.24900914818096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-5.6843418860808015E-14</v>
      </c>
      <c r="BZ174" s="14">
        <f>BY174*VLOOKUP('Données projet'!$B$12,Paramètres!$A$1:$I$89,3,0)*VLOOKUP('Données projet'!$B$12,Paramètres!$A$1:$I$89,5,0)</f>
        <v>-3.2514435588382188E-14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309.71642374647882</v>
      </c>
      <c r="CE174" s="62">
        <f t="shared" si="148"/>
        <v>266.63880397664315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4.9107391045284603E-2</v>
      </c>
      <c r="CM174" s="23">
        <f>EXP(-LN(2)/2)*CM173+(1-EXP(-LN(2)/2))/(LN(2)/2)*CG174*CJ174*VLOOKUP('Données projet'!$B$12,Paramètres!$A$1:$I$89,3,0)*0.475*44/12</f>
        <v>4.7652902276993158E-21</v>
      </c>
      <c r="CN174" s="24">
        <f t="shared" si="172"/>
        <v>4.9107391045284603E-2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-1.7053025658242404E-13</v>
      </c>
      <c r="CU174" s="18">
        <f>CT174*VLOOKUP('Données projet'!$B$13,Paramètres!$A$1:$I$89,3,0)*VLOOKUP('Données projet'!$B$13,Paramètres!$A$1:$I$89,5,0)</f>
        <v>-1.3567387213697657E-13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312.53381881960331</v>
      </c>
      <c r="CZ174" s="62">
        <f t="shared" si="150"/>
        <v>342.06887933351783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-5.1159076974727213E-13</v>
      </c>
      <c r="DP174" s="18">
        <f>DO174*VLOOKUP('Données projet'!$B$14,Paramètres!$A$1:$I$89,3,0)*VLOOKUP('Données projet'!$B$14,Paramètres!$A$1:$I$89,5,0)</f>
        <v>-5.5067630455596371E-13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503.92230226365683</v>
      </c>
      <c r="DU174" s="62">
        <f t="shared" si="152"/>
        <v>267.2998309535638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-5.1159076974727213E-13</v>
      </c>
      <c r="EK174" s="18">
        <f>EJ174*VLOOKUP('Données projet'!$B$15,Paramètres!$A$1:$I$89,3,0)*VLOOKUP('Données projet'!$B$15,Paramètres!$A$1:$I$89,5,0)</f>
        <v>-4.9481059249956164E-13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457.16923206840744</v>
      </c>
      <c r="EP174" s="62">
        <f t="shared" si="154"/>
        <v>244.45149244446094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3.979039320256561E-13</v>
      </c>
      <c r="FF174" s="18">
        <f>FE174*VLOOKUP('Données projet'!$B$16,Paramètres!$A$1:$I$89,3,0)*VLOOKUP('Données projet'!$B$16,Paramètres!$A$1:$I$89,5,0)</f>
        <v>2.669139576028101E-13</v>
      </c>
      <c r="FG174" s="14">
        <f t="shared" si="182"/>
        <v>3.5767923834585247E-12</v>
      </c>
      <c r="FH174" s="22">
        <f t="shared" si="183"/>
        <v>6.6944552106818241E-12</v>
      </c>
      <c r="FI174" s="62">
        <f t="shared" si="131"/>
        <v>293.33333333334002</v>
      </c>
      <c r="FJ174" s="62">
        <f ca="1">AVERAGE(OFFSET($FI$3,0,0,'Données projet'!$E$16+1,1))-AVERAGE(OFFSET($H$3,0,0,'Données projet'!$E$16+1,1))</f>
        <v>385.97853124853452</v>
      </c>
      <c r="FK174" s="62">
        <f t="shared" si="156"/>
        <v>300.99118099739695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132.280299502248</v>
      </c>
      <c r="T175" s="62">
        <f t="shared" si="142"/>
        <v>337.98099449405339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3.7636637169768905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7.7960335761097333E-22</v>
      </c>
      <c r="AC175" s="24">
        <f t="shared" si="163"/>
        <v>3.7636637169768905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-5.1159076974727213E-13</v>
      </c>
      <c r="AJ175" s="14">
        <f>AI175*VLOOKUP('Données projet'!$B$10,Paramètres!$A$1:$I$89,3,0)*VLOOKUP('Données projet'!$B$10,Paramètres!$A$1:$I$89,5,0)</f>
        <v>-4.6288732846733184E-13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430.40491895612814</v>
      </c>
      <c r="AO175" s="62">
        <f t="shared" si="144"/>
        <v>231.36959598460686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projet'!$B$11,Paramètres!$A$1:$I$89,3,0)*VLOOKUP('Données projet'!$B$11,Paramètres!$A$1:$I$89,5,0)</f>
        <v>6.7984728957526396E-14</v>
      </c>
      <c r="BF175" s="14">
        <f t="shared" si="167"/>
        <v>1.0682447123141398E-12</v>
      </c>
      <c r="BG175" s="22">
        <f t="shared" si="168"/>
        <v>1.978932943548152E-12</v>
      </c>
      <c r="BH175" s="62">
        <f t="shared" si="116"/>
        <v>293.3333333333353</v>
      </c>
      <c r="BI175" s="62">
        <f ca="1">AVERAGE(OFFSET($BH$3,0,0,'Données projet'!$E$11+1,1))-AVERAGE(OFFSET($H$3,0,0,'Données projet'!$E$11+1,1))</f>
        <v>295.83974441964551</v>
      </c>
      <c r="BJ175" s="62">
        <f t="shared" si="146"/>
        <v>212.24900914818096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-5.6843418860808015E-14</v>
      </c>
      <c r="BZ175" s="14">
        <f>BY175*VLOOKUP('Données projet'!$B$12,Paramètres!$A$1:$I$89,3,0)*VLOOKUP('Données projet'!$B$12,Paramètres!$A$1:$I$89,5,0)</f>
        <v>-3.2514435588382188E-14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309.71642374647882</v>
      </c>
      <c r="CE175" s="62">
        <f t="shared" si="148"/>
        <v>266.63880397664315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4.7764546854705839E-2</v>
      </c>
      <c r="CM175" s="23">
        <f>EXP(-LN(2)/2)*CM174+(1-EXP(-LN(2)/2))/(LN(2)/2)*CG175*CJ175*VLOOKUP('Données projet'!$B$12,Paramètres!$A$1:$I$89,3,0)*0.475*44/12</f>
        <v>3.3695690343281735E-21</v>
      </c>
      <c r="CN175" s="24">
        <f t="shared" si="172"/>
        <v>4.7764546854705839E-2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-1.7053025658242404E-13</v>
      </c>
      <c r="CU175" s="18">
        <f>CT175*VLOOKUP('Données projet'!$B$13,Paramètres!$A$1:$I$89,3,0)*VLOOKUP('Données projet'!$B$13,Paramètres!$A$1:$I$89,5,0)</f>
        <v>-1.3567387213697657E-13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312.53381881960331</v>
      </c>
      <c r="CZ175" s="62">
        <f t="shared" si="150"/>
        <v>342.06887933351783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-5.1159076974727213E-13</v>
      </c>
      <c r="DP175" s="18">
        <f>DO175*VLOOKUP('Données projet'!$B$14,Paramètres!$A$1:$I$89,3,0)*VLOOKUP('Données projet'!$B$14,Paramètres!$A$1:$I$89,5,0)</f>
        <v>-5.5067630455596371E-13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503.92230226365683</v>
      </c>
      <c r="DU175" s="62">
        <f t="shared" si="152"/>
        <v>267.2998309535638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-5.1159076974727213E-13</v>
      </c>
      <c r="EK175" s="18">
        <f>EJ175*VLOOKUP('Données projet'!$B$15,Paramètres!$A$1:$I$89,3,0)*VLOOKUP('Données projet'!$B$15,Paramètres!$A$1:$I$89,5,0)</f>
        <v>-4.9481059249956164E-13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457.16923206840744</v>
      </c>
      <c r="EP175" s="62">
        <f t="shared" si="154"/>
        <v>244.45149244446094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3.979039320256561E-13</v>
      </c>
      <c r="FF175" s="18">
        <f>FE175*VLOOKUP('Données projet'!$B$16,Paramètres!$A$1:$I$89,3,0)*VLOOKUP('Données projet'!$B$16,Paramètres!$A$1:$I$89,5,0)</f>
        <v>2.669139576028101E-13</v>
      </c>
      <c r="FG175" s="14">
        <f t="shared" si="182"/>
        <v>3.5767923834585247E-12</v>
      </c>
      <c r="FH175" s="22">
        <f t="shared" si="183"/>
        <v>6.6944552106818241E-12</v>
      </c>
      <c r="FI175" s="62">
        <f t="shared" si="131"/>
        <v>293.33333333334002</v>
      </c>
      <c r="FJ175" s="62">
        <f ca="1">AVERAGE(OFFSET($FI$3,0,0,'Données projet'!$E$16+1,1))-AVERAGE(OFFSET($H$3,0,0,'Données projet'!$E$16+1,1))</f>
        <v>385.97853124853452</v>
      </c>
      <c r="FK175" s="62">
        <f t="shared" si="156"/>
        <v>300.99118099739695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132.280299502248</v>
      </c>
      <c r="T176" s="62">
        <f t="shared" si="142"/>
        <v>337.98099449405339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3.6898605670951685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5.5126282080252027E-22</v>
      </c>
      <c r="AC176" s="24">
        <f t="shared" si="163"/>
        <v>3.6898605670951685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-5.1159076974727213E-13</v>
      </c>
      <c r="AJ176" s="14">
        <f>AI176*VLOOKUP('Données projet'!$B$10,Paramètres!$A$1:$I$89,3,0)*VLOOKUP('Données projet'!$B$10,Paramètres!$A$1:$I$89,5,0)</f>
        <v>-4.6288732846733184E-13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430.40491895612814</v>
      </c>
      <c r="AO176" s="62">
        <f t="shared" si="144"/>
        <v>231.36959598460686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projet'!$B$11,Paramètres!$A$1:$I$89,3,0)*VLOOKUP('Données projet'!$B$11,Paramètres!$A$1:$I$89,5,0)</f>
        <v>6.7984728957526396E-14</v>
      </c>
      <c r="BF176" s="14">
        <f t="shared" si="167"/>
        <v>1.0682447123141398E-12</v>
      </c>
      <c r="BG176" s="22">
        <f t="shared" si="168"/>
        <v>1.978932943548152E-12</v>
      </c>
      <c r="BH176" s="62">
        <f t="shared" si="116"/>
        <v>293.3333333333353</v>
      </c>
      <c r="BI176" s="62">
        <f ca="1">AVERAGE(OFFSET($BH$3,0,0,'Données projet'!$E$11+1,1))-AVERAGE(OFFSET($H$3,0,0,'Données projet'!$E$11+1,1))</f>
        <v>295.83974441964551</v>
      </c>
      <c r="BJ176" s="62">
        <f t="shared" si="146"/>
        <v>212.24900914818096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-5.6843418860808015E-14</v>
      </c>
      <c r="BZ176" s="14">
        <f>BY176*VLOOKUP('Données projet'!$B$12,Paramètres!$A$1:$I$89,3,0)*VLOOKUP('Données projet'!$B$12,Paramètres!$A$1:$I$89,5,0)</f>
        <v>-3.2514435588382188E-14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309.71642374647882</v>
      </c>
      <c r="CE176" s="62">
        <f t="shared" si="148"/>
        <v>266.63880397664315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4.6458422809135556E-2</v>
      </c>
      <c r="CM176" s="23">
        <f>EXP(-LN(2)/2)*CM175+(1-EXP(-LN(2)/2))/(LN(2)/2)*CG176*CJ176*VLOOKUP('Données projet'!$B$12,Paramètres!$A$1:$I$89,3,0)*0.475*44/12</f>
        <v>2.3826451138496583E-21</v>
      </c>
      <c r="CN176" s="24">
        <f t="shared" si="172"/>
        <v>4.6458422809135556E-2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-1.7053025658242404E-13</v>
      </c>
      <c r="CU176" s="18">
        <f>CT176*VLOOKUP('Données projet'!$B$13,Paramètres!$A$1:$I$89,3,0)*VLOOKUP('Données projet'!$B$13,Paramètres!$A$1:$I$89,5,0)</f>
        <v>-1.3567387213697657E-13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312.53381881960331</v>
      </c>
      <c r="CZ176" s="62">
        <f t="shared" si="150"/>
        <v>342.06887933351783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-5.1159076974727213E-13</v>
      </c>
      <c r="DP176" s="18">
        <f>DO176*VLOOKUP('Données projet'!$B$14,Paramètres!$A$1:$I$89,3,0)*VLOOKUP('Données projet'!$B$14,Paramètres!$A$1:$I$89,5,0)</f>
        <v>-5.5067630455596371E-13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503.92230226365683</v>
      </c>
      <c r="DU176" s="62">
        <f t="shared" si="152"/>
        <v>267.2998309535638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-5.1159076974727213E-13</v>
      </c>
      <c r="EK176" s="18">
        <f>EJ176*VLOOKUP('Données projet'!$B$15,Paramètres!$A$1:$I$89,3,0)*VLOOKUP('Données projet'!$B$15,Paramètres!$A$1:$I$89,5,0)</f>
        <v>-4.9481059249956164E-13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457.16923206840744</v>
      </c>
      <c r="EP176" s="62">
        <f t="shared" si="154"/>
        <v>244.45149244446094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3.979039320256561E-13</v>
      </c>
      <c r="FF176" s="18">
        <f>FE176*VLOOKUP('Données projet'!$B$16,Paramètres!$A$1:$I$89,3,0)*VLOOKUP('Données projet'!$B$16,Paramètres!$A$1:$I$89,5,0)</f>
        <v>2.669139576028101E-13</v>
      </c>
      <c r="FG176" s="14">
        <f t="shared" si="182"/>
        <v>3.5767923834585247E-12</v>
      </c>
      <c r="FH176" s="22">
        <f t="shared" si="183"/>
        <v>6.6944552106818241E-12</v>
      </c>
      <c r="FI176" s="62">
        <f t="shared" si="131"/>
        <v>293.33333333334002</v>
      </c>
      <c r="FJ176" s="62">
        <f ca="1">AVERAGE(OFFSET($FI$3,0,0,'Données projet'!$E$16+1,1))-AVERAGE(OFFSET($H$3,0,0,'Données projet'!$E$16+1,1))</f>
        <v>385.97853124853452</v>
      </c>
      <c r="FK176" s="62">
        <f t="shared" si="156"/>
        <v>300.99118099739695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132.280299502248</v>
      </c>
      <c r="T177" s="62">
        <f t="shared" si="142"/>
        <v>337.98099449405339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3.6175046519671508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3.8980167880548667E-22</v>
      </c>
      <c r="AC177" s="24">
        <f t="shared" si="163"/>
        <v>3.6175046519671508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-5.1159076974727213E-13</v>
      </c>
      <c r="AJ177" s="14">
        <f>AI177*VLOOKUP('Données projet'!$B$10,Paramètres!$A$1:$I$89,3,0)*VLOOKUP('Données projet'!$B$10,Paramètres!$A$1:$I$89,5,0)</f>
        <v>-4.6288732846733184E-13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430.40491895612814</v>
      </c>
      <c r="AO177" s="62">
        <f t="shared" si="144"/>
        <v>231.36959598460686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projet'!$B$11,Paramètres!$A$1:$I$89,3,0)*VLOOKUP('Données projet'!$B$11,Paramètres!$A$1:$I$89,5,0)</f>
        <v>6.7984728957526396E-14</v>
      </c>
      <c r="BF177" s="14">
        <f t="shared" si="167"/>
        <v>1.0682447123141398E-12</v>
      </c>
      <c r="BG177" s="22">
        <f t="shared" si="168"/>
        <v>1.978932943548152E-12</v>
      </c>
      <c r="BH177" s="62">
        <f t="shared" si="116"/>
        <v>293.3333333333353</v>
      </c>
      <c r="BI177" s="62">
        <f ca="1">AVERAGE(OFFSET($BH$3,0,0,'Données projet'!$E$11+1,1))-AVERAGE(OFFSET($H$3,0,0,'Données projet'!$E$11+1,1))</f>
        <v>295.83974441964551</v>
      </c>
      <c r="BJ177" s="62">
        <f t="shared" si="146"/>
        <v>212.24900914818096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-5.6843418860808015E-14</v>
      </c>
      <c r="BZ177" s="14">
        <f>BY177*VLOOKUP('Données projet'!$B$12,Paramètres!$A$1:$I$89,3,0)*VLOOKUP('Données projet'!$B$12,Paramètres!$A$1:$I$89,5,0)</f>
        <v>-3.2514435588382188E-14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309.71642374647882</v>
      </c>
      <c r="CE177" s="62">
        <f t="shared" si="148"/>
        <v>266.63880397664315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4.5188014794277469E-2</v>
      </c>
      <c r="CM177" s="23">
        <f>EXP(-LN(2)/2)*CM176+(1-EXP(-LN(2)/2))/(LN(2)/2)*CG177*CJ177*VLOOKUP('Données projet'!$B$12,Paramètres!$A$1:$I$89,3,0)*0.475*44/12</f>
        <v>1.6847845171640871E-21</v>
      </c>
      <c r="CN177" s="24">
        <f t="shared" si="172"/>
        <v>4.5188014794277469E-2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-1.7053025658242404E-13</v>
      </c>
      <c r="CU177" s="18">
        <f>CT177*VLOOKUP('Données projet'!$B$13,Paramètres!$A$1:$I$89,3,0)*VLOOKUP('Données projet'!$B$13,Paramètres!$A$1:$I$89,5,0)</f>
        <v>-1.3567387213697657E-13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312.53381881960331</v>
      </c>
      <c r="CZ177" s="62">
        <f t="shared" si="150"/>
        <v>342.06887933351783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-5.1159076974727213E-13</v>
      </c>
      <c r="DP177" s="18">
        <f>DO177*VLOOKUP('Données projet'!$B$14,Paramètres!$A$1:$I$89,3,0)*VLOOKUP('Données projet'!$B$14,Paramètres!$A$1:$I$89,5,0)</f>
        <v>-5.5067630455596371E-13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503.92230226365683</v>
      </c>
      <c r="DU177" s="62">
        <f t="shared" si="152"/>
        <v>267.2998309535638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-5.1159076974727213E-13</v>
      </c>
      <c r="EK177" s="18">
        <f>EJ177*VLOOKUP('Données projet'!$B$15,Paramètres!$A$1:$I$89,3,0)*VLOOKUP('Données projet'!$B$15,Paramètres!$A$1:$I$89,5,0)</f>
        <v>-4.9481059249956164E-13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457.16923206840744</v>
      </c>
      <c r="EP177" s="62">
        <f t="shared" si="154"/>
        <v>244.45149244446094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3.979039320256561E-13</v>
      </c>
      <c r="FF177" s="18">
        <f>FE177*VLOOKUP('Données projet'!$B$16,Paramètres!$A$1:$I$89,3,0)*VLOOKUP('Données projet'!$B$16,Paramètres!$A$1:$I$89,5,0)</f>
        <v>2.669139576028101E-13</v>
      </c>
      <c r="FG177" s="14">
        <f t="shared" si="182"/>
        <v>3.5767923834585247E-12</v>
      </c>
      <c r="FH177" s="22">
        <f t="shared" si="183"/>
        <v>6.6944552106818241E-12</v>
      </c>
      <c r="FI177" s="62">
        <f t="shared" si="131"/>
        <v>293.33333333334002</v>
      </c>
      <c r="FJ177" s="62">
        <f ca="1">AVERAGE(OFFSET($FI$3,0,0,'Données projet'!$E$16+1,1))-AVERAGE(OFFSET($H$3,0,0,'Données projet'!$E$16+1,1))</f>
        <v>385.97853124853452</v>
      </c>
      <c r="FK177" s="62">
        <f t="shared" si="156"/>
        <v>300.99118099739695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132.280299502248</v>
      </c>
      <c r="T178" s="62">
        <f t="shared" si="142"/>
        <v>337.98099449405339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3.546567592202043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2.7563141040126014E-22</v>
      </c>
      <c r="AC178" s="24">
        <f t="shared" si="163"/>
        <v>3.546567592202043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-5.1159076974727213E-13</v>
      </c>
      <c r="AJ178" s="14">
        <f>AI178*VLOOKUP('Données projet'!$B$10,Paramètres!$A$1:$I$89,3,0)*VLOOKUP('Données projet'!$B$10,Paramètres!$A$1:$I$89,5,0)</f>
        <v>-4.6288732846733184E-13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430.40491895612814</v>
      </c>
      <c r="AO178" s="62">
        <f t="shared" si="144"/>
        <v>231.36959598460686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projet'!$B$11,Paramètres!$A$1:$I$89,3,0)*VLOOKUP('Données projet'!$B$11,Paramètres!$A$1:$I$89,5,0)</f>
        <v>6.7984728957526396E-14</v>
      </c>
      <c r="BF178" s="14">
        <f t="shared" si="167"/>
        <v>1.0682447123141398E-12</v>
      </c>
      <c r="BG178" s="22">
        <f t="shared" si="168"/>
        <v>1.978932943548152E-12</v>
      </c>
      <c r="BH178" s="62">
        <f t="shared" si="116"/>
        <v>293.3333333333353</v>
      </c>
      <c r="BI178" s="62">
        <f ca="1">AVERAGE(OFFSET($BH$3,0,0,'Données projet'!$E$11+1,1))-AVERAGE(OFFSET($H$3,0,0,'Données projet'!$E$11+1,1))</f>
        <v>295.83974441964551</v>
      </c>
      <c r="BJ178" s="62">
        <f t="shared" si="146"/>
        <v>212.24900914818096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-5.6843418860808015E-14</v>
      </c>
      <c r="BZ178" s="14">
        <f>BY178*VLOOKUP('Données projet'!$B$12,Paramètres!$A$1:$I$89,3,0)*VLOOKUP('Données projet'!$B$12,Paramètres!$A$1:$I$89,5,0)</f>
        <v>-3.2514435588382188E-14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309.71642374647882</v>
      </c>
      <c r="CE178" s="62">
        <f t="shared" si="148"/>
        <v>266.63880397664315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4.395234615339353E-2</v>
      </c>
      <c r="CM178" s="23">
        <f>EXP(-LN(2)/2)*CM177+(1-EXP(-LN(2)/2))/(LN(2)/2)*CG178*CJ178*VLOOKUP('Données projet'!$B$12,Paramètres!$A$1:$I$89,3,0)*0.475*44/12</f>
        <v>1.1913225569248293E-21</v>
      </c>
      <c r="CN178" s="24">
        <f t="shared" si="172"/>
        <v>4.395234615339353E-2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-1.7053025658242404E-13</v>
      </c>
      <c r="CU178" s="18">
        <f>CT178*VLOOKUP('Données projet'!$B$13,Paramètres!$A$1:$I$89,3,0)*VLOOKUP('Données projet'!$B$13,Paramètres!$A$1:$I$89,5,0)</f>
        <v>-1.3567387213697657E-13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312.53381881960331</v>
      </c>
      <c r="CZ178" s="62">
        <f t="shared" si="150"/>
        <v>342.06887933351783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-5.1159076974727213E-13</v>
      </c>
      <c r="DP178" s="18">
        <f>DO178*VLOOKUP('Données projet'!$B$14,Paramètres!$A$1:$I$89,3,0)*VLOOKUP('Données projet'!$B$14,Paramètres!$A$1:$I$89,5,0)</f>
        <v>-5.5067630455596371E-13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503.92230226365683</v>
      </c>
      <c r="DU178" s="62">
        <f t="shared" si="152"/>
        <v>267.2998309535638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-5.1159076974727213E-13</v>
      </c>
      <c r="EK178" s="18">
        <f>EJ178*VLOOKUP('Données projet'!$B$15,Paramètres!$A$1:$I$89,3,0)*VLOOKUP('Données projet'!$B$15,Paramètres!$A$1:$I$89,5,0)</f>
        <v>-4.9481059249956164E-13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457.16923206840744</v>
      </c>
      <c r="EP178" s="62">
        <f t="shared" si="154"/>
        <v>244.45149244446094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3.979039320256561E-13</v>
      </c>
      <c r="FF178" s="18">
        <f>FE178*VLOOKUP('Données projet'!$B$16,Paramètres!$A$1:$I$89,3,0)*VLOOKUP('Données projet'!$B$16,Paramètres!$A$1:$I$89,5,0)</f>
        <v>2.669139576028101E-13</v>
      </c>
      <c r="FG178" s="14">
        <f t="shared" si="182"/>
        <v>3.5767923834585247E-12</v>
      </c>
      <c r="FH178" s="22">
        <f t="shared" si="183"/>
        <v>6.6944552106818241E-12</v>
      </c>
      <c r="FI178" s="62">
        <f t="shared" si="131"/>
        <v>293.33333333334002</v>
      </c>
      <c r="FJ178" s="62">
        <f ca="1">AVERAGE(OFFSET($FI$3,0,0,'Données projet'!$E$16+1,1))-AVERAGE(OFFSET($H$3,0,0,'Données projet'!$E$16+1,1))</f>
        <v>385.97853124853452</v>
      </c>
      <c r="FK178" s="62">
        <f t="shared" si="156"/>
        <v>300.99118099739695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132.280299502248</v>
      </c>
      <c r="T179" s="62">
        <f t="shared" si="142"/>
        <v>337.98099449405339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3.4770215649115945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1.9490083940274333E-22</v>
      </c>
      <c r="AC179" s="24">
        <f t="shared" si="163"/>
        <v>3.4770215649115945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-5.1159076974727213E-13</v>
      </c>
      <c r="AJ179" s="14">
        <f>AI179*VLOOKUP('Données projet'!$B$10,Paramètres!$A$1:$I$89,3,0)*VLOOKUP('Données projet'!$B$10,Paramètres!$A$1:$I$89,5,0)</f>
        <v>-4.6288732846733184E-13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430.40491895612814</v>
      </c>
      <c r="AO179" s="62">
        <f t="shared" si="144"/>
        <v>231.36959598460686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projet'!$B$11,Paramètres!$A$1:$I$89,3,0)*VLOOKUP('Données projet'!$B$11,Paramètres!$A$1:$I$89,5,0)</f>
        <v>6.7984728957526396E-14</v>
      </c>
      <c r="BF179" s="14">
        <f t="shared" si="167"/>
        <v>1.0682447123141398E-12</v>
      </c>
      <c r="BG179" s="22">
        <f t="shared" si="168"/>
        <v>1.978932943548152E-12</v>
      </c>
      <c r="BH179" s="62">
        <f t="shared" si="116"/>
        <v>293.3333333333353</v>
      </c>
      <c r="BI179" s="62">
        <f ca="1">AVERAGE(OFFSET($BH$3,0,0,'Données projet'!$E$11+1,1))-AVERAGE(OFFSET($H$3,0,0,'Données projet'!$E$11+1,1))</f>
        <v>295.83974441964551</v>
      </c>
      <c r="BJ179" s="62">
        <f t="shared" si="146"/>
        <v>212.24900914818096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-5.6843418860808015E-14</v>
      </c>
      <c r="BZ179" s="14">
        <f>BY179*VLOOKUP('Données projet'!$B$12,Paramètres!$A$1:$I$89,3,0)*VLOOKUP('Données projet'!$B$12,Paramètres!$A$1:$I$89,5,0)</f>
        <v>-3.2514435588382188E-14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309.71642374647882</v>
      </c>
      <c r="CE179" s="62">
        <f t="shared" si="148"/>
        <v>266.63880397664315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4.2750466936475558E-2</v>
      </c>
      <c r="CM179" s="23">
        <f>EXP(-LN(2)/2)*CM178+(1-EXP(-LN(2)/2))/(LN(2)/2)*CG179*CJ179*VLOOKUP('Données projet'!$B$12,Paramètres!$A$1:$I$89,3,0)*0.475*44/12</f>
        <v>8.4239225858204367E-22</v>
      </c>
      <c r="CN179" s="24">
        <f t="shared" si="172"/>
        <v>4.2750466936475558E-2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-1.7053025658242404E-13</v>
      </c>
      <c r="CU179" s="18">
        <f>CT179*VLOOKUP('Données projet'!$B$13,Paramètres!$A$1:$I$89,3,0)*VLOOKUP('Données projet'!$B$13,Paramètres!$A$1:$I$89,5,0)</f>
        <v>-1.3567387213697657E-13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312.53381881960331</v>
      </c>
      <c r="CZ179" s="62">
        <f t="shared" si="150"/>
        <v>342.06887933351783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-5.1159076974727213E-13</v>
      </c>
      <c r="DP179" s="18">
        <f>DO179*VLOOKUP('Données projet'!$B$14,Paramètres!$A$1:$I$89,3,0)*VLOOKUP('Données projet'!$B$14,Paramètres!$A$1:$I$89,5,0)</f>
        <v>-5.5067630455596371E-13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503.92230226365683</v>
      </c>
      <c r="DU179" s="62">
        <f t="shared" si="152"/>
        <v>267.2998309535638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-5.1159076974727213E-13</v>
      </c>
      <c r="EK179" s="18">
        <f>EJ179*VLOOKUP('Données projet'!$B$15,Paramètres!$A$1:$I$89,3,0)*VLOOKUP('Données projet'!$B$15,Paramètres!$A$1:$I$89,5,0)</f>
        <v>-4.9481059249956164E-13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457.16923206840744</v>
      </c>
      <c r="EP179" s="62">
        <f t="shared" si="154"/>
        <v>244.45149244446094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3.979039320256561E-13</v>
      </c>
      <c r="FF179" s="18">
        <f>FE179*VLOOKUP('Données projet'!$B$16,Paramètres!$A$1:$I$89,3,0)*VLOOKUP('Données projet'!$B$16,Paramètres!$A$1:$I$89,5,0)</f>
        <v>2.669139576028101E-13</v>
      </c>
      <c r="FG179" s="14">
        <f t="shared" si="182"/>
        <v>3.5767923834585247E-12</v>
      </c>
      <c r="FH179" s="22">
        <f t="shared" si="183"/>
        <v>6.6944552106818241E-12</v>
      </c>
      <c r="FI179" s="62">
        <f t="shared" si="131"/>
        <v>293.33333333334002</v>
      </c>
      <c r="FJ179" s="62">
        <f ca="1">AVERAGE(OFFSET($FI$3,0,0,'Données projet'!$E$16+1,1))-AVERAGE(OFFSET($H$3,0,0,'Données projet'!$E$16+1,1))</f>
        <v>385.97853124853452</v>
      </c>
      <c r="FK179" s="62">
        <f t="shared" si="156"/>
        <v>300.99118099739695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132.280299502248</v>
      </c>
      <c r="T180" s="62">
        <f t="shared" si="142"/>
        <v>337.98099449405339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3.4088392927974236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1.3781570520063007E-22</v>
      </c>
      <c r="AC180" s="24">
        <f t="shared" si="163"/>
        <v>3.4088392927974236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-5.1159076974727213E-13</v>
      </c>
      <c r="AJ180" s="14">
        <f>AI180*VLOOKUP('Données projet'!$B$10,Paramètres!$A$1:$I$89,3,0)*VLOOKUP('Données projet'!$B$10,Paramètres!$A$1:$I$89,5,0)</f>
        <v>-4.6288732846733184E-13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430.40491895612814</v>
      </c>
      <c r="AO180" s="62">
        <f t="shared" si="144"/>
        <v>231.36959598460686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projet'!$B$11,Paramètres!$A$1:$I$89,3,0)*VLOOKUP('Données projet'!$B$11,Paramètres!$A$1:$I$89,5,0)</f>
        <v>6.7984728957526396E-14</v>
      </c>
      <c r="BF180" s="14">
        <f t="shared" si="167"/>
        <v>1.0682447123141398E-12</v>
      </c>
      <c r="BG180" s="22">
        <f t="shared" si="168"/>
        <v>1.978932943548152E-12</v>
      </c>
      <c r="BH180" s="62">
        <f t="shared" si="116"/>
        <v>293.3333333333353</v>
      </c>
      <c r="BI180" s="62">
        <f ca="1">AVERAGE(OFFSET($BH$3,0,0,'Données projet'!$E$11+1,1))-AVERAGE(OFFSET($H$3,0,0,'Données projet'!$E$11+1,1))</f>
        <v>295.83974441964551</v>
      </c>
      <c r="BJ180" s="62">
        <f t="shared" si="146"/>
        <v>212.24900914818096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-5.6843418860808015E-14</v>
      </c>
      <c r="BZ180" s="14">
        <f>BY180*VLOOKUP('Données projet'!$B$12,Paramètres!$A$1:$I$89,3,0)*VLOOKUP('Données projet'!$B$12,Paramètres!$A$1:$I$89,5,0)</f>
        <v>-3.2514435588382188E-14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309.71642374647882</v>
      </c>
      <c r="CE180" s="62">
        <f t="shared" si="148"/>
        <v>266.63880397664315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4.1581453169948282E-2</v>
      </c>
      <c r="CM180" s="23">
        <f>EXP(-LN(2)/2)*CM179+(1-EXP(-LN(2)/2))/(LN(2)/2)*CG180*CJ180*VLOOKUP('Données projet'!$B$12,Paramètres!$A$1:$I$89,3,0)*0.475*44/12</f>
        <v>5.9566127846241476E-22</v>
      </c>
      <c r="CN180" s="24">
        <f t="shared" si="172"/>
        <v>4.1581453169948282E-2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-1.7053025658242404E-13</v>
      </c>
      <c r="CU180" s="18">
        <f>CT180*VLOOKUP('Données projet'!$B$13,Paramètres!$A$1:$I$89,3,0)*VLOOKUP('Données projet'!$B$13,Paramètres!$A$1:$I$89,5,0)</f>
        <v>-1.3567387213697657E-13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312.53381881960331</v>
      </c>
      <c r="CZ180" s="62">
        <f t="shared" si="150"/>
        <v>342.06887933351783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-5.1159076974727213E-13</v>
      </c>
      <c r="DP180" s="18">
        <f>DO180*VLOOKUP('Données projet'!$B$14,Paramètres!$A$1:$I$89,3,0)*VLOOKUP('Données projet'!$B$14,Paramètres!$A$1:$I$89,5,0)</f>
        <v>-5.5067630455596371E-13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503.92230226365683</v>
      </c>
      <c r="DU180" s="62">
        <f t="shared" si="152"/>
        <v>267.2998309535638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-5.1159076974727213E-13</v>
      </c>
      <c r="EK180" s="18">
        <f>EJ180*VLOOKUP('Données projet'!$B$15,Paramètres!$A$1:$I$89,3,0)*VLOOKUP('Données projet'!$B$15,Paramètres!$A$1:$I$89,5,0)</f>
        <v>-4.9481059249956164E-13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457.16923206840744</v>
      </c>
      <c r="EP180" s="62">
        <f t="shared" si="154"/>
        <v>244.45149244446094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3.979039320256561E-13</v>
      </c>
      <c r="FF180" s="18">
        <f>FE180*VLOOKUP('Données projet'!$B$16,Paramètres!$A$1:$I$89,3,0)*VLOOKUP('Données projet'!$B$16,Paramètres!$A$1:$I$89,5,0)</f>
        <v>2.669139576028101E-13</v>
      </c>
      <c r="FG180" s="14">
        <f t="shared" si="182"/>
        <v>3.5767923834585247E-12</v>
      </c>
      <c r="FH180" s="22">
        <f t="shared" si="183"/>
        <v>6.6944552106818241E-12</v>
      </c>
      <c r="FI180" s="62">
        <f t="shared" si="131"/>
        <v>293.33333333334002</v>
      </c>
      <c r="FJ180" s="62">
        <f ca="1">AVERAGE(OFFSET($FI$3,0,0,'Données projet'!$E$16+1,1))-AVERAGE(OFFSET($H$3,0,0,'Données projet'!$E$16+1,1))</f>
        <v>385.97853124853452</v>
      </c>
      <c r="FK180" s="62">
        <f t="shared" si="156"/>
        <v>300.99118099739695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132.280299502248</v>
      </c>
      <c r="T181" s="62">
        <f t="shared" si="142"/>
        <v>337.98099449405339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3.3419940334523321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9.7450419701371667E-23</v>
      </c>
      <c r="AC181" s="24">
        <f t="shared" si="163"/>
        <v>3.3419940334523321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-5.1159076974727213E-13</v>
      </c>
      <c r="AJ181" s="14">
        <f>AI181*VLOOKUP('Données projet'!$B$10,Paramètres!$A$1:$I$89,3,0)*VLOOKUP('Données projet'!$B$10,Paramètres!$A$1:$I$89,5,0)</f>
        <v>-4.6288732846733184E-13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430.40491895612814</v>
      </c>
      <c r="AO181" s="62">
        <f t="shared" si="144"/>
        <v>231.36959598460686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projet'!$B$11,Paramètres!$A$1:$I$89,3,0)*VLOOKUP('Données projet'!$B$11,Paramètres!$A$1:$I$89,5,0)</f>
        <v>6.7984728957526396E-14</v>
      </c>
      <c r="BF181" s="14">
        <f t="shared" si="167"/>
        <v>1.0682447123141398E-12</v>
      </c>
      <c r="BG181" s="22">
        <f t="shared" si="168"/>
        <v>1.978932943548152E-12</v>
      </c>
      <c r="BH181" s="62">
        <f t="shared" si="116"/>
        <v>293.3333333333353</v>
      </c>
      <c r="BI181" s="62">
        <f ca="1">AVERAGE(OFFSET($BH$3,0,0,'Données projet'!$E$11+1,1))-AVERAGE(OFFSET($H$3,0,0,'Données projet'!$E$11+1,1))</f>
        <v>295.83974441964551</v>
      </c>
      <c r="BJ181" s="62">
        <f t="shared" si="146"/>
        <v>212.24900914818096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-5.6843418860808015E-14</v>
      </c>
      <c r="BZ181" s="14">
        <f>BY181*VLOOKUP('Données projet'!$B$12,Paramètres!$A$1:$I$89,3,0)*VLOOKUP('Données projet'!$B$12,Paramètres!$A$1:$I$89,5,0)</f>
        <v>-3.2514435588382188E-14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309.71642374647882</v>
      </c>
      <c r="CE181" s="62">
        <f t="shared" si="148"/>
        <v>266.63880397664315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4.0444406146342461E-2</v>
      </c>
      <c r="CM181" s="23">
        <f>EXP(-LN(2)/2)*CM180+(1-EXP(-LN(2)/2))/(LN(2)/2)*CG181*CJ181*VLOOKUP('Données projet'!$B$12,Paramètres!$A$1:$I$89,3,0)*0.475*44/12</f>
        <v>4.2119612929102188E-22</v>
      </c>
      <c r="CN181" s="24">
        <f t="shared" si="172"/>
        <v>4.0444406146342461E-2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-1.7053025658242404E-13</v>
      </c>
      <c r="CU181" s="18">
        <f>CT181*VLOOKUP('Données projet'!$B$13,Paramètres!$A$1:$I$89,3,0)*VLOOKUP('Données projet'!$B$13,Paramètres!$A$1:$I$89,5,0)</f>
        <v>-1.3567387213697657E-13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312.53381881960331</v>
      </c>
      <c r="CZ181" s="62">
        <f t="shared" si="150"/>
        <v>342.06887933351783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-5.1159076974727213E-13</v>
      </c>
      <c r="DP181" s="18">
        <f>DO181*VLOOKUP('Données projet'!$B$14,Paramètres!$A$1:$I$89,3,0)*VLOOKUP('Données projet'!$B$14,Paramètres!$A$1:$I$89,5,0)</f>
        <v>-5.5067630455596371E-13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503.92230226365683</v>
      </c>
      <c r="DU181" s="62">
        <f t="shared" si="152"/>
        <v>267.2998309535638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-5.1159076974727213E-13</v>
      </c>
      <c r="EK181" s="18">
        <f>EJ181*VLOOKUP('Données projet'!$B$15,Paramètres!$A$1:$I$89,3,0)*VLOOKUP('Données projet'!$B$15,Paramètres!$A$1:$I$89,5,0)</f>
        <v>-4.9481059249956164E-13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457.16923206840744</v>
      </c>
      <c r="EP181" s="62">
        <f t="shared" si="154"/>
        <v>244.45149244446094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3.979039320256561E-13</v>
      </c>
      <c r="FF181" s="18">
        <f>FE181*VLOOKUP('Données projet'!$B$16,Paramètres!$A$1:$I$89,3,0)*VLOOKUP('Données projet'!$B$16,Paramètres!$A$1:$I$89,5,0)</f>
        <v>2.669139576028101E-13</v>
      </c>
      <c r="FG181" s="14">
        <f t="shared" si="182"/>
        <v>3.5767923834585247E-12</v>
      </c>
      <c r="FH181" s="22">
        <f t="shared" si="183"/>
        <v>6.6944552106818241E-12</v>
      </c>
      <c r="FI181" s="62">
        <f t="shared" si="131"/>
        <v>293.33333333334002</v>
      </c>
      <c r="FJ181" s="62">
        <f ca="1">AVERAGE(OFFSET($FI$3,0,0,'Données projet'!$E$16+1,1))-AVERAGE(OFFSET($H$3,0,0,'Données projet'!$E$16+1,1))</f>
        <v>385.97853124853452</v>
      </c>
      <c r="FK181" s="62">
        <f t="shared" si="156"/>
        <v>300.99118099739695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132.280299502248</v>
      </c>
      <c r="T182" s="62">
        <f t="shared" si="142"/>
        <v>337.98099449405339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3.2764595688714158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6.8907852600315034E-23</v>
      </c>
      <c r="AC182" s="24">
        <f t="shared" si="163"/>
        <v>3.2764595688714158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-5.1159076974727213E-13</v>
      </c>
      <c r="AJ182" s="14">
        <f>AI182*VLOOKUP('Données projet'!$B$10,Paramètres!$A$1:$I$89,3,0)*VLOOKUP('Données projet'!$B$10,Paramètres!$A$1:$I$89,5,0)</f>
        <v>-4.6288732846733184E-13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430.40491895612814</v>
      </c>
      <c r="AO182" s="62">
        <f t="shared" si="144"/>
        <v>231.36959598460686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projet'!$B$11,Paramètres!$A$1:$I$89,3,0)*VLOOKUP('Données projet'!$B$11,Paramètres!$A$1:$I$89,5,0)</f>
        <v>6.7984728957526396E-14</v>
      </c>
      <c r="BF182" s="14">
        <f t="shared" si="167"/>
        <v>1.0682447123141398E-12</v>
      </c>
      <c r="BG182" s="22">
        <f t="shared" si="168"/>
        <v>1.978932943548152E-12</v>
      </c>
      <c r="BH182" s="62">
        <f t="shared" si="116"/>
        <v>293.3333333333353</v>
      </c>
      <c r="BI182" s="62">
        <f ca="1">AVERAGE(OFFSET($BH$3,0,0,'Données projet'!$E$11+1,1))-AVERAGE(OFFSET($H$3,0,0,'Données projet'!$E$11+1,1))</f>
        <v>295.83974441964551</v>
      </c>
      <c r="BJ182" s="62">
        <f t="shared" si="146"/>
        <v>212.24900914818096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-5.6843418860808015E-14</v>
      </c>
      <c r="BZ182" s="14">
        <f>BY182*VLOOKUP('Données projet'!$B$12,Paramètres!$A$1:$I$89,3,0)*VLOOKUP('Données projet'!$B$12,Paramètres!$A$1:$I$89,5,0)</f>
        <v>-3.2514435588382188E-14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309.71642374647882</v>
      </c>
      <c r="CE182" s="62">
        <f t="shared" si="148"/>
        <v>266.63880397664315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3.9338451733391844E-2</v>
      </c>
      <c r="CM182" s="23">
        <f>EXP(-LN(2)/2)*CM181+(1-EXP(-LN(2)/2))/(LN(2)/2)*CG182*CJ182*VLOOKUP('Données projet'!$B$12,Paramètres!$A$1:$I$89,3,0)*0.475*44/12</f>
        <v>2.9783063923120743E-22</v>
      </c>
      <c r="CN182" s="24">
        <f t="shared" si="172"/>
        <v>3.9338451733391844E-2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-1.7053025658242404E-13</v>
      </c>
      <c r="CU182" s="18">
        <f>CT182*VLOOKUP('Données projet'!$B$13,Paramètres!$A$1:$I$89,3,0)*VLOOKUP('Données projet'!$B$13,Paramètres!$A$1:$I$89,5,0)</f>
        <v>-1.3567387213697657E-13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312.53381881960331</v>
      </c>
      <c r="CZ182" s="62">
        <f t="shared" si="150"/>
        <v>342.06887933351783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-5.1159076974727213E-13</v>
      </c>
      <c r="DP182" s="18">
        <f>DO182*VLOOKUP('Données projet'!$B$14,Paramètres!$A$1:$I$89,3,0)*VLOOKUP('Données projet'!$B$14,Paramètres!$A$1:$I$89,5,0)</f>
        <v>-5.5067630455596371E-13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503.92230226365683</v>
      </c>
      <c r="DU182" s="62">
        <f t="shared" si="152"/>
        <v>267.2998309535638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-5.1159076974727213E-13</v>
      </c>
      <c r="EK182" s="18">
        <f>EJ182*VLOOKUP('Données projet'!$B$15,Paramètres!$A$1:$I$89,3,0)*VLOOKUP('Données projet'!$B$15,Paramètres!$A$1:$I$89,5,0)</f>
        <v>-4.9481059249956164E-13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457.16923206840744</v>
      </c>
      <c r="EP182" s="62">
        <f t="shared" si="154"/>
        <v>244.45149244446094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3.979039320256561E-13</v>
      </c>
      <c r="FF182" s="18">
        <f>FE182*VLOOKUP('Données projet'!$B$16,Paramètres!$A$1:$I$89,3,0)*VLOOKUP('Données projet'!$B$16,Paramètres!$A$1:$I$89,5,0)</f>
        <v>2.669139576028101E-13</v>
      </c>
      <c r="FG182" s="14">
        <f t="shared" si="182"/>
        <v>3.5767923834585247E-12</v>
      </c>
      <c r="FH182" s="22">
        <f t="shared" si="183"/>
        <v>6.6944552106818241E-12</v>
      </c>
      <c r="FI182" s="62">
        <f t="shared" si="131"/>
        <v>293.33333333334002</v>
      </c>
      <c r="FJ182" s="62">
        <f ca="1">AVERAGE(OFFSET($FI$3,0,0,'Données projet'!$E$16+1,1))-AVERAGE(OFFSET($H$3,0,0,'Données projet'!$E$16+1,1))</f>
        <v>385.97853124853452</v>
      </c>
      <c r="FK182" s="62">
        <f t="shared" si="156"/>
        <v>300.99118099739695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132.280299502248</v>
      </c>
      <c r="T183" s="62">
        <f t="shared" si="142"/>
        <v>337.98099449405339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3.2122101951688546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4.8725209850685833E-23</v>
      </c>
      <c r="AC183" s="24">
        <f t="shared" si="163"/>
        <v>3.2122101951688546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-5.1159076974727213E-13</v>
      </c>
      <c r="AJ183" s="14">
        <f>AI183*VLOOKUP('Données projet'!$B$10,Paramètres!$A$1:$I$89,3,0)*VLOOKUP('Données projet'!$B$10,Paramètres!$A$1:$I$89,5,0)</f>
        <v>-4.6288732846733184E-13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430.40491895612814</v>
      </c>
      <c r="AO183" s="62">
        <f t="shared" si="144"/>
        <v>231.36959598460686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projet'!$B$11,Paramètres!$A$1:$I$89,3,0)*VLOOKUP('Données projet'!$B$11,Paramètres!$A$1:$I$89,5,0)</f>
        <v>6.7984728957526396E-14</v>
      </c>
      <c r="BF183" s="14">
        <f t="shared" si="167"/>
        <v>1.0682447123141398E-12</v>
      </c>
      <c r="BG183" s="22">
        <f t="shared" si="168"/>
        <v>1.978932943548152E-12</v>
      </c>
      <c r="BH183" s="62">
        <f t="shared" si="116"/>
        <v>293.3333333333353</v>
      </c>
      <c r="BI183" s="62">
        <f ca="1">AVERAGE(OFFSET($BH$3,0,0,'Données projet'!$E$11+1,1))-AVERAGE(OFFSET($H$3,0,0,'Données projet'!$E$11+1,1))</f>
        <v>295.83974441964551</v>
      </c>
      <c r="BJ183" s="62">
        <f t="shared" si="146"/>
        <v>212.24900914818096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-5.6843418860808015E-14</v>
      </c>
      <c r="BZ183" s="14">
        <f>BY183*VLOOKUP('Données projet'!$B$12,Paramètres!$A$1:$I$89,3,0)*VLOOKUP('Données projet'!$B$12,Paramètres!$A$1:$I$89,5,0)</f>
        <v>-3.2514435588382188E-14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309.71642374647882</v>
      </c>
      <c r="CE183" s="62">
        <f t="shared" si="148"/>
        <v>266.63880397664315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3.8262739702022978E-2</v>
      </c>
      <c r="CM183" s="23">
        <f>EXP(-LN(2)/2)*CM182+(1-EXP(-LN(2)/2))/(LN(2)/2)*CG183*CJ183*VLOOKUP('Données projet'!$B$12,Paramètres!$A$1:$I$89,3,0)*0.475*44/12</f>
        <v>2.1059806464551099E-22</v>
      </c>
      <c r="CN183" s="24">
        <f t="shared" si="172"/>
        <v>3.8262739702022978E-2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-1.7053025658242404E-13</v>
      </c>
      <c r="CU183" s="18">
        <f>CT183*VLOOKUP('Données projet'!$B$13,Paramètres!$A$1:$I$89,3,0)*VLOOKUP('Données projet'!$B$13,Paramètres!$A$1:$I$89,5,0)</f>
        <v>-1.3567387213697657E-13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312.53381881960331</v>
      </c>
      <c r="CZ183" s="62">
        <f t="shared" si="150"/>
        <v>342.06887933351783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-5.1159076974727213E-13</v>
      </c>
      <c r="DP183" s="18">
        <f>DO183*VLOOKUP('Données projet'!$B$14,Paramètres!$A$1:$I$89,3,0)*VLOOKUP('Données projet'!$B$14,Paramètres!$A$1:$I$89,5,0)</f>
        <v>-5.5067630455596371E-13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503.92230226365683</v>
      </c>
      <c r="DU183" s="62">
        <f t="shared" si="152"/>
        <v>267.2998309535638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-5.1159076974727213E-13</v>
      </c>
      <c r="EK183" s="18">
        <f>EJ183*VLOOKUP('Données projet'!$B$15,Paramètres!$A$1:$I$89,3,0)*VLOOKUP('Données projet'!$B$15,Paramètres!$A$1:$I$89,5,0)</f>
        <v>-4.9481059249956164E-13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457.16923206840744</v>
      </c>
      <c r="EP183" s="62">
        <f t="shared" si="154"/>
        <v>244.45149244446094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3.979039320256561E-13</v>
      </c>
      <c r="FF183" s="18">
        <f>FE183*VLOOKUP('Données projet'!$B$16,Paramètres!$A$1:$I$89,3,0)*VLOOKUP('Données projet'!$B$16,Paramètres!$A$1:$I$89,5,0)</f>
        <v>2.669139576028101E-13</v>
      </c>
      <c r="FG183" s="14">
        <f t="shared" si="182"/>
        <v>3.5767923834585247E-12</v>
      </c>
      <c r="FH183" s="22">
        <f t="shared" si="183"/>
        <v>6.6944552106818241E-12</v>
      </c>
      <c r="FI183" s="62">
        <f t="shared" si="131"/>
        <v>293.33333333334002</v>
      </c>
      <c r="FJ183" s="62">
        <f ca="1">AVERAGE(OFFSET($FI$3,0,0,'Données projet'!$E$16+1,1))-AVERAGE(OFFSET($H$3,0,0,'Données projet'!$E$16+1,1))</f>
        <v>385.97853124853452</v>
      </c>
      <c r="FK183" s="62">
        <f t="shared" si="156"/>
        <v>300.99118099739695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132.280299502248</v>
      </c>
      <c r="T184" s="62">
        <f t="shared" si="142"/>
        <v>337.98099449405339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3.1492207124963523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3.4453926300157517E-23</v>
      </c>
      <c r="AC184" s="24">
        <f t="shared" si="163"/>
        <v>3.1492207124963523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-5.1159076974727213E-13</v>
      </c>
      <c r="AJ184" s="14">
        <f>AI184*VLOOKUP('Données projet'!$B$10,Paramètres!$A$1:$I$89,3,0)*VLOOKUP('Données projet'!$B$10,Paramètres!$A$1:$I$89,5,0)</f>
        <v>-4.6288732846733184E-13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430.40491895612814</v>
      </c>
      <c r="AO184" s="62">
        <f t="shared" si="144"/>
        <v>231.36959598460686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projet'!$B$11,Paramètres!$A$1:$I$89,3,0)*VLOOKUP('Données projet'!$B$11,Paramètres!$A$1:$I$89,5,0)</f>
        <v>6.7984728957526396E-14</v>
      </c>
      <c r="BF184" s="14">
        <f t="shared" si="167"/>
        <v>1.0682447123141398E-12</v>
      </c>
      <c r="BG184" s="22">
        <f t="shared" si="168"/>
        <v>1.978932943548152E-12</v>
      </c>
      <c r="BH184" s="62">
        <f t="shared" si="116"/>
        <v>293.3333333333353</v>
      </c>
      <c r="BI184" s="62">
        <f ca="1">AVERAGE(OFFSET($BH$3,0,0,'Données projet'!$E$11+1,1))-AVERAGE(OFFSET($H$3,0,0,'Données projet'!$E$11+1,1))</f>
        <v>295.83974441964551</v>
      </c>
      <c r="BJ184" s="62">
        <f t="shared" si="146"/>
        <v>212.24900914818096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-5.6843418860808015E-14</v>
      </c>
      <c r="BZ184" s="14">
        <f>BY184*VLOOKUP('Données projet'!$B$12,Paramètres!$A$1:$I$89,3,0)*VLOOKUP('Données projet'!$B$12,Paramètres!$A$1:$I$89,5,0)</f>
        <v>-3.2514435588382188E-14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309.71642374647882</v>
      </c>
      <c r="CE184" s="62">
        <f t="shared" si="148"/>
        <v>266.63880397664315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3.721644307272113E-2</v>
      </c>
      <c r="CM184" s="23">
        <f>EXP(-LN(2)/2)*CM183+(1-EXP(-LN(2)/2))/(LN(2)/2)*CG184*CJ184*VLOOKUP('Données projet'!$B$12,Paramètres!$A$1:$I$89,3,0)*0.475*44/12</f>
        <v>1.4891531961560374E-22</v>
      </c>
      <c r="CN184" s="24">
        <f t="shared" si="172"/>
        <v>3.721644307272113E-2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-1.7053025658242404E-13</v>
      </c>
      <c r="CU184" s="18">
        <f>CT184*VLOOKUP('Données projet'!$B$13,Paramètres!$A$1:$I$89,3,0)*VLOOKUP('Données projet'!$B$13,Paramètres!$A$1:$I$89,5,0)</f>
        <v>-1.3567387213697657E-13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312.53381881960331</v>
      </c>
      <c r="CZ184" s="62">
        <f t="shared" si="150"/>
        <v>342.06887933351783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-5.1159076974727213E-13</v>
      </c>
      <c r="DP184" s="18">
        <f>DO184*VLOOKUP('Données projet'!$B$14,Paramètres!$A$1:$I$89,3,0)*VLOOKUP('Données projet'!$B$14,Paramètres!$A$1:$I$89,5,0)</f>
        <v>-5.5067630455596371E-13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503.92230226365683</v>
      </c>
      <c r="DU184" s="62">
        <f t="shared" si="152"/>
        <v>267.2998309535638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-5.1159076974727213E-13</v>
      </c>
      <c r="EK184" s="18">
        <f>EJ184*VLOOKUP('Données projet'!$B$15,Paramètres!$A$1:$I$89,3,0)*VLOOKUP('Données projet'!$B$15,Paramètres!$A$1:$I$89,5,0)</f>
        <v>-4.9481059249956164E-13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457.16923206840744</v>
      </c>
      <c r="EP184" s="62">
        <f t="shared" si="154"/>
        <v>244.45149244446094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3.979039320256561E-13</v>
      </c>
      <c r="FF184" s="18">
        <f>FE184*VLOOKUP('Données projet'!$B$16,Paramètres!$A$1:$I$89,3,0)*VLOOKUP('Données projet'!$B$16,Paramètres!$A$1:$I$89,5,0)</f>
        <v>2.669139576028101E-13</v>
      </c>
      <c r="FG184" s="14">
        <f t="shared" si="182"/>
        <v>3.5767923834585247E-12</v>
      </c>
      <c r="FH184" s="22">
        <f t="shared" si="183"/>
        <v>6.6944552106818241E-12</v>
      </c>
      <c r="FI184" s="62">
        <f t="shared" si="131"/>
        <v>293.33333333334002</v>
      </c>
      <c r="FJ184" s="62">
        <f ca="1">AVERAGE(OFFSET($FI$3,0,0,'Données projet'!$E$16+1,1))-AVERAGE(OFFSET($H$3,0,0,'Données projet'!$E$16+1,1))</f>
        <v>385.97853124853452</v>
      </c>
      <c r="FK184" s="62">
        <f t="shared" si="156"/>
        <v>300.99118099739695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132.280299502248</v>
      </c>
      <c r="T185" s="62">
        <f t="shared" si="142"/>
        <v>337.98099449405339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3.0874664151592666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2.4362604925342917E-23</v>
      </c>
      <c r="AC185" s="24">
        <f t="shared" si="163"/>
        <v>3.0874664151592666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-5.1159076974727213E-13</v>
      </c>
      <c r="AJ185" s="14">
        <f>AI185*VLOOKUP('Données projet'!$B$10,Paramètres!$A$1:$I$89,3,0)*VLOOKUP('Données projet'!$B$10,Paramètres!$A$1:$I$89,5,0)</f>
        <v>-4.6288732846733184E-13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430.40491895612814</v>
      </c>
      <c r="AO185" s="62">
        <f t="shared" si="144"/>
        <v>231.36959598460686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projet'!$B$11,Paramètres!$A$1:$I$89,3,0)*VLOOKUP('Données projet'!$B$11,Paramètres!$A$1:$I$89,5,0)</f>
        <v>6.7984728957526396E-14</v>
      </c>
      <c r="BF185" s="14">
        <f t="shared" si="167"/>
        <v>1.0682447123141398E-12</v>
      </c>
      <c r="BG185" s="22">
        <f t="shared" si="168"/>
        <v>1.978932943548152E-12</v>
      </c>
      <c r="BH185" s="62">
        <f t="shared" si="116"/>
        <v>293.3333333333353</v>
      </c>
      <c r="BI185" s="62">
        <f ca="1">AVERAGE(OFFSET($BH$3,0,0,'Données projet'!$E$11+1,1))-AVERAGE(OFFSET($H$3,0,0,'Données projet'!$E$11+1,1))</f>
        <v>295.83974441964551</v>
      </c>
      <c r="BJ185" s="62">
        <f t="shared" si="146"/>
        <v>212.24900914818096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-5.6843418860808015E-14</v>
      </c>
      <c r="BZ185" s="14">
        <f>BY185*VLOOKUP('Données projet'!$B$12,Paramètres!$A$1:$I$89,3,0)*VLOOKUP('Données projet'!$B$12,Paramètres!$A$1:$I$89,5,0)</f>
        <v>-3.2514435588382188E-14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309.71642374647882</v>
      </c>
      <c r="CE185" s="62">
        <f t="shared" si="148"/>
        <v>266.63880397664315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3.6198757479769889E-2</v>
      </c>
      <c r="CM185" s="23">
        <f>EXP(-LN(2)/2)*CM184+(1-EXP(-LN(2)/2))/(LN(2)/2)*CG185*CJ185*VLOOKUP('Données projet'!$B$12,Paramètres!$A$1:$I$89,3,0)*0.475*44/12</f>
        <v>1.0529903232275551E-22</v>
      </c>
      <c r="CN185" s="24">
        <f t="shared" si="172"/>
        <v>3.6198757479769889E-2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-1.7053025658242404E-13</v>
      </c>
      <c r="CU185" s="18">
        <f>CT185*VLOOKUP('Données projet'!$B$13,Paramètres!$A$1:$I$89,3,0)*VLOOKUP('Données projet'!$B$13,Paramètres!$A$1:$I$89,5,0)</f>
        <v>-1.3567387213697657E-13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312.53381881960331</v>
      </c>
      <c r="CZ185" s="62">
        <f t="shared" si="150"/>
        <v>342.06887933351783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-5.1159076974727213E-13</v>
      </c>
      <c r="DP185" s="18">
        <f>DO185*VLOOKUP('Données projet'!$B$14,Paramètres!$A$1:$I$89,3,0)*VLOOKUP('Données projet'!$B$14,Paramètres!$A$1:$I$89,5,0)</f>
        <v>-5.5067630455596371E-13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503.92230226365683</v>
      </c>
      <c r="DU185" s="62">
        <f t="shared" si="152"/>
        <v>267.2998309535638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-5.1159076974727213E-13</v>
      </c>
      <c r="EK185" s="18">
        <f>EJ185*VLOOKUP('Données projet'!$B$15,Paramètres!$A$1:$I$89,3,0)*VLOOKUP('Données projet'!$B$15,Paramètres!$A$1:$I$89,5,0)</f>
        <v>-4.9481059249956164E-13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457.16923206840744</v>
      </c>
      <c r="EP185" s="62">
        <f t="shared" si="154"/>
        <v>244.45149244446094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3.979039320256561E-13</v>
      </c>
      <c r="FF185" s="18">
        <f>FE185*VLOOKUP('Données projet'!$B$16,Paramètres!$A$1:$I$89,3,0)*VLOOKUP('Données projet'!$B$16,Paramètres!$A$1:$I$89,5,0)</f>
        <v>2.669139576028101E-13</v>
      </c>
      <c r="FG185" s="14">
        <f t="shared" si="182"/>
        <v>3.5767923834585247E-12</v>
      </c>
      <c r="FH185" s="22">
        <f t="shared" si="183"/>
        <v>6.6944552106818241E-12</v>
      </c>
      <c r="FI185" s="62">
        <f t="shared" si="131"/>
        <v>293.33333333334002</v>
      </c>
      <c r="FJ185" s="62">
        <f ca="1">AVERAGE(OFFSET($FI$3,0,0,'Données projet'!$E$16+1,1))-AVERAGE(OFFSET($H$3,0,0,'Données projet'!$E$16+1,1))</f>
        <v>385.97853124853452</v>
      </c>
      <c r="FK185" s="62">
        <f t="shared" si="156"/>
        <v>300.99118099739695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132.280299502248</v>
      </c>
      <c r="T186" s="62">
        <f t="shared" si="142"/>
        <v>337.98099449405339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3.0269230819265593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1.7226963150078758E-23</v>
      </c>
      <c r="AC186" s="24">
        <f t="shared" si="163"/>
        <v>3.0269230819265593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-5.1159076974727213E-13</v>
      </c>
      <c r="AJ186" s="14">
        <f>AI186*VLOOKUP('Données projet'!$B$10,Paramètres!$A$1:$I$89,3,0)*VLOOKUP('Données projet'!$B$10,Paramètres!$A$1:$I$89,5,0)</f>
        <v>-4.6288732846733184E-13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430.40491895612814</v>
      </c>
      <c r="AO186" s="62">
        <f t="shared" si="144"/>
        <v>231.36959598460686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projet'!$B$11,Paramètres!$A$1:$I$89,3,0)*VLOOKUP('Données projet'!$B$11,Paramètres!$A$1:$I$89,5,0)</f>
        <v>6.7984728957526396E-14</v>
      </c>
      <c r="BF186" s="14">
        <f t="shared" si="167"/>
        <v>1.0682447123141398E-12</v>
      </c>
      <c r="BG186" s="22">
        <f t="shared" si="168"/>
        <v>1.978932943548152E-12</v>
      </c>
      <c r="BH186" s="62">
        <f t="shared" si="116"/>
        <v>293.3333333333353</v>
      </c>
      <c r="BI186" s="62">
        <f ca="1">AVERAGE(OFFSET($BH$3,0,0,'Données projet'!$E$11+1,1))-AVERAGE(OFFSET($H$3,0,0,'Données projet'!$E$11+1,1))</f>
        <v>295.83974441964551</v>
      </c>
      <c r="BJ186" s="62">
        <f t="shared" si="146"/>
        <v>212.24900914818096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-5.6843418860808015E-14</v>
      </c>
      <c r="BZ186" s="14">
        <f>BY186*VLOOKUP('Données projet'!$B$12,Paramètres!$A$1:$I$89,3,0)*VLOOKUP('Données projet'!$B$12,Paramètres!$A$1:$I$89,5,0)</f>
        <v>-3.2514435588382188E-14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309.71642374647882</v>
      </c>
      <c r="CE186" s="62">
        <f t="shared" si="148"/>
        <v>266.63880397664315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3.5208900552875656E-2</v>
      </c>
      <c r="CM186" s="23">
        <f>EXP(-LN(2)/2)*CM185+(1-EXP(-LN(2)/2))/(LN(2)/2)*CG186*CJ186*VLOOKUP('Données projet'!$B$12,Paramètres!$A$1:$I$89,3,0)*0.475*44/12</f>
        <v>7.4457659807801881E-23</v>
      </c>
      <c r="CN186" s="24">
        <f t="shared" si="172"/>
        <v>3.5208900552875656E-2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-1.7053025658242404E-13</v>
      </c>
      <c r="CU186" s="18">
        <f>CT186*VLOOKUP('Données projet'!$B$13,Paramètres!$A$1:$I$89,3,0)*VLOOKUP('Données projet'!$B$13,Paramètres!$A$1:$I$89,5,0)</f>
        <v>-1.3567387213697657E-13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312.53381881960331</v>
      </c>
      <c r="CZ186" s="62">
        <f t="shared" si="150"/>
        <v>342.06887933351783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-5.1159076974727213E-13</v>
      </c>
      <c r="DP186" s="18">
        <f>DO186*VLOOKUP('Données projet'!$B$14,Paramètres!$A$1:$I$89,3,0)*VLOOKUP('Données projet'!$B$14,Paramètres!$A$1:$I$89,5,0)</f>
        <v>-5.5067630455596371E-13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503.92230226365683</v>
      </c>
      <c r="DU186" s="62">
        <f t="shared" si="152"/>
        <v>267.2998309535638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-5.1159076974727213E-13</v>
      </c>
      <c r="EK186" s="18">
        <f>EJ186*VLOOKUP('Données projet'!$B$15,Paramètres!$A$1:$I$89,3,0)*VLOOKUP('Données projet'!$B$15,Paramètres!$A$1:$I$89,5,0)</f>
        <v>-4.9481059249956164E-13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457.16923206840744</v>
      </c>
      <c r="EP186" s="62">
        <f t="shared" si="154"/>
        <v>244.45149244446094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3.979039320256561E-13</v>
      </c>
      <c r="FF186" s="18">
        <f>FE186*VLOOKUP('Données projet'!$B$16,Paramètres!$A$1:$I$89,3,0)*VLOOKUP('Données projet'!$B$16,Paramètres!$A$1:$I$89,5,0)</f>
        <v>2.669139576028101E-13</v>
      </c>
      <c r="FG186" s="14">
        <f t="shared" si="182"/>
        <v>3.5767923834585247E-12</v>
      </c>
      <c r="FH186" s="22">
        <f t="shared" si="183"/>
        <v>6.6944552106818241E-12</v>
      </c>
      <c r="FI186" s="62">
        <f t="shared" si="131"/>
        <v>293.33333333334002</v>
      </c>
      <c r="FJ186" s="62">
        <f ca="1">AVERAGE(OFFSET($FI$3,0,0,'Données projet'!$E$16+1,1))-AVERAGE(OFFSET($H$3,0,0,'Données projet'!$E$16+1,1))</f>
        <v>385.97853124853452</v>
      </c>
      <c r="FK186" s="62">
        <f t="shared" si="156"/>
        <v>300.99118099739695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132.280299502248</v>
      </c>
      <c r="T187" s="62">
        <f t="shared" si="142"/>
        <v>337.98099449405339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2.9675669665307582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1.2181302462671458E-23</v>
      </c>
      <c r="AC187" s="24">
        <f t="shared" si="163"/>
        <v>2.9675669665307582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-5.1159076974727213E-13</v>
      </c>
      <c r="AJ187" s="14">
        <f>AI187*VLOOKUP('Données projet'!$B$10,Paramètres!$A$1:$I$89,3,0)*VLOOKUP('Données projet'!$B$10,Paramètres!$A$1:$I$89,5,0)</f>
        <v>-4.6288732846733184E-13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430.40491895612814</v>
      </c>
      <c r="AO187" s="62">
        <f t="shared" si="144"/>
        <v>231.36959598460686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projet'!$B$11,Paramètres!$A$1:$I$89,3,0)*VLOOKUP('Données projet'!$B$11,Paramètres!$A$1:$I$89,5,0)</f>
        <v>6.7984728957526396E-14</v>
      </c>
      <c r="BF187" s="14">
        <f t="shared" si="167"/>
        <v>1.0682447123141398E-12</v>
      </c>
      <c r="BG187" s="22">
        <f t="shared" si="168"/>
        <v>1.978932943548152E-12</v>
      </c>
      <c r="BH187" s="62">
        <f t="shared" si="116"/>
        <v>293.3333333333353</v>
      </c>
      <c r="BI187" s="62">
        <f ca="1">AVERAGE(OFFSET($BH$3,0,0,'Données projet'!$E$11+1,1))-AVERAGE(OFFSET($H$3,0,0,'Données projet'!$E$11+1,1))</f>
        <v>295.83974441964551</v>
      </c>
      <c r="BJ187" s="62">
        <f t="shared" si="146"/>
        <v>212.24900914818096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-5.6843418860808015E-14</v>
      </c>
      <c r="BZ187" s="14">
        <f>BY187*VLOOKUP('Données projet'!$B$12,Paramètres!$A$1:$I$89,3,0)*VLOOKUP('Données projet'!$B$12,Paramètres!$A$1:$I$89,5,0)</f>
        <v>-3.2514435588382188E-14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309.71642374647882</v>
      </c>
      <c r="CE187" s="62">
        <f t="shared" si="148"/>
        <v>266.63880397664315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3.4246111315701662E-2</v>
      </c>
      <c r="CM187" s="23">
        <f>EXP(-LN(2)/2)*CM186+(1-EXP(-LN(2)/2))/(LN(2)/2)*CG187*CJ187*VLOOKUP('Données projet'!$B$12,Paramètres!$A$1:$I$89,3,0)*0.475*44/12</f>
        <v>5.2649516161377764E-23</v>
      </c>
      <c r="CN187" s="24">
        <f t="shared" si="172"/>
        <v>3.4246111315701662E-2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-1.7053025658242404E-13</v>
      </c>
      <c r="CU187" s="18">
        <f>CT187*VLOOKUP('Données projet'!$B$13,Paramètres!$A$1:$I$89,3,0)*VLOOKUP('Données projet'!$B$13,Paramètres!$A$1:$I$89,5,0)</f>
        <v>-1.3567387213697657E-13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312.53381881960331</v>
      </c>
      <c r="CZ187" s="62">
        <f t="shared" si="150"/>
        <v>342.06887933351783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-5.1159076974727213E-13</v>
      </c>
      <c r="DP187" s="18">
        <f>DO187*VLOOKUP('Données projet'!$B$14,Paramètres!$A$1:$I$89,3,0)*VLOOKUP('Données projet'!$B$14,Paramètres!$A$1:$I$89,5,0)</f>
        <v>-5.5067630455596371E-13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503.92230226365683</v>
      </c>
      <c r="DU187" s="62">
        <f t="shared" si="152"/>
        <v>267.2998309535638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-5.1159076974727213E-13</v>
      </c>
      <c r="EK187" s="18">
        <f>EJ187*VLOOKUP('Données projet'!$B$15,Paramètres!$A$1:$I$89,3,0)*VLOOKUP('Données projet'!$B$15,Paramètres!$A$1:$I$89,5,0)</f>
        <v>-4.9481059249956164E-13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457.16923206840744</v>
      </c>
      <c r="EP187" s="62">
        <f t="shared" si="154"/>
        <v>244.45149244446094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3.979039320256561E-13</v>
      </c>
      <c r="FF187" s="18">
        <f>FE187*VLOOKUP('Données projet'!$B$16,Paramètres!$A$1:$I$89,3,0)*VLOOKUP('Données projet'!$B$16,Paramètres!$A$1:$I$89,5,0)</f>
        <v>2.669139576028101E-13</v>
      </c>
      <c r="FG187" s="14">
        <f t="shared" si="182"/>
        <v>3.5767923834585247E-12</v>
      </c>
      <c r="FH187" s="22">
        <f t="shared" si="183"/>
        <v>6.6944552106818241E-12</v>
      </c>
      <c r="FI187" s="62">
        <f t="shared" si="131"/>
        <v>293.33333333334002</v>
      </c>
      <c r="FJ187" s="62">
        <f ca="1">AVERAGE(OFFSET($FI$3,0,0,'Données projet'!$E$16+1,1))-AVERAGE(OFFSET($H$3,0,0,'Données projet'!$E$16+1,1))</f>
        <v>385.97853124853452</v>
      </c>
      <c r="FK187" s="62">
        <f t="shared" si="156"/>
        <v>300.99118099739695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132.280299502248</v>
      </c>
      <c r="T188" s="62">
        <f t="shared" si="142"/>
        <v>337.98099449405339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2.9093747883542131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8.6134815750393792E-24</v>
      </c>
      <c r="AC188" s="24">
        <f t="shared" si="163"/>
        <v>2.9093747883542131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-5.1159076974727213E-13</v>
      </c>
      <c r="AJ188" s="14">
        <f>AI188*VLOOKUP('Données projet'!$B$10,Paramètres!$A$1:$I$89,3,0)*VLOOKUP('Données projet'!$B$10,Paramètres!$A$1:$I$89,5,0)</f>
        <v>-4.6288732846733184E-13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430.40491895612814</v>
      </c>
      <c r="AO188" s="62">
        <f t="shared" si="144"/>
        <v>231.36959598460686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projet'!$B$11,Paramètres!$A$1:$I$89,3,0)*VLOOKUP('Données projet'!$B$11,Paramètres!$A$1:$I$89,5,0)</f>
        <v>6.7984728957526396E-14</v>
      </c>
      <c r="BF188" s="14">
        <f t="shared" si="167"/>
        <v>1.0682447123141398E-12</v>
      </c>
      <c r="BG188" s="22">
        <f t="shared" si="168"/>
        <v>1.978932943548152E-12</v>
      </c>
      <c r="BH188" s="62">
        <f t="shared" si="116"/>
        <v>293.3333333333353</v>
      </c>
      <c r="BI188" s="62">
        <f ca="1">AVERAGE(OFFSET($BH$3,0,0,'Données projet'!$E$11+1,1))-AVERAGE(OFFSET($H$3,0,0,'Données projet'!$E$11+1,1))</f>
        <v>295.83974441964551</v>
      </c>
      <c r="BJ188" s="62">
        <f t="shared" si="146"/>
        <v>212.24900914818096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-5.6843418860808015E-14</v>
      </c>
      <c r="BZ188" s="14">
        <f>BY188*VLOOKUP('Données projet'!$B$12,Paramètres!$A$1:$I$89,3,0)*VLOOKUP('Données projet'!$B$12,Paramètres!$A$1:$I$89,5,0)</f>
        <v>-3.2514435588382188E-14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309.71642374647882</v>
      </c>
      <c r="CE188" s="62">
        <f t="shared" si="148"/>
        <v>266.63880397664315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3.3309649600849076E-2</v>
      </c>
      <c r="CM188" s="23">
        <f>EXP(-LN(2)/2)*CM187+(1-EXP(-LN(2)/2))/(LN(2)/2)*CG188*CJ188*VLOOKUP('Données projet'!$B$12,Paramètres!$A$1:$I$89,3,0)*0.475*44/12</f>
        <v>3.7228829903900946E-23</v>
      </c>
      <c r="CN188" s="24">
        <f t="shared" si="172"/>
        <v>3.3309649600849076E-2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-1.7053025658242404E-13</v>
      </c>
      <c r="CU188" s="18">
        <f>CT188*VLOOKUP('Données projet'!$B$13,Paramètres!$A$1:$I$89,3,0)*VLOOKUP('Données projet'!$B$13,Paramètres!$A$1:$I$89,5,0)</f>
        <v>-1.3567387213697657E-13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312.53381881960331</v>
      </c>
      <c r="CZ188" s="62">
        <f t="shared" si="150"/>
        <v>342.06887933351783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-5.1159076974727213E-13</v>
      </c>
      <c r="DP188" s="18">
        <f>DO188*VLOOKUP('Données projet'!$B$14,Paramètres!$A$1:$I$89,3,0)*VLOOKUP('Données projet'!$B$14,Paramètres!$A$1:$I$89,5,0)</f>
        <v>-5.5067630455596371E-13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503.92230226365683</v>
      </c>
      <c r="DU188" s="62">
        <f t="shared" si="152"/>
        <v>267.2998309535638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-5.1159076974727213E-13</v>
      </c>
      <c r="EK188" s="18">
        <f>EJ188*VLOOKUP('Données projet'!$B$15,Paramètres!$A$1:$I$89,3,0)*VLOOKUP('Données projet'!$B$15,Paramètres!$A$1:$I$89,5,0)</f>
        <v>-4.9481059249956164E-13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457.16923206840744</v>
      </c>
      <c r="EP188" s="62">
        <f t="shared" si="154"/>
        <v>244.45149244446094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3.979039320256561E-13</v>
      </c>
      <c r="FF188" s="18">
        <f>FE188*VLOOKUP('Données projet'!$B$16,Paramètres!$A$1:$I$89,3,0)*VLOOKUP('Données projet'!$B$16,Paramètres!$A$1:$I$89,5,0)</f>
        <v>2.669139576028101E-13</v>
      </c>
      <c r="FG188" s="14">
        <f t="shared" si="182"/>
        <v>3.5767923834585247E-12</v>
      </c>
      <c r="FH188" s="22">
        <f t="shared" si="183"/>
        <v>6.6944552106818241E-12</v>
      </c>
      <c r="FI188" s="62">
        <f t="shared" si="131"/>
        <v>293.33333333334002</v>
      </c>
      <c r="FJ188" s="62">
        <f ca="1">AVERAGE(OFFSET($FI$3,0,0,'Données projet'!$E$16+1,1))-AVERAGE(OFFSET($H$3,0,0,'Données projet'!$E$16+1,1))</f>
        <v>385.97853124853452</v>
      </c>
      <c r="FK188" s="62">
        <f t="shared" si="156"/>
        <v>300.99118099739695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132.280299502248</v>
      </c>
      <c r="T189" s="62">
        <f t="shared" si="142"/>
        <v>337.98099449405339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2.8523237232979861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6.0906512313357292E-24</v>
      </c>
      <c r="AC189" s="24">
        <f t="shared" si="163"/>
        <v>2.8523237232979861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-5.1159076974727213E-13</v>
      </c>
      <c r="AJ189" s="14">
        <f>AI189*VLOOKUP('Données projet'!$B$10,Paramètres!$A$1:$I$89,3,0)*VLOOKUP('Données projet'!$B$10,Paramètres!$A$1:$I$89,5,0)</f>
        <v>-4.6288732846733184E-13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430.40491895612814</v>
      </c>
      <c r="AO189" s="62">
        <f t="shared" si="144"/>
        <v>231.36959598460686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projet'!$B$11,Paramètres!$A$1:$I$89,3,0)*VLOOKUP('Données projet'!$B$11,Paramètres!$A$1:$I$89,5,0)</f>
        <v>6.7984728957526396E-14</v>
      </c>
      <c r="BF189" s="14">
        <f t="shared" si="167"/>
        <v>1.0682447123141398E-12</v>
      </c>
      <c r="BG189" s="22">
        <f t="shared" si="168"/>
        <v>1.978932943548152E-12</v>
      </c>
      <c r="BH189" s="62">
        <f t="shared" si="116"/>
        <v>293.3333333333353</v>
      </c>
      <c r="BI189" s="62">
        <f ca="1">AVERAGE(OFFSET($BH$3,0,0,'Données projet'!$E$11+1,1))-AVERAGE(OFFSET($H$3,0,0,'Données projet'!$E$11+1,1))</f>
        <v>295.83974441964551</v>
      </c>
      <c r="BJ189" s="62">
        <f t="shared" si="146"/>
        <v>212.24900914818096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-5.6843418860808015E-14</v>
      </c>
      <c r="BZ189" s="14">
        <f>BY189*VLOOKUP('Données projet'!$B$12,Paramètres!$A$1:$I$89,3,0)*VLOOKUP('Données projet'!$B$12,Paramètres!$A$1:$I$89,5,0)</f>
        <v>-3.2514435588382188E-14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309.71642374647882</v>
      </c>
      <c r="CE189" s="62">
        <f t="shared" si="148"/>
        <v>266.63880397664315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3.2398795480835518E-2</v>
      </c>
      <c r="CM189" s="23">
        <f>EXP(-LN(2)/2)*CM188+(1-EXP(-LN(2)/2))/(LN(2)/2)*CG189*CJ189*VLOOKUP('Données projet'!$B$12,Paramètres!$A$1:$I$89,3,0)*0.475*44/12</f>
        <v>2.6324758080688885E-23</v>
      </c>
      <c r="CN189" s="24">
        <f t="shared" si="172"/>
        <v>3.2398795480835518E-2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-1.7053025658242404E-13</v>
      </c>
      <c r="CU189" s="18">
        <f>CT189*VLOOKUP('Données projet'!$B$13,Paramètres!$A$1:$I$89,3,0)*VLOOKUP('Données projet'!$B$13,Paramètres!$A$1:$I$89,5,0)</f>
        <v>-1.3567387213697657E-13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312.53381881960331</v>
      </c>
      <c r="CZ189" s="62">
        <f t="shared" si="150"/>
        <v>342.06887933351783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-5.1159076974727213E-13</v>
      </c>
      <c r="DP189" s="18">
        <f>DO189*VLOOKUP('Données projet'!$B$14,Paramètres!$A$1:$I$89,3,0)*VLOOKUP('Données projet'!$B$14,Paramètres!$A$1:$I$89,5,0)</f>
        <v>-5.5067630455596371E-13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503.92230226365683</v>
      </c>
      <c r="DU189" s="62">
        <f t="shared" si="152"/>
        <v>267.2998309535638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-5.1159076974727213E-13</v>
      </c>
      <c r="EK189" s="18">
        <f>EJ189*VLOOKUP('Données projet'!$B$15,Paramètres!$A$1:$I$89,3,0)*VLOOKUP('Données projet'!$B$15,Paramètres!$A$1:$I$89,5,0)</f>
        <v>-4.9481059249956164E-13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457.16923206840744</v>
      </c>
      <c r="EP189" s="62">
        <f t="shared" si="154"/>
        <v>244.45149244446094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3.979039320256561E-13</v>
      </c>
      <c r="FF189" s="18">
        <f>FE189*VLOOKUP('Données projet'!$B$16,Paramètres!$A$1:$I$89,3,0)*VLOOKUP('Données projet'!$B$16,Paramètres!$A$1:$I$89,5,0)</f>
        <v>2.669139576028101E-13</v>
      </c>
      <c r="FG189" s="14">
        <f t="shared" si="182"/>
        <v>3.5767923834585247E-12</v>
      </c>
      <c r="FH189" s="22">
        <f t="shared" si="183"/>
        <v>6.6944552106818241E-12</v>
      </c>
      <c r="FI189" s="62">
        <f t="shared" si="131"/>
        <v>293.33333333334002</v>
      </c>
      <c r="FJ189" s="62">
        <f ca="1">AVERAGE(OFFSET($FI$3,0,0,'Données projet'!$E$16+1,1))-AVERAGE(OFFSET($H$3,0,0,'Données projet'!$E$16+1,1))</f>
        <v>385.97853124853452</v>
      </c>
      <c r="FK189" s="62">
        <f t="shared" si="156"/>
        <v>300.99118099739695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132.280299502248</v>
      </c>
      <c r="T190" s="62">
        <f t="shared" si="142"/>
        <v>337.98099449405339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2.796391394829798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4.3067407875196896E-24</v>
      </c>
      <c r="AC190" s="24">
        <f t="shared" si="163"/>
        <v>2.796391394829798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-5.1159076974727213E-13</v>
      </c>
      <c r="AJ190" s="14">
        <f>AI190*VLOOKUP('Données projet'!$B$10,Paramètres!$A$1:$I$89,3,0)*VLOOKUP('Données projet'!$B$10,Paramètres!$A$1:$I$89,5,0)</f>
        <v>-4.6288732846733184E-13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430.40491895612814</v>
      </c>
      <c r="AO190" s="62">
        <f t="shared" si="144"/>
        <v>231.36959598460686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projet'!$B$11,Paramètres!$A$1:$I$89,3,0)*VLOOKUP('Données projet'!$B$11,Paramètres!$A$1:$I$89,5,0)</f>
        <v>6.7984728957526396E-14</v>
      </c>
      <c r="BF190" s="14">
        <f t="shared" si="167"/>
        <v>1.0682447123141398E-12</v>
      </c>
      <c r="BG190" s="22">
        <f t="shared" si="168"/>
        <v>1.978932943548152E-12</v>
      </c>
      <c r="BH190" s="62">
        <f t="shared" si="116"/>
        <v>293.3333333333353</v>
      </c>
      <c r="BI190" s="62">
        <f ca="1">AVERAGE(OFFSET($BH$3,0,0,'Données projet'!$E$11+1,1))-AVERAGE(OFFSET($H$3,0,0,'Données projet'!$E$11+1,1))</f>
        <v>295.83974441964551</v>
      </c>
      <c r="BJ190" s="62">
        <f t="shared" si="146"/>
        <v>212.24900914818096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-5.6843418860808015E-14</v>
      </c>
      <c r="BZ190" s="14">
        <f>BY190*VLOOKUP('Données projet'!$B$12,Paramètres!$A$1:$I$89,3,0)*VLOOKUP('Données projet'!$B$12,Paramètres!$A$1:$I$89,5,0)</f>
        <v>-3.2514435588382188E-14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309.71642374647882</v>
      </c>
      <c r="CE190" s="62">
        <f t="shared" si="148"/>
        <v>266.63880397664315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3.1512848714633467E-2</v>
      </c>
      <c r="CM190" s="23">
        <f>EXP(-LN(2)/2)*CM189+(1-EXP(-LN(2)/2))/(LN(2)/2)*CG190*CJ190*VLOOKUP('Données projet'!$B$12,Paramètres!$A$1:$I$89,3,0)*0.475*44/12</f>
        <v>1.8614414951950476E-23</v>
      </c>
      <c r="CN190" s="24">
        <f t="shared" si="172"/>
        <v>3.1512848714633467E-2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-1.7053025658242404E-13</v>
      </c>
      <c r="CU190" s="18">
        <f>CT190*VLOOKUP('Données projet'!$B$13,Paramètres!$A$1:$I$89,3,0)*VLOOKUP('Données projet'!$B$13,Paramètres!$A$1:$I$89,5,0)</f>
        <v>-1.3567387213697657E-13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312.53381881960331</v>
      </c>
      <c r="CZ190" s="62">
        <f t="shared" si="150"/>
        <v>342.06887933351783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-5.1159076974727213E-13</v>
      </c>
      <c r="DP190" s="18">
        <f>DO190*VLOOKUP('Données projet'!$B$14,Paramètres!$A$1:$I$89,3,0)*VLOOKUP('Données projet'!$B$14,Paramètres!$A$1:$I$89,5,0)</f>
        <v>-5.5067630455596371E-13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503.92230226365683</v>
      </c>
      <c r="DU190" s="62">
        <f t="shared" si="152"/>
        <v>267.2998309535638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-5.1159076974727213E-13</v>
      </c>
      <c r="EK190" s="18">
        <f>EJ190*VLOOKUP('Données projet'!$B$15,Paramètres!$A$1:$I$89,3,0)*VLOOKUP('Données projet'!$B$15,Paramètres!$A$1:$I$89,5,0)</f>
        <v>-4.9481059249956164E-13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457.16923206840744</v>
      </c>
      <c r="EP190" s="62">
        <f t="shared" si="154"/>
        <v>244.45149244446094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3.979039320256561E-13</v>
      </c>
      <c r="FF190" s="18">
        <f>FE190*VLOOKUP('Données projet'!$B$16,Paramètres!$A$1:$I$89,3,0)*VLOOKUP('Données projet'!$B$16,Paramètres!$A$1:$I$89,5,0)</f>
        <v>2.669139576028101E-13</v>
      </c>
      <c r="FG190" s="14">
        <f t="shared" si="182"/>
        <v>3.5767923834585247E-12</v>
      </c>
      <c r="FH190" s="22">
        <f t="shared" si="183"/>
        <v>6.6944552106818241E-12</v>
      </c>
      <c r="FI190" s="62">
        <f t="shared" si="131"/>
        <v>293.33333333334002</v>
      </c>
      <c r="FJ190" s="62">
        <f ca="1">AVERAGE(OFFSET($FI$3,0,0,'Données projet'!$E$16+1,1))-AVERAGE(OFFSET($H$3,0,0,'Données projet'!$E$16+1,1))</f>
        <v>385.97853124853452</v>
      </c>
      <c r="FK190" s="62">
        <f t="shared" si="156"/>
        <v>300.99118099739695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132.280299502248</v>
      </c>
      <c r="T191" s="62">
        <f t="shared" si="142"/>
        <v>337.98099449405339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2.7415558652075194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3.0453256156678646E-24</v>
      </c>
      <c r="AC191" s="24">
        <f t="shared" si="163"/>
        <v>2.7415558652075194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-5.1159076974727213E-13</v>
      </c>
      <c r="AJ191" s="14">
        <f>AI191*VLOOKUP('Données projet'!$B$10,Paramètres!$A$1:$I$89,3,0)*VLOOKUP('Données projet'!$B$10,Paramètres!$A$1:$I$89,5,0)</f>
        <v>-4.6288732846733184E-13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430.40491895612814</v>
      </c>
      <c r="AO191" s="62">
        <f t="shared" si="144"/>
        <v>231.36959598460686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projet'!$B$11,Paramètres!$A$1:$I$89,3,0)*VLOOKUP('Données projet'!$B$11,Paramètres!$A$1:$I$89,5,0)</f>
        <v>6.7984728957526396E-14</v>
      </c>
      <c r="BF191" s="14">
        <f t="shared" si="167"/>
        <v>1.0682447123141398E-12</v>
      </c>
      <c r="BG191" s="22">
        <f t="shared" si="168"/>
        <v>1.978932943548152E-12</v>
      </c>
      <c r="BH191" s="62">
        <f t="shared" si="116"/>
        <v>293.3333333333353</v>
      </c>
      <c r="BI191" s="62">
        <f ca="1">AVERAGE(OFFSET($BH$3,0,0,'Données projet'!$E$11+1,1))-AVERAGE(OFFSET($H$3,0,0,'Données projet'!$E$11+1,1))</f>
        <v>295.83974441964551</v>
      </c>
      <c r="BJ191" s="62">
        <f t="shared" si="146"/>
        <v>212.24900914818096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-5.6843418860808015E-14</v>
      </c>
      <c r="BZ191" s="14">
        <f>BY191*VLOOKUP('Données projet'!$B$12,Paramètres!$A$1:$I$89,3,0)*VLOOKUP('Données projet'!$B$12,Paramètres!$A$1:$I$89,5,0)</f>
        <v>-3.2514435588382188E-14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309.71642374647882</v>
      </c>
      <c r="CE191" s="62">
        <f t="shared" si="148"/>
        <v>266.63880397664315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3.0651128209343122E-2</v>
      </c>
      <c r="CM191" s="23">
        <f>EXP(-LN(2)/2)*CM190+(1-EXP(-LN(2)/2))/(LN(2)/2)*CG191*CJ191*VLOOKUP('Données projet'!$B$12,Paramètres!$A$1:$I$89,3,0)*0.475*44/12</f>
        <v>1.3162379040344444E-23</v>
      </c>
      <c r="CN191" s="24">
        <f t="shared" si="172"/>
        <v>3.0651128209343122E-2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-1.7053025658242404E-13</v>
      </c>
      <c r="CU191" s="18">
        <f>CT191*VLOOKUP('Données projet'!$B$13,Paramètres!$A$1:$I$89,3,0)*VLOOKUP('Données projet'!$B$13,Paramètres!$A$1:$I$89,5,0)</f>
        <v>-1.3567387213697657E-13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312.53381881960331</v>
      </c>
      <c r="CZ191" s="62">
        <f t="shared" si="150"/>
        <v>342.06887933351783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-5.1159076974727213E-13</v>
      </c>
      <c r="DP191" s="18">
        <f>DO191*VLOOKUP('Données projet'!$B$14,Paramètres!$A$1:$I$89,3,0)*VLOOKUP('Données projet'!$B$14,Paramètres!$A$1:$I$89,5,0)</f>
        <v>-5.5067630455596371E-13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503.92230226365683</v>
      </c>
      <c r="DU191" s="62">
        <f t="shared" si="152"/>
        <v>267.2998309535638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-5.1159076974727213E-13</v>
      </c>
      <c r="EK191" s="18">
        <f>EJ191*VLOOKUP('Données projet'!$B$15,Paramètres!$A$1:$I$89,3,0)*VLOOKUP('Données projet'!$B$15,Paramètres!$A$1:$I$89,5,0)</f>
        <v>-4.9481059249956164E-13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457.16923206840744</v>
      </c>
      <c r="EP191" s="62">
        <f t="shared" si="154"/>
        <v>244.45149244446094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3.979039320256561E-13</v>
      </c>
      <c r="FF191" s="18">
        <f>FE191*VLOOKUP('Données projet'!$B$16,Paramètres!$A$1:$I$89,3,0)*VLOOKUP('Données projet'!$B$16,Paramètres!$A$1:$I$89,5,0)</f>
        <v>2.669139576028101E-13</v>
      </c>
      <c r="FG191" s="14">
        <f t="shared" si="182"/>
        <v>3.5767923834585247E-12</v>
      </c>
      <c r="FH191" s="22">
        <f t="shared" si="183"/>
        <v>6.6944552106818241E-12</v>
      </c>
      <c r="FI191" s="62">
        <f t="shared" si="131"/>
        <v>293.33333333334002</v>
      </c>
      <c r="FJ191" s="62">
        <f ca="1">AVERAGE(OFFSET($FI$3,0,0,'Données projet'!$E$16+1,1))-AVERAGE(OFFSET($H$3,0,0,'Données projet'!$E$16+1,1))</f>
        <v>385.97853124853452</v>
      </c>
      <c r="FK191" s="62">
        <f t="shared" si="156"/>
        <v>300.99118099739695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132.280299502248</v>
      </c>
      <c r="T192" s="62">
        <f t="shared" si="142"/>
        <v>337.98099449405339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2.6877956268747631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2.1533703937598448E-24</v>
      </c>
      <c r="AC192" s="24">
        <f t="shared" si="163"/>
        <v>2.6877956268747631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-5.1159076974727213E-13</v>
      </c>
      <c r="AJ192" s="14">
        <f>AI192*VLOOKUP('Données projet'!$B$10,Paramètres!$A$1:$I$89,3,0)*VLOOKUP('Données projet'!$B$10,Paramètres!$A$1:$I$89,5,0)</f>
        <v>-4.6288732846733184E-13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430.40491895612814</v>
      </c>
      <c r="AO192" s="62">
        <f t="shared" si="144"/>
        <v>231.36959598460686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projet'!$B$11,Paramètres!$A$1:$I$89,3,0)*VLOOKUP('Données projet'!$B$11,Paramètres!$A$1:$I$89,5,0)</f>
        <v>6.7984728957526396E-14</v>
      </c>
      <c r="BF192" s="14">
        <f t="shared" si="167"/>
        <v>1.0682447123141398E-12</v>
      </c>
      <c r="BG192" s="22">
        <f t="shared" si="168"/>
        <v>1.978932943548152E-12</v>
      </c>
      <c r="BH192" s="62">
        <f t="shared" si="116"/>
        <v>293.3333333333353</v>
      </c>
      <c r="BI192" s="62">
        <f ca="1">AVERAGE(OFFSET($BH$3,0,0,'Données projet'!$E$11+1,1))-AVERAGE(OFFSET($H$3,0,0,'Données projet'!$E$11+1,1))</f>
        <v>295.83974441964551</v>
      </c>
      <c r="BJ192" s="62">
        <f t="shared" si="146"/>
        <v>212.24900914818096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-5.6843418860808015E-14</v>
      </c>
      <c r="BZ192" s="14">
        <f>BY192*VLOOKUP('Données projet'!$B$12,Paramètres!$A$1:$I$89,3,0)*VLOOKUP('Données projet'!$B$12,Paramètres!$A$1:$I$89,5,0)</f>
        <v>-3.2514435588382188E-14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309.71642374647882</v>
      </c>
      <c r="CE192" s="62">
        <f t="shared" si="148"/>
        <v>266.63880397664315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2.9812971496585856E-2</v>
      </c>
      <c r="CM192" s="23">
        <f>EXP(-LN(2)/2)*CM191+(1-EXP(-LN(2)/2))/(LN(2)/2)*CG192*CJ192*VLOOKUP('Données projet'!$B$12,Paramètres!$A$1:$I$89,3,0)*0.475*44/12</f>
        <v>9.3072074759752395E-24</v>
      </c>
      <c r="CN192" s="24">
        <f t="shared" si="172"/>
        <v>2.9812971496585856E-2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-1.7053025658242404E-13</v>
      </c>
      <c r="CU192" s="18">
        <f>CT192*VLOOKUP('Données projet'!$B$13,Paramètres!$A$1:$I$89,3,0)*VLOOKUP('Données projet'!$B$13,Paramètres!$A$1:$I$89,5,0)</f>
        <v>-1.3567387213697657E-13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312.53381881960331</v>
      </c>
      <c r="CZ192" s="62">
        <f t="shared" si="150"/>
        <v>342.06887933351783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-5.1159076974727213E-13</v>
      </c>
      <c r="DP192" s="18">
        <f>DO192*VLOOKUP('Données projet'!$B$14,Paramètres!$A$1:$I$89,3,0)*VLOOKUP('Données projet'!$B$14,Paramètres!$A$1:$I$89,5,0)</f>
        <v>-5.5067630455596371E-13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503.92230226365683</v>
      </c>
      <c r="DU192" s="62">
        <f t="shared" si="152"/>
        <v>267.2998309535638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-5.1159076974727213E-13</v>
      </c>
      <c r="EK192" s="18">
        <f>EJ192*VLOOKUP('Données projet'!$B$15,Paramètres!$A$1:$I$89,3,0)*VLOOKUP('Données projet'!$B$15,Paramètres!$A$1:$I$89,5,0)</f>
        <v>-4.9481059249956164E-13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457.16923206840744</v>
      </c>
      <c r="EP192" s="62">
        <f t="shared" si="154"/>
        <v>244.45149244446094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3.979039320256561E-13</v>
      </c>
      <c r="FF192" s="18">
        <f>FE192*VLOOKUP('Données projet'!$B$16,Paramètres!$A$1:$I$89,3,0)*VLOOKUP('Données projet'!$B$16,Paramètres!$A$1:$I$89,5,0)</f>
        <v>2.669139576028101E-13</v>
      </c>
      <c r="FG192" s="14">
        <f t="shared" si="182"/>
        <v>3.5767923834585247E-12</v>
      </c>
      <c r="FH192" s="22">
        <f t="shared" si="183"/>
        <v>6.6944552106818241E-12</v>
      </c>
      <c r="FI192" s="62">
        <f t="shared" si="131"/>
        <v>293.33333333334002</v>
      </c>
      <c r="FJ192" s="62">
        <f ca="1">AVERAGE(OFFSET($FI$3,0,0,'Données projet'!$E$16+1,1))-AVERAGE(OFFSET($H$3,0,0,'Données projet'!$E$16+1,1))</f>
        <v>385.97853124853452</v>
      </c>
      <c r="FK192" s="62">
        <f t="shared" si="156"/>
        <v>300.99118099739695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132.280299502248</v>
      </c>
      <c r="T193" s="62">
        <f t="shared" si="142"/>
        <v>337.98099449405339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2.6350895940252048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1.5226628078339323E-24</v>
      </c>
      <c r="AC193" s="24">
        <f t="shared" si="163"/>
        <v>2.6350895940252048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-5.1159076974727213E-13</v>
      </c>
      <c r="AJ193" s="14">
        <f>AI193*VLOOKUP('Données projet'!$B$10,Paramètres!$A$1:$I$89,3,0)*VLOOKUP('Données projet'!$B$10,Paramètres!$A$1:$I$89,5,0)</f>
        <v>-4.6288732846733184E-13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430.40491895612814</v>
      </c>
      <c r="AO193" s="62">
        <f t="shared" si="144"/>
        <v>231.36959598460686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projet'!$B$11,Paramètres!$A$1:$I$89,3,0)*VLOOKUP('Données projet'!$B$11,Paramètres!$A$1:$I$89,5,0)</f>
        <v>6.7984728957526396E-14</v>
      </c>
      <c r="BF193" s="14">
        <f t="shared" si="167"/>
        <v>1.0682447123141398E-12</v>
      </c>
      <c r="BG193" s="22">
        <f t="shared" si="168"/>
        <v>1.978932943548152E-12</v>
      </c>
      <c r="BH193" s="62">
        <f t="shared" si="116"/>
        <v>293.3333333333353</v>
      </c>
      <c r="BI193" s="62">
        <f ca="1">AVERAGE(OFFSET($BH$3,0,0,'Données projet'!$E$11+1,1))-AVERAGE(OFFSET($H$3,0,0,'Données projet'!$E$11+1,1))</f>
        <v>295.83974441964551</v>
      </c>
      <c r="BJ193" s="62">
        <f t="shared" si="146"/>
        <v>212.24900914818096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-5.6843418860808015E-14</v>
      </c>
      <c r="BZ193" s="14">
        <f>BY193*VLOOKUP('Données projet'!$B$12,Paramètres!$A$1:$I$89,3,0)*VLOOKUP('Données projet'!$B$12,Paramètres!$A$1:$I$89,5,0)</f>
        <v>-3.2514435588382188E-14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309.71642374647882</v>
      </c>
      <c r="CE193" s="62">
        <f t="shared" si="148"/>
        <v>266.63880397664315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2.8997734223215683E-2</v>
      </c>
      <c r="CM193" s="23">
        <f>EXP(-LN(2)/2)*CM192+(1-EXP(-LN(2)/2))/(LN(2)/2)*CG193*CJ193*VLOOKUP('Données projet'!$B$12,Paramètres!$A$1:$I$89,3,0)*0.475*44/12</f>
        <v>6.5811895201722235E-24</v>
      </c>
      <c r="CN193" s="24">
        <f t="shared" si="172"/>
        <v>2.8997734223215683E-2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-1.7053025658242404E-13</v>
      </c>
      <c r="CU193" s="18">
        <f>CT193*VLOOKUP('Données projet'!$B$13,Paramètres!$A$1:$I$89,3,0)*VLOOKUP('Données projet'!$B$13,Paramètres!$A$1:$I$89,5,0)</f>
        <v>-1.3567387213697657E-13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312.53381881960331</v>
      </c>
      <c r="CZ193" s="62">
        <f t="shared" si="150"/>
        <v>342.06887933351783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-5.1159076974727213E-13</v>
      </c>
      <c r="DP193" s="18">
        <f>DO193*VLOOKUP('Données projet'!$B$14,Paramètres!$A$1:$I$89,3,0)*VLOOKUP('Données projet'!$B$14,Paramètres!$A$1:$I$89,5,0)</f>
        <v>-5.5067630455596371E-13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503.92230226365683</v>
      </c>
      <c r="DU193" s="62">
        <f t="shared" si="152"/>
        <v>267.2998309535638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-5.1159076974727213E-13</v>
      </c>
      <c r="EK193" s="18">
        <f>EJ193*VLOOKUP('Données projet'!$B$15,Paramètres!$A$1:$I$89,3,0)*VLOOKUP('Données projet'!$B$15,Paramètres!$A$1:$I$89,5,0)</f>
        <v>-4.9481059249956164E-13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457.16923206840744</v>
      </c>
      <c r="EP193" s="62">
        <f t="shared" si="154"/>
        <v>244.45149244446094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3.979039320256561E-13</v>
      </c>
      <c r="FF193" s="18">
        <f>FE193*VLOOKUP('Données projet'!$B$16,Paramètres!$A$1:$I$89,3,0)*VLOOKUP('Données projet'!$B$16,Paramètres!$A$1:$I$89,5,0)</f>
        <v>2.669139576028101E-13</v>
      </c>
      <c r="FG193" s="14">
        <f t="shared" si="182"/>
        <v>3.5767923834585247E-12</v>
      </c>
      <c r="FH193" s="22">
        <f t="shared" si="183"/>
        <v>6.6944552106818241E-12</v>
      </c>
      <c r="FI193" s="62">
        <f t="shared" si="131"/>
        <v>293.33333333334002</v>
      </c>
      <c r="FJ193" s="62">
        <f ca="1">AVERAGE(OFFSET($FI$3,0,0,'Données projet'!$E$16+1,1))-AVERAGE(OFFSET($H$3,0,0,'Données projet'!$E$16+1,1))</f>
        <v>385.97853124853452</v>
      </c>
      <c r="FK193" s="62">
        <f t="shared" si="156"/>
        <v>300.99118099739695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132.280299502248</v>
      </c>
      <c r="T194" s="62">
        <f t="shared" si="142"/>
        <v>337.98099449405339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2.5834170943323205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1.0766851968799224E-24</v>
      </c>
      <c r="AC194" s="24">
        <f t="shared" si="163"/>
        <v>2.5834170943323205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-5.1159076974727213E-13</v>
      </c>
      <c r="AJ194" s="14">
        <f>AI194*VLOOKUP('Données projet'!$B$10,Paramètres!$A$1:$I$89,3,0)*VLOOKUP('Données projet'!$B$10,Paramètres!$A$1:$I$89,5,0)</f>
        <v>-4.6288732846733184E-13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430.40491895612814</v>
      </c>
      <c r="AO194" s="62">
        <f t="shared" si="144"/>
        <v>231.36959598460686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projet'!$B$11,Paramètres!$A$1:$I$89,3,0)*VLOOKUP('Données projet'!$B$11,Paramètres!$A$1:$I$89,5,0)</f>
        <v>6.7984728957526396E-14</v>
      </c>
      <c r="BF194" s="14">
        <f t="shared" si="167"/>
        <v>1.0682447123141398E-12</v>
      </c>
      <c r="BG194" s="22">
        <f t="shared" si="168"/>
        <v>1.978932943548152E-12</v>
      </c>
      <c r="BH194" s="62">
        <f t="shared" si="116"/>
        <v>293.3333333333353</v>
      </c>
      <c r="BI194" s="62">
        <f ca="1">AVERAGE(OFFSET($BH$3,0,0,'Données projet'!$E$11+1,1))-AVERAGE(OFFSET($H$3,0,0,'Données projet'!$E$11+1,1))</f>
        <v>295.83974441964551</v>
      </c>
      <c r="BJ194" s="62">
        <f t="shared" si="146"/>
        <v>212.24900914818096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-5.6843418860808015E-14</v>
      </c>
      <c r="BZ194" s="14">
        <f>BY194*VLOOKUP('Données projet'!$B$12,Paramètres!$A$1:$I$89,3,0)*VLOOKUP('Données projet'!$B$12,Paramètres!$A$1:$I$89,5,0)</f>
        <v>-3.2514435588382188E-14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309.71642374647882</v>
      </c>
      <c r="CE194" s="62">
        <f t="shared" si="148"/>
        <v>266.63880397664315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2.8204789655957282E-2</v>
      </c>
      <c r="CM194" s="23">
        <f>EXP(-LN(2)/2)*CM193+(1-EXP(-LN(2)/2))/(LN(2)/2)*CG194*CJ194*VLOOKUP('Données projet'!$B$12,Paramètres!$A$1:$I$89,3,0)*0.475*44/12</f>
        <v>4.6536037379876205E-24</v>
      </c>
      <c r="CN194" s="24">
        <f t="shared" si="172"/>
        <v>2.8204789655957282E-2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-1.7053025658242404E-13</v>
      </c>
      <c r="CU194" s="18">
        <f>CT194*VLOOKUP('Données projet'!$B$13,Paramètres!$A$1:$I$89,3,0)*VLOOKUP('Données projet'!$B$13,Paramètres!$A$1:$I$89,5,0)</f>
        <v>-1.3567387213697657E-13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312.53381881960331</v>
      </c>
      <c r="CZ194" s="62">
        <f t="shared" si="150"/>
        <v>342.06887933351783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-5.1159076974727213E-13</v>
      </c>
      <c r="DP194" s="18">
        <f>DO194*VLOOKUP('Données projet'!$B$14,Paramètres!$A$1:$I$89,3,0)*VLOOKUP('Données projet'!$B$14,Paramètres!$A$1:$I$89,5,0)</f>
        <v>-5.5067630455596371E-13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503.92230226365683</v>
      </c>
      <c r="DU194" s="62">
        <f t="shared" si="152"/>
        <v>267.2998309535638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-5.1159076974727213E-13</v>
      </c>
      <c r="EK194" s="18">
        <f>EJ194*VLOOKUP('Données projet'!$B$15,Paramètres!$A$1:$I$89,3,0)*VLOOKUP('Données projet'!$B$15,Paramètres!$A$1:$I$89,5,0)</f>
        <v>-4.9481059249956164E-13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457.16923206840744</v>
      </c>
      <c r="EP194" s="62">
        <f t="shared" si="154"/>
        <v>244.45149244446094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3.979039320256561E-13</v>
      </c>
      <c r="FF194" s="18">
        <f>FE194*VLOOKUP('Données projet'!$B$16,Paramètres!$A$1:$I$89,3,0)*VLOOKUP('Données projet'!$B$16,Paramètres!$A$1:$I$89,5,0)</f>
        <v>2.669139576028101E-13</v>
      </c>
      <c r="FG194" s="14">
        <f t="shared" si="182"/>
        <v>3.5767923834585247E-12</v>
      </c>
      <c r="FH194" s="22">
        <f t="shared" si="183"/>
        <v>6.6944552106818241E-12</v>
      </c>
      <c r="FI194" s="62">
        <f t="shared" si="131"/>
        <v>293.33333333334002</v>
      </c>
      <c r="FJ194" s="62">
        <f ca="1">AVERAGE(OFFSET($FI$3,0,0,'Données projet'!$E$16+1,1))-AVERAGE(OFFSET($H$3,0,0,'Données projet'!$E$16+1,1))</f>
        <v>385.97853124853452</v>
      </c>
      <c r="FK194" s="62">
        <f t="shared" si="156"/>
        <v>300.99118099739695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132.280299502248</v>
      </c>
      <c r="T195" s="62">
        <f t="shared" si="142"/>
        <v>337.98099449405339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2.5327578608413011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7.6133140391696615E-25</v>
      </c>
      <c r="AC195" s="24">
        <f t="shared" si="163"/>
        <v>2.5327578608413011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-5.1159076974727213E-13</v>
      </c>
      <c r="AJ195" s="14">
        <f>AI195*VLOOKUP('Données projet'!$B$10,Paramètres!$A$1:$I$89,3,0)*VLOOKUP('Données projet'!$B$10,Paramètres!$A$1:$I$89,5,0)</f>
        <v>-4.6288732846733184E-13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430.40491895612814</v>
      </c>
      <c r="AO195" s="62">
        <f t="shared" si="144"/>
        <v>231.36959598460686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projet'!$B$11,Paramètres!$A$1:$I$89,3,0)*VLOOKUP('Données projet'!$B$11,Paramètres!$A$1:$I$89,5,0)</f>
        <v>6.7984728957526396E-14</v>
      </c>
      <c r="BF195" s="14">
        <f t="shared" si="167"/>
        <v>1.0682447123141398E-12</v>
      </c>
      <c r="BG195" s="22">
        <f t="shared" si="168"/>
        <v>1.978932943548152E-12</v>
      </c>
      <c r="BH195" s="62">
        <f t="shared" si="116"/>
        <v>293.3333333333353</v>
      </c>
      <c r="BI195" s="62">
        <f ca="1">AVERAGE(OFFSET($BH$3,0,0,'Données projet'!$E$11+1,1))-AVERAGE(OFFSET($H$3,0,0,'Données projet'!$E$11+1,1))</f>
        <v>295.83974441964551</v>
      </c>
      <c r="BJ195" s="62">
        <f t="shared" si="146"/>
        <v>212.24900914818096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-5.6843418860808015E-14</v>
      </c>
      <c r="BZ195" s="14">
        <f>BY195*VLOOKUP('Données projet'!$B$12,Paramètres!$A$1:$I$89,3,0)*VLOOKUP('Données projet'!$B$12,Paramètres!$A$1:$I$89,5,0)</f>
        <v>-3.2514435588382188E-14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309.71642374647882</v>
      </c>
      <c r="CE195" s="62">
        <f t="shared" si="148"/>
        <v>266.63880397664315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2.7433528199589705E-2</v>
      </c>
      <c r="CM195" s="23">
        <f>EXP(-LN(2)/2)*CM194+(1-EXP(-LN(2)/2))/(LN(2)/2)*CG195*CJ195*VLOOKUP('Données projet'!$B$12,Paramètres!$A$1:$I$89,3,0)*0.475*44/12</f>
        <v>3.2905947600861121E-24</v>
      </c>
      <c r="CN195" s="24">
        <f t="shared" si="172"/>
        <v>2.7433528199589705E-2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-1.7053025658242404E-13</v>
      </c>
      <c r="CU195" s="18">
        <f>CT195*VLOOKUP('Données projet'!$B$13,Paramètres!$A$1:$I$89,3,0)*VLOOKUP('Données projet'!$B$13,Paramètres!$A$1:$I$89,5,0)</f>
        <v>-1.3567387213697657E-13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312.53381881960331</v>
      </c>
      <c r="CZ195" s="62">
        <f t="shared" si="150"/>
        <v>342.06887933351783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-5.1159076974727213E-13</v>
      </c>
      <c r="DP195" s="18">
        <f>DO195*VLOOKUP('Données projet'!$B$14,Paramètres!$A$1:$I$89,3,0)*VLOOKUP('Données projet'!$B$14,Paramètres!$A$1:$I$89,5,0)</f>
        <v>-5.5067630455596371E-13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503.92230226365683</v>
      </c>
      <c r="DU195" s="62">
        <f t="shared" si="152"/>
        <v>267.2998309535638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-5.1159076974727213E-13</v>
      </c>
      <c r="EK195" s="18">
        <f>EJ195*VLOOKUP('Données projet'!$B$15,Paramètres!$A$1:$I$89,3,0)*VLOOKUP('Données projet'!$B$15,Paramètres!$A$1:$I$89,5,0)</f>
        <v>-4.9481059249956164E-13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457.16923206840744</v>
      </c>
      <c r="EP195" s="62">
        <f t="shared" si="154"/>
        <v>244.45149244446094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3.979039320256561E-13</v>
      </c>
      <c r="FF195" s="18">
        <f>FE195*VLOOKUP('Données projet'!$B$16,Paramètres!$A$1:$I$89,3,0)*VLOOKUP('Données projet'!$B$16,Paramètres!$A$1:$I$89,5,0)</f>
        <v>2.669139576028101E-13</v>
      </c>
      <c r="FG195" s="14">
        <f t="shared" si="182"/>
        <v>3.5767923834585247E-12</v>
      </c>
      <c r="FH195" s="22">
        <f t="shared" si="183"/>
        <v>6.6944552106818241E-12</v>
      </c>
      <c r="FI195" s="62">
        <f t="shared" si="131"/>
        <v>293.33333333334002</v>
      </c>
      <c r="FJ195" s="62">
        <f ca="1">AVERAGE(OFFSET($FI$3,0,0,'Données projet'!$E$16+1,1))-AVERAGE(OFFSET($H$3,0,0,'Données projet'!$E$16+1,1))</f>
        <v>385.97853124853452</v>
      </c>
      <c r="FK195" s="62">
        <f t="shared" si="156"/>
        <v>300.99118099739695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132.280299502248</v>
      </c>
      <c r="T196" s="62">
        <f t="shared" si="142"/>
        <v>337.98099449405339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2.483092024019959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5.383425984399612E-25</v>
      </c>
      <c r="AC196" s="24">
        <f t="shared" si="163"/>
        <v>2.483092024019959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-5.1159076974727213E-13</v>
      </c>
      <c r="AJ196" s="14">
        <f>AI196*VLOOKUP('Données projet'!$B$10,Paramètres!$A$1:$I$89,3,0)*VLOOKUP('Données projet'!$B$10,Paramètres!$A$1:$I$89,5,0)</f>
        <v>-4.6288732846733184E-13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430.40491895612814</v>
      </c>
      <c r="AO196" s="62">
        <f t="shared" si="144"/>
        <v>231.36959598460686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projet'!$B$11,Paramètres!$A$1:$I$89,3,0)*VLOOKUP('Données projet'!$B$11,Paramètres!$A$1:$I$89,5,0)</f>
        <v>6.7984728957526396E-14</v>
      </c>
      <c r="BF196" s="14">
        <f t="shared" si="167"/>
        <v>1.0682447123141398E-12</v>
      </c>
      <c r="BG196" s="22">
        <f t="shared" si="168"/>
        <v>1.978932943548152E-12</v>
      </c>
      <c r="BH196" s="62">
        <f t="shared" ref="BH196:BH203" si="194">BG196+(AY196+AZ196)*44/12</f>
        <v>293.3333333333353</v>
      </c>
      <c r="BI196" s="62">
        <f ca="1">AVERAGE(OFFSET($BH$3,0,0,'Données projet'!$E$11+1,1))-AVERAGE(OFFSET($H$3,0,0,'Données projet'!$E$11+1,1))</f>
        <v>295.83974441964551</v>
      </c>
      <c r="BJ196" s="62">
        <f t="shared" si="146"/>
        <v>212.24900914818096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-5.6843418860808015E-14</v>
      </c>
      <c r="BZ196" s="14">
        <f>BY196*VLOOKUP('Données projet'!$B$12,Paramètres!$A$1:$I$89,3,0)*VLOOKUP('Données projet'!$B$12,Paramètres!$A$1:$I$89,5,0)</f>
        <v>-3.2514435588382188E-14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309.71642374647882</v>
      </c>
      <c r="CE196" s="62">
        <f t="shared" si="148"/>
        <v>266.63880397664315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2.6683356928305375E-2</v>
      </c>
      <c r="CM196" s="23">
        <f>EXP(-LN(2)/2)*CM195+(1-EXP(-LN(2)/2))/(LN(2)/2)*CG196*CJ196*VLOOKUP('Données projet'!$B$12,Paramètres!$A$1:$I$89,3,0)*0.475*44/12</f>
        <v>2.3268018689938106E-24</v>
      </c>
      <c r="CN196" s="24">
        <f t="shared" si="172"/>
        <v>2.6683356928305375E-2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-1.7053025658242404E-13</v>
      </c>
      <c r="CU196" s="18">
        <f>CT196*VLOOKUP('Données projet'!$B$13,Paramètres!$A$1:$I$89,3,0)*VLOOKUP('Données projet'!$B$13,Paramètres!$A$1:$I$89,5,0)</f>
        <v>-1.3567387213697657E-13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312.53381881960331</v>
      </c>
      <c r="CZ196" s="62">
        <f t="shared" si="150"/>
        <v>342.06887933351783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-5.1159076974727213E-13</v>
      </c>
      <c r="DP196" s="18">
        <f>DO196*VLOOKUP('Données projet'!$B$14,Paramètres!$A$1:$I$89,3,0)*VLOOKUP('Données projet'!$B$14,Paramètres!$A$1:$I$89,5,0)</f>
        <v>-5.5067630455596371E-13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503.92230226365683</v>
      </c>
      <c r="DU196" s="62">
        <f t="shared" si="152"/>
        <v>267.2998309535638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-5.1159076974727213E-13</v>
      </c>
      <c r="EK196" s="18">
        <f>EJ196*VLOOKUP('Données projet'!$B$15,Paramètres!$A$1:$I$89,3,0)*VLOOKUP('Données projet'!$B$15,Paramètres!$A$1:$I$89,5,0)</f>
        <v>-4.9481059249956164E-13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457.16923206840744</v>
      </c>
      <c r="EP196" s="62">
        <f t="shared" si="154"/>
        <v>244.45149244446094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3.979039320256561E-13</v>
      </c>
      <c r="FF196" s="18">
        <f>FE196*VLOOKUP('Données projet'!$B$16,Paramètres!$A$1:$I$89,3,0)*VLOOKUP('Données projet'!$B$16,Paramètres!$A$1:$I$89,5,0)</f>
        <v>2.669139576028101E-13</v>
      </c>
      <c r="FG196" s="14">
        <f t="shared" si="182"/>
        <v>3.5767923834585247E-12</v>
      </c>
      <c r="FH196" s="22">
        <f t="shared" si="183"/>
        <v>6.6944552106818241E-12</v>
      </c>
      <c r="FI196" s="62">
        <f t="shared" ref="FI196:FI203" si="199">FH196+(EZ196+FA196)*44/12</f>
        <v>293.33333333334002</v>
      </c>
      <c r="FJ196" s="62">
        <f ca="1">AVERAGE(OFFSET($FI$3,0,0,'Données projet'!$E$16+1,1))-AVERAGE(OFFSET($H$3,0,0,'Données projet'!$E$16+1,1))</f>
        <v>385.97853124853452</v>
      </c>
      <c r="FK196" s="62">
        <f t="shared" si="156"/>
        <v>300.99118099739695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132.280299502248</v>
      </c>
      <c r="T197" s="62">
        <f t="shared" ref="T197:T203" si="204">$T$3</f>
        <v>337.98099449405339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2.4344001039655141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3.8066570195848307E-25</v>
      </c>
      <c r="AC197" s="24">
        <f t="shared" si="163"/>
        <v>2.4344001039655141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-5.1159076974727213E-13</v>
      </c>
      <c r="AJ197" s="14">
        <f>AI197*VLOOKUP('Données projet'!$B$10,Paramètres!$A$1:$I$89,3,0)*VLOOKUP('Données projet'!$B$10,Paramètres!$A$1:$I$89,5,0)</f>
        <v>-4.6288732846733184E-13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430.40491895612814</v>
      </c>
      <c r="AO197" s="62">
        <f t="shared" ref="AO197:AO203" si="205">$AO$3</f>
        <v>231.36959598460686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projet'!$B$11,Paramètres!$A$1:$I$89,3,0)*VLOOKUP('Données projet'!$B$11,Paramètres!$A$1:$I$89,5,0)</f>
        <v>6.7984728957526396E-14</v>
      </c>
      <c r="BF197" s="14">
        <f t="shared" si="167"/>
        <v>1.0682447123141398E-12</v>
      </c>
      <c r="BG197" s="22">
        <f t="shared" si="168"/>
        <v>1.978932943548152E-12</v>
      </c>
      <c r="BH197" s="62">
        <f t="shared" si="194"/>
        <v>293.3333333333353</v>
      </c>
      <c r="BI197" s="62">
        <f ca="1">AVERAGE(OFFSET($BH$3,0,0,'Données projet'!$E$11+1,1))-AVERAGE(OFFSET($H$3,0,0,'Données projet'!$E$11+1,1))</f>
        <v>295.83974441964551</v>
      </c>
      <c r="BJ197" s="62">
        <f t="shared" ref="BJ197:BJ203" si="206">$BJ$3</f>
        <v>212.24900914818096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-5.6843418860808015E-14</v>
      </c>
      <c r="BZ197" s="14">
        <f>BY197*VLOOKUP('Données projet'!$B$12,Paramètres!$A$1:$I$89,3,0)*VLOOKUP('Données projet'!$B$12,Paramètres!$A$1:$I$89,5,0)</f>
        <v>-3.2514435588382188E-14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309.71642374647882</v>
      </c>
      <c r="CE197" s="62">
        <f t="shared" ref="CE197:CE203" si="207">$CE$3</f>
        <v>266.63880397664315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2.5953699129884111E-2</v>
      </c>
      <c r="CM197" s="23">
        <f>EXP(-LN(2)/2)*CM196+(1-EXP(-LN(2)/2))/(LN(2)/2)*CG197*CJ197*VLOOKUP('Données projet'!$B$12,Paramètres!$A$1:$I$89,3,0)*0.475*44/12</f>
        <v>1.6452973800430564E-24</v>
      </c>
      <c r="CN197" s="24">
        <f t="shared" si="172"/>
        <v>2.5953699129884111E-2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-1.7053025658242404E-13</v>
      </c>
      <c r="CU197" s="18">
        <f>CT197*VLOOKUP('Données projet'!$B$13,Paramètres!$A$1:$I$89,3,0)*VLOOKUP('Données projet'!$B$13,Paramètres!$A$1:$I$89,5,0)</f>
        <v>-1.3567387213697657E-13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312.53381881960331</v>
      </c>
      <c r="CZ197" s="62">
        <f t="shared" ref="CZ197:CZ203" si="208">$CZ$3</f>
        <v>342.06887933351783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-5.1159076974727213E-13</v>
      </c>
      <c r="DP197" s="18">
        <f>DO197*VLOOKUP('Données projet'!$B$14,Paramètres!$A$1:$I$89,3,0)*VLOOKUP('Données projet'!$B$14,Paramètres!$A$1:$I$89,5,0)</f>
        <v>-5.5067630455596371E-13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503.92230226365683</v>
      </c>
      <c r="DU197" s="62">
        <f t="shared" ref="DU197:DU203" si="209">$DU$3</f>
        <v>267.2998309535638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-5.1159076974727213E-13</v>
      </c>
      <c r="EK197" s="18">
        <f>EJ197*VLOOKUP('Données projet'!$B$15,Paramètres!$A$1:$I$89,3,0)*VLOOKUP('Données projet'!$B$15,Paramètres!$A$1:$I$89,5,0)</f>
        <v>-4.9481059249956164E-13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457.16923206840744</v>
      </c>
      <c r="EP197" s="62">
        <f t="shared" ref="EP197:EP203" si="210">$EP$3</f>
        <v>244.45149244446094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3.979039320256561E-13</v>
      </c>
      <c r="FF197" s="18">
        <f>FE197*VLOOKUP('Données projet'!$B$16,Paramètres!$A$1:$I$89,3,0)*VLOOKUP('Données projet'!$B$16,Paramètres!$A$1:$I$89,5,0)</f>
        <v>2.669139576028101E-13</v>
      </c>
      <c r="FG197" s="14">
        <f t="shared" si="182"/>
        <v>3.5767923834585247E-12</v>
      </c>
      <c r="FH197" s="22">
        <f t="shared" si="183"/>
        <v>6.6944552106818241E-12</v>
      </c>
      <c r="FI197" s="62">
        <f t="shared" si="199"/>
        <v>293.33333333334002</v>
      </c>
      <c r="FJ197" s="62">
        <f ca="1">AVERAGE(OFFSET($FI$3,0,0,'Données projet'!$E$16+1,1))-AVERAGE(OFFSET($H$3,0,0,'Données projet'!$E$16+1,1))</f>
        <v>385.97853124853452</v>
      </c>
      <c r="FK197" s="62">
        <f t="shared" ref="FK197:FK203" si="211">$FK$3</f>
        <v>300.99118099739695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132.280299502248</v>
      </c>
      <c r="T198" s="62">
        <f t="shared" si="204"/>
        <v>337.98099449405339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2.3866630027641982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2.691712992199806E-25</v>
      </c>
      <c r="AC198" s="24">
        <f t="shared" si="163"/>
        <v>2.3866630027641982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-5.1159076974727213E-13</v>
      </c>
      <c r="AJ198" s="14">
        <f>AI198*VLOOKUP('Données projet'!$B$10,Paramètres!$A$1:$I$89,3,0)*VLOOKUP('Données projet'!$B$10,Paramètres!$A$1:$I$89,5,0)</f>
        <v>-4.6288732846733184E-13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430.40491895612814</v>
      </c>
      <c r="AO198" s="62">
        <f t="shared" si="205"/>
        <v>231.36959598460686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projet'!$B$11,Paramètres!$A$1:$I$89,3,0)*VLOOKUP('Données projet'!$B$11,Paramètres!$A$1:$I$89,5,0)</f>
        <v>6.7984728957526396E-14</v>
      </c>
      <c r="BF198" s="14">
        <f t="shared" si="167"/>
        <v>1.0682447123141398E-12</v>
      </c>
      <c r="BG198" s="22">
        <f t="shared" si="168"/>
        <v>1.978932943548152E-12</v>
      </c>
      <c r="BH198" s="62">
        <f t="shared" si="194"/>
        <v>293.3333333333353</v>
      </c>
      <c r="BI198" s="62">
        <f ca="1">AVERAGE(OFFSET($BH$3,0,0,'Données projet'!$E$11+1,1))-AVERAGE(OFFSET($H$3,0,0,'Données projet'!$E$11+1,1))</f>
        <v>295.83974441964551</v>
      </c>
      <c r="BJ198" s="62">
        <f t="shared" si="206"/>
        <v>212.24900914818096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-5.6843418860808015E-14</v>
      </c>
      <c r="BZ198" s="14">
        <f>BY198*VLOOKUP('Données projet'!$B$12,Paramètres!$A$1:$I$89,3,0)*VLOOKUP('Données projet'!$B$12,Paramètres!$A$1:$I$89,5,0)</f>
        <v>-3.2514435588382188E-14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309.71642374647882</v>
      </c>
      <c r="CE198" s="62">
        <f t="shared" si="207"/>
        <v>266.63880397664315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2.5243993862331709E-2</v>
      </c>
      <c r="CM198" s="23">
        <f>EXP(-LN(2)/2)*CM197+(1-EXP(-LN(2)/2))/(LN(2)/2)*CG198*CJ198*VLOOKUP('Données projet'!$B$12,Paramètres!$A$1:$I$89,3,0)*0.475*44/12</f>
        <v>1.1634009344969055E-24</v>
      </c>
      <c r="CN198" s="24">
        <f t="shared" si="172"/>
        <v>2.5243993862331709E-2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-1.7053025658242404E-13</v>
      </c>
      <c r="CU198" s="18">
        <f>CT198*VLOOKUP('Données projet'!$B$13,Paramètres!$A$1:$I$89,3,0)*VLOOKUP('Données projet'!$B$13,Paramètres!$A$1:$I$89,5,0)</f>
        <v>-1.3567387213697657E-13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312.53381881960331</v>
      </c>
      <c r="CZ198" s="62">
        <f t="shared" si="208"/>
        <v>342.06887933351783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-5.1159076974727213E-13</v>
      </c>
      <c r="DP198" s="18">
        <f>DO198*VLOOKUP('Données projet'!$B$14,Paramètres!$A$1:$I$89,3,0)*VLOOKUP('Données projet'!$B$14,Paramètres!$A$1:$I$89,5,0)</f>
        <v>-5.5067630455596371E-13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503.92230226365683</v>
      </c>
      <c r="DU198" s="62">
        <f t="shared" si="209"/>
        <v>267.2998309535638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-5.1159076974727213E-13</v>
      </c>
      <c r="EK198" s="18">
        <f>EJ198*VLOOKUP('Données projet'!$B$15,Paramètres!$A$1:$I$89,3,0)*VLOOKUP('Données projet'!$B$15,Paramètres!$A$1:$I$89,5,0)</f>
        <v>-4.9481059249956164E-13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457.16923206840744</v>
      </c>
      <c r="EP198" s="62">
        <f t="shared" si="210"/>
        <v>244.45149244446094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3.979039320256561E-13</v>
      </c>
      <c r="FF198" s="18">
        <f>FE198*VLOOKUP('Données projet'!$B$16,Paramètres!$A$1:$I$89,3,0)*VLOOKUP('Données projet'!$B$16,Paramètres!$A$1:$I$89,5,0)</f>
        <v>2.669139576028101E-13</v>
      </c>
      <c r="FG198" s="14">
        <f t="shared" si="182"/>
        <v>3.5767923834585247E-12</v>
      </c>
      <c r="FH198" s="22">
        <f t="shared" si="183"/>
        <v>6.6944552106818241E-12</v>
      </c>
      <c r="FI198" s="62">
        <f t="shared" si="199"/>
        <v>293.33333333334002</v>
      </c>
      <c r="FJ198" s="62">
        <f ca="1">AVERAGE(OFFSET($FI$3,0,0,'Données projet'!$E$16+1,1))-AVERAGE(OFFSET($H$3,0,0,'Données projet'!$E$16+1,1))</f>
        <v>385.97853124853452</v>
      </c>
      <c r="FK198" s="62">
        <f t="shared" si="211"/>
        <v>300.99118099739695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132.280299502248</v>
      </c>
      <c r="T199" s="62">
        <f t="shared" si="204"/>
        <v>337.98099449405339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2.3398619970006833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1.9033285097924154E-25</v>
      </c>
      <c r="AC199" s="24">
        <f t="shared" si="163"/>
        <v>2.3398619970006833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-5.1159076974727213E-13</v>
      </c>
      <c r="AJ199" s="14">
        <f>AI199*VLOOKUP('Données projet'!$B$10,Paramètres!$A$1:$I$89,3,0)*VLOOKUP('Données projet'!$B$10,Paramètres!$A$1:$I$89,5,0)</f>
        <v>-4.6288732846733184E-13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430.40491895612814</v>
      </c>
      <c r="AO199" s="62">
        <f t="shared" si="205"/>
        <v>231.36959598460686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projet'!$B$11,Paramètres!$A$1:$I$89,3,0)*VLOOKUP('Données projet'!$B$11,Paramètres!$A$1:$I$89,5,0)</f>
        <v>6.7984728957526396E-14</v>
      </c>
      <c r="BF199" s="14">
        <f t="shared" si="167"/>
        <v>1.0682447123141398E-12</v>
      </c>
      <c r="BG199" s="22">
        <f t="shared" si="168"/>
        <v>1.978932943548152E-12</v>
      </c>
      <c r="BH199" s="62">
        <f t="shared" si="194"/>
        <v>293.3333333333353</v>
      </c>
      <c r="BI199" s="62">
        <f ca="1">AVERAGE(OFFSET($BH$3,0,0,'Données projet'!$E$11+1,1))-AVERAGE(OFFSET($H$3,0,0,'Données projet'!$E$11+1,1))</f>
        <v>295.83974441964551</v>
      </c>
      <c r="BJ199" s="62">
        <f t="shared" si="206"/>
        <v>212.24900914818096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-5.6843418860808015E-14</v>
      </c>
      <c r="BZ199" s="14">
        <f>BY199*VLOOKUP('Données projet'!$B$12,Paramètres!$A$1:$I$89,3,0)*VLOOKUP('Données projet'!$B$12,Paramètres!$A$1:$I$89,5,0)</f>
        <v>-3.2514435588382188E-14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309.71642374647882</v>
      </c>
      <c r="CE199" s="62">
        <f t="shared" si="207"/>
        <v>266.63880397664315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2.4553695522642308E-2</v>
      </c>
      <c r="CM199" s="23">
        <f>EXP(-LN(2)/2)*CM198+(1-EXP(-LN(2)/2))/(LN(2)/2)*CG199*CJ199*VLOOKUP('Données projet'!$B$12,Paramètres!$A$1:$I$89,3,0)*0.475*44/12</f>
        <v>8.226486900215283E-25</v>
      </c>
      <c r="CN199" s="24">
        <f t="shared" si="172"/>
        <v>2.4553695522642308E-2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-1.7053025658242404E-13</v>
      </c>
      <c r="CU199" s="18">
        <f>CT199*VLOOKUP('Données projet'!$B$13,Paramètres!$A$1:$I$89,3,0)*VLOOKUP('Données projet'!$B$13,Paramètres!$A$1:$I$89,5,0)</f>
        <v>-1.3567387213697657E-13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312.53381881960331</v>
      </c>
      <c r="CZ199" s="62">
        <f t="shared" si="208"/>
        <v>342.06887933351783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-5.1159076974727213E-13</v>
      </c>
      <c r="DP199" s="18">
        <f>DO199*VLOOKUP('Données projet'!$B$14,Paramètres!$A$1:$I$89,3,0)*VLOOKUP('Données projet'!$B$14,Paramètres!$A$1:$I$89,5,0)</f>
        <v>-5.5067630455596371E-13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503.92230226365683</v>
      </c>
      <c r="DU199" s="62">
        <f t="shared" si="209"/>
        <v>267.2998309535638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-5.1159076974727213E-13</v>
      </c>
      <c r="EK199" s="18">
        <f>EJ199*VLOOKUP('Données projet'!$B$15,Paramètres!$A$1:$I$89,3,0)*VLOOKUP('Données projet'!$B$15,Paramètres!$A$1:$I$89,5,0)</f>
        <v>-4.9481059249956164E-13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457.16923206840744</v>
      </c>
      <c r="EP199" s="62">
        <f t="shared" si="210"/>
        <v>244.45149244446094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3.979039320256561E-13</v>
      </c>
      <c r="FF199" s="18">
        <f>FE199*VLOOKUP('Données projet'!$B$16,Paramètres!$A$1:$I$89,3,0)*VLOOKUP('Données projet'!$B$16,Paramètres!$A$1:$I$89,5,0)</f>
        <v>2.669139576028101E-13</v>
      </c>
      <c r="FG199" s="14">
        <f t="shared" si="182"/>
        <v>3.5767923834585247E-12</v>
      </c>
      <c r="FH199" s="22">
        <f t="shared" si="183"/>
        <v>6.6944552106818241E-12</v>
      </c>
      <c r="FI199" s="62">
        <f t="shared" si="199"/>
        <v>293.33333333334002</v>
      </c>
      <c r="FJ199" s="62">
        <f ca="1">AVERAGE(OFFSET($FI$3,0,0,'Données projet'!$E$16+1,1))-AVERAGE(OFFSET($H$3,0,0,'Données projet'!$E$16+1,1))</f>
        <v>385.97853124853452</v>
      </c>
      <c r="FK199" s="62">
        <f t="shared" si="211"/>
        <v>300.99118099739695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132.280299502248</v>
      </c>
      <c r="T200" s="62">
        <f t="shared" si="204"/>
        <v>337.98099449405339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2.2939787304143961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1.345856496099903E-25</v>
      </c>
      <c r="AC200" s="24">
        <f t="shared" si="163"/>
        <v>2.2939787304143961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-5.1159076974727213E-13</v>
      </c>
      <c r="AJ200" s="14">
        <f>AI200*VLOOKUP('Données projet'!$B$10,Paramètres!$A$1:$I$89,3,0)*VLOOKUP('Données projet'!$B$10,Paramètres!$A$1:$I$89,5,0)</f>
        <v>-4.6288732846733184E-13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430.40491895612814</v>
      </c>
      <c r="AO200" s="62">
        <f t="shared" si="205"/>
        <v>231.36959598460686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projet'!$B$11,Paramètres!$A$1:$I$89,3,0)*VLOOKUP('Données projet'!$B$11,Paramètres!$A$1:$I$89,5,0)</f>
        <v>6.7984728957526396E-14</v>
      </c>
      <c r="BF200" s="14">
        <f t="shared" si="167"/>
        <v>1.0682447123141398E-12</v>
      </c>
      <c r="BG200" s="22">
        <f t="shared" si="168"/>
        <v>1.978932943548152E-12</v>
      </c>
      <c r="BH200" s="62">
        <f t="shared" si="194"/>
        <v>293.3333333333353</v>
      </c>
      <c r="BI200" s="62">
        <f ca="1">AVERAGE(OFFSET($BH$3,0,0,'Données projet'!$E$11+1,1))-AVERAGE(OFFSET($H$3,0,0,'Données projet'!$E$11+1,1))</f>
        <v>295.83974441964551</v>
      </c>
      <c r="BJ200" s="62">
        <f t="shared" si="206"/>
        <v>212.24900914818096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-5.6843418860808015E-14</v>
      </c>
      <c r="BZ200" s="14">
        <f>BY200*VLOOKUP('Données projet'!$B$12,Paramètres!$A$1:$I$89,3,0)*VLOOKUP('Données projet'!$B$12,Paramètres!$A$1:$I$89,5,0)</f>
        <v>-3.2514435588382188E-14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309.71642374647882</v>
      </c>
      <c r="CE200" s="62">
        <f t="shared" si="207"/>
        <v>266.63880397664315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2.3882273427352926E-2</v>
      </c>
      <c r="CM200" s="23">
        <f>EXP(-LN(2)/2)*CM199+(1-EXP(-LN(2)/2))/(LN(2)/2)*CG200*CJ200*VLOOKUP('Données projet'!$B$12,Paramètres!$A$1:$I$89,3,0)*0.475*44/12</f>
        <v>5.8170046724845283E-25</v>
      </c>
      <c r="CN200" s="24">
        <f t="shared" si="172"/>
        <v>2.3882273427352926E-2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-1.7053025658242404E-13</v>
      </c>
      <c r="CU200" s="18">
        <f>CT200*VLOOKUP('Données projet'!$B$13,Paramètres!$A$1:$I$89,3,0)*VLOOKUP('Données projet'!$B$13,Paramètres!$A$1:$I$89,5,0)</f>
        <v>-1.3567387213697657E-13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312.53381881960331</v>
      </c>
      <c r="CZ200" s="62">
        <f t="shared" si="208"/>
        <v>342.06887933351783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-5.1159076974727213E-13</v>
      </c>
      <c r="DP200" s="18">
        <f>DO200*VLOOKUP('Données projet'!$B$14,Paramètres!$A$1:$I$89,3,0)*VLOOKUP('Données projet'!$B$14,Paramètres!$A$1:$I$89,5,0)</f>
        <v>-5.5067630455596371E-13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503.92230226365683</v>
      </c>
      <c r="DU200" s="62">
        <f t="shared" si="209"/>
        <v>267.2998309535638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-5.1159076974727213E-13</v>
      </c>
      <c r="EK200" s="18">
        <f>EJ200*VLOOKUP('Données projet'!$B$15,Paramètres!$A$1:$I$89,3,0)*VLOOKUP('Données projet'!$B$15,Paramètres!$A$1:$I$89,5,0)</f>
        <v>-4.9481059249956164E-13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457.16923206840744</v>
      </c>
      <c r="EP200" s="62">
        <f t="shared" si="210"/>
        <v>244.45149244446094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3.979039320256561E-13</v>
      </c>
      <c r="FF200" s="18">
        <f>FE200*VLOOKUP('Données projet'!$B$16,Paramètres!$A$1:$I$89,3,0)*VLOOKUP('Données projet'!$B$16,Paramètres!$A$1:$I$89,5,0)</f>
        <v>2.669139576028101E-13</v>
      </c>
      <c r="FG200" s="14">
        <f t="shared" si="182"/>
        <v>3.5767923834585247E-12</v>
      </c>
      <c r="FH200" s="22">
        <f t="shared" si="183"/>
        <v>6.6944552106818241E-12</v>
      </c>
      <c r="FI200" s="62">
        <f t="shared" si="199"/>
        <v>293.33333333334002</v>
      </c>
      <c r="FJ200" s="62">
        <f ca="1">AVERAGE(OFFSET($FI$3,0,0,'Données projet'!$E$16+1,1))-AVERAGE(OFFSET($H$3,0,0,'Données projet'!$E$16+1,1))</f>
        <v>385.97853124853452</v>
      </c>
      <c r="FK200" s="62">
        <f t="shared" si="211"/>
        <v>300.99118099739695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132.280299502248</v>
      </c>
      <c r="T201" s="62">
        <f t="shared" si="204"/>
        <v>337.98099449405339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2.2489952066998371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9.5166425489620768E-26</v>
      </c>
      <c r="AC201" s="24">
        <f t="shared" si="163"/>
        <v>2.2489952066998371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-5.1159076974727213E-13</v>
      </c>
      <c r="AJ201" s="14">
        <f>AI201*VLOOKUP('Données projet'!$B$10,Paramètres!$A$1:$I$89,3,0)*VLOOKUP('Données projet'!$B$10,Paramètres!$A$1:$I$89,5,0)</f>
        <v>-4.6288732846733184E-13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430.40491895612814</v>
      </c>
      <c r="AO201" s="62">
        <f t="shared" si="205"/>
        <v>231.36959598460686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projet'!$B$11,Paramètres!$A$1:$I$89,3,0)*VLOOKUP('Données projet'!$B$11,Paramètres!$A$1:$I$89,5,0)</f>
        <v>6.7984728957526396E-14</v>
      </c>
      <c r="BF201" s="14">
        <f t="shared" si="167"/>
        <v>1.0682447123141398E-12</v>
      </c>
      <c r="BG201" s="22">
        <f t="shared" si="168"/>
        <v>1.978932943548152E-12</v>
      </c>
      <c r="BH201" s="62">
        <f t="shared" si="194"/>
        <v>293.3333333333353</v>
      </c>
      <c r="BI201" s="62">
        <f ca="1">AVERAGE(OFFSET($BH$3,0,0,'Données projet'!$E$11+1,1))-AVERAGE(OFFSET($H$3,0,0,'Données projet'!$E$11+1,1))</f>
        <v>295.83974441964551</v>
      </c>
      <c r="BJ201" s="62">
        <f t="shared" si="206"/>
        <v>212.24900914818096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-5.6843418860808015E-14</v>
      </c>
      <c r="BZ201" s="14">
        <f>BY201*VLOOKUP('Données projet'!$B$12,Paramètres!$A$1:$I$89,3,0)*VLOOKUP('Données projet'!$B$12,Paramètres!$A$1:$I$89,5,0)</f>
        <v>-3.2514435588382188E-14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309.71642374647882</v>
      </c>
      <c r="CE201" s="62">
        <f t="shared" si="207"/>
        <v>266.63880397664315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2.3229211404567785E-2</v>
      </c>
      <c r="CM201" s="23">
        <f>EXP(-LN(2)/2)*CM200+(1-EXP(-LN(2)/2))/(LN(2)/2)*CG201*CJ201*VLOOKUP('Données projet'!$B$12,Paramètres!$A$1:$I$89,3,0)*0.475*44/12</f>
        <v>4.1132434501076424E-25</v>
      </c>
      <c r="CN201" s="24">
        <f t="shared" si="172"/>
        <v>2.3229211404567785E-2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-1.7053025658242404E-13</v>
      </c>
      <c r="CU201" s="18">
        <f>CT201*VLOOKUP('Données projet'!$B$13,Paramètres!$A$1:$I$89,3,0)*VLOOKUP('Données projet'!$B$13,Paramètres!$A$1:$I$89,5,0)</f>
        <v>-1.3567387213697657E-13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312.53381881960331</v>
      </c>
      <c r="CZ201" s="62">
        <f t="shared" si="208"/>
        <v>342.06887933351783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-5.1159076974727213E-13</v>
      </c>
      <c r="DP201" s="18">
        <f>DO201*VLOOKUP('Données projet'!$B$14,Paramètres!$A$1:$I$89,3,0)*VLOOKUP('Données projet'!$B$14,Paramètres!$A$1:$I$89,5,0)</f>
        <v>-5.5067630455596371E-13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503.92230226365683</v>
      </c>
      <c r="DU201" s="62">
        <f t="shared" si="209"/>
        <v>267.2998309535638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-5.1159076974727213E-13</v>
      </c>
      <c r="EK201" s="18">
        <f>EJ201*VLOOKUP('Données projet'!$B$15,Paramètres!$A$1:$I$89,3,0)*VLOOKUP('Données projet'!$B$15,Paramètres!$A$1:$I$89,5,0)</f>
        <v>-4.9481059249956164E-13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457.16923206840744</v>
      </c>
      <c r="EP201" s="62">
        <f t="shared" si="210"/>
        <v>244.45149244446094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3.979039320256561E-13</v>
      </c>
      <c r="FF201" s="18">
        <f>FE201*VLOOKUP('Données projet'!$B$16,Paramètres!$A$1:$I$89,3,0)*VLOOKUP('Données projet'!$B$16,Paramètres!$A$1:$I$89,5,0)</f>
        <v>2.669139576028101E-13</v>
      </c>
      <c r="FG201" s="14">
        <f t="shared" si="182"/>
        <v>3.5767923834585247E-12</v>
      </c>
      <c r="FH201" s="22">
        <f t="shared" si="183"/>
        <v>6.6944552106818241E-12</v>
      </c>
      <c r="FI201" s="62">
        <f t="shared" si="199"/>
        <v>293.33333333334002</v>
      </c>
      <c r="FJ201" s="62">
        <f ca="1">AVERAGE(OFFSET($FI$3,0,0,'Données projet'!$E$16+1,1))-AVERAGE(OFFSET($H$3,0,0,'Données projet'!$E$16+1,1))</f>
        <v>385.97853124853452</v>
      </c>
      <c r="FK201" s="62">
        <f t="shared" si="211"/>
        <v>300.99118099739695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132.280299502248</v>
      </c>
      <c r="T202" s="62">
        <f t="shared" si="204"/>
        <v>337.98099449405339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2.2048937824480803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6.729282480499515E-26</v>
      </c>
      <c r="AC202" s="24">
        <f t="shared" si="163"/>
        <v>2.2048937824480803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-5.1159076974727213E-13</v>
      </c>
      <c r="AJ202" s="14">
        <f>AI202*VLOOKUP('Données projet'!$B$10,Paramètres!$A$1:$I$89,3,0)*VLOOKUP('Données projet'!$B$10,Paramètres!$A$1:$I$89,5,0)</f>
        <v>-4.6288732846733184E-13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430.40491895612814</v>
      </c>
      <c r="AO202" s="62">
        <f t="shared" si="205"/>
        <v>231.36959598460686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projet'!$B$11,Paramètres!$A$1:$I$89,3,0)*VLOOKUP('Données projet'!$B$11,Paramètres!$A$1:$I$89,5,0)</f>
        <v>6.7984728957526396E-14</v>
      </c>
      <c r="BF202" s="14">
        <f t="shared" si="167"/>
        <v>1.0682447123141398E-12</v>
      </c>
      <c r="BG202" s="22">
        <f t="shared" si="168"/>
        <v>1.978932943548152E-12</v>
      </c>
      <c r="BH202" s="62">
        <f t="shared" si="194"/>
        <v>293.3333333333353</v>
      </c>
      <c r="BI202" s="62">
        <f ca="1">AVERAGE(OFFSET($BH$3,0,0,'Données projet'!$E$11+1,1))-AVERAGE(OFFSET($H$3,0,0,'Données projet'!$E$11+1,1))</f>
        <v>295.83974441964551</v>
      </c>
      <c r="BJ202" s="62">
        <f t="shared" si="206"/>
        <v>212.24900914818096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-5.6843418860808015E-14</v>
      </c>
      <c r="BZ202" s="14">
        <f>BY202*VLOOKUP('Données projet'!$B$12,Paramètres!$A$1:$I$89,3,0)*VLOOKUP('Données projet'!$B$12,Paramètres!$A$1:$I$89,5,0)</f>
        <v>-3.2514435588382188E-14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309.71642374647882</v>
      </c>
      <c r="CE202" s="62">
        <f t="shared" si="207"/>
        <v>266.63880397664315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2.2594007397138741E-2</v>
      </c>
      <c r="CM202" s="23">
        <f>EXP(-LN(2)/2)*CM201+(1-EXP(-LN(2)/2))/(LN(2)/2)*CG202*CJ202*VLOOKUP('Données projet'!$B$12,Paramètres!$A$1:$I$89,3,0)*0.475*44/12</f>
        <v>2.9085023362422646E-25</v>
      </c>
      <c r="CN202" s="24">
        <f t="shared" si="172"/>
        <v>2.2594007397138741E-2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-1.7053025658242404E-13</v>
      </c>
      <c r="CU202" s="18">
        <f>CT202*VLOOKUP('Données projet'!$B$13,Paramètres!$A$1:$I$89,3,0)*VLOOKUP('Données projet'!$B$13,Paramètres!$A$1:$I$89,5,0)</f>
        <v>-1.3567387213697657E-13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312.53381881960331</v>
      </c>
      <c r="CZ202" s="62">
        <f t="shared" si="208"/>
        <v>342.06887933351783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-5.1159076974727213E-13</v>
      </c>
      <c r="DP202" s="18">
        <f>DO202*VLOOKUP('Données projet'!$B$14,Paramètres!$A$1:$I$89,3,0)*VLOOKUP('Données projet'!$B$14,Paramètres!$A$1:$I$89,5,0)</f>
        <v>-5.5067630455596371E-13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503.92230226365683</v>
      </c>
      <c r="DU202" s="62">
        <f t="shared" si="209"/>
        <v>267.2998309535638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-5.1159076974727213E-13</v>
      </c>
      <c r="EK202" s="18">
        <f>EJ202*VLOOKUP('Données projet'!$B$15,Paramètres!$A$1:$I$89,3,0)*VLOOKUP('Données projet'!$B$15,Paramètres!$A$1:$I$89,5,0)</f>
        <v>-4.9481059249956164E-13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457.16923206840744</v>
      </c>
      <c r="EP202" s="62">
        <f t="shared" si="210"/>
        <v>244.45149244446094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3.979039320256561E-13</v>
      </c>
      <c r="FF202" s="18">
        <f>FE202*VLOOKUP('Données projet'!$B$16,Paramètres!$A$1:$I$89,3,0)*VLOOKUP('Données projet'!$B$16,Paramètres!$A$1:$I$89,5,0)</f>
        <v>2.669139576028101E-13</v>
      </c>
      <c r="FG202" s="14">
        <f t="shared" si="182"/>
        <v>3.5767923834585247E-12</v>
      </c>
      <c r="FH202" s="22">
        <f t="shared" si="183"/>
        <v>6.6944552106818241E-12</v>
      </c>
      <c r="FI202" s="62">
        <f t="shared" si="199"/>
        <v>293.33333333334002</v>
      </c>
      <c r="FJ202" s="62">
        <f ca="1">AVERAGE(OFFSET($FI$3,0,0,'Données projet'!$E$16+1,1))-AVERAGE(OFFSET($H$3,0,0,'Données projet'!$E$16+1,1))</f>
        <v>385.97853124853452</v>
      </c>
      <c r="FK202" s="62">
        <f t="shared" si="211"/>
        <v>300.99118099739695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132.280299502248</v>
      </c>
      <c r="T203" s="62">
        <f t="shared" si="204"/>
        <v>337.98099449405339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2.1616571602266874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4.7583212744810384E-26</v>
      </c>
      <c r="AC203" s="24">
        <f t="shared" si="163"/>
        <v>2.1616571602266874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-5.1159076974727213E-13</v>
      </c>
      <c r="AJ203" s="14">
        <f>AI203*VLOOKUP('Données projet'!$B$10,Paramètres!$A$1:$I$89,3,0)*VLOOKUP('Données projet'!$B$10,Paramètres!$A$1:$I$89,5,0)</f>
        <v>-4.6288732846733184E-13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430.40491895612814</v>
      </c>
      <c r="AO203" s="62">
        <f t="shared" si="205"/>
        <v>231.36959598460686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projet'!$B$11,Paramètres!$A$1:$I$89,3,0)*VLOOKUP('Données projet'!$B$11,Paramètres!$A$1:$I$89,5,0)</f>
        <v>6.7984728957526396E-14</v>
      </c>
      <c r="BF203" s="14">
        <f t="shared" si="167"/>
        <v>1.0682447123141398E-12</v>
      </c>
      <c r="BG203" s="22">
        <f t="shared" si="168"/>
        <v>1.978932943548152E-12</v>
      </c>
      <c r="BH203" s="62">
        <f t="shared" si="194"/>
        <v>293.3333333333353</v>
      </c>
      <c r="BI203" s="62">
        <f ca="1">AVERAGE(OFFSET($BH$3,0,0,'Données projet'!$E$11+1,1))-AVERAGE(OFFSET($H$3,0,0,'Données projet'!$E$11+1,1))</f>
        <v>295.83974441964551</v>
      </c>
      <c r="BJ203" s="62">
        <f t="shared" si="206"/>
        <v>212.24900914818096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-5.6843418860808015E-14</v>
      </c>
      <c r="BZ203" s="14">
        <f>BY203*VLOOKUP('Données projet'!$B$12,Paramètres!$A$1:$I$89,3,0)*VLOOKUP('Données projet'!$B$12,Paramètres!$A$1:$I$89,5,0)</f>
        <v>-3.2514435588382188E-14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309.71642374647882</v>
      </c>
      <c r="CE203" s="62">
        <f t="shared" si="207"/>
        <v>266.63880397664315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2.1976173076696772E-2</v>
      </c>
      <c r="CM203" s="23">
        <f>EXP(-LN(2)/2)*CM202+(1-EXP(-LN(2)/2))/(LN(2)/2)*CG203*CJ203*VLOOKUP('Données projet'!$B$12,Paramètres!$A$1:$I$89,3,0)*0.475*44/12</f>
        <v>2.0566217250538214E-25</v>
      </c>
      <c r="CN203" s="24">
        <f t="shared" si="172"/>
        <v>2.1976173076696772E-2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-1.7053025658242404E-13</v>
      </c>
      <c r="CU203" s="18">
        <f>CT203*VLOOKUP('Données projet'!$B$13,Paramètres!$A$1:$I$89,3,0)*VLOOKUP('Données projet'!$B$13,Paramètres!$A$1:$I$89,5,0)</f>
        <v>-1.3567387213697657E-13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312.53381881960331</v>
      </c>
      <c r="CZ203" s="62">
        <f t="shared" si="208"/>
        <v>342.06887933351783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-5.1159076974727213E-13</v>
      </c>
      <c r="DP203" s="18">
        <f>DO203*VLOOKUP('Données projet'!$B$14,Paramètres!$A$1:$I$89,3,0)*VLOOKUP('Données projet'!$B$14,Paramètres!$A$1:$I$89,5,0)</f>
        <v>-5.5067630455596371E-13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503.92230226365683</v>
      </c>
      <c r="DU203" s="62">
        <f t="shared" si="209"/>
        <v>267.2998309535638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-5.1159076974727213E-13</v>
      </c>
      <c r="EK203" s="18">
        <f>EJ203*VLOOKUP('Données projet'!$B$15,Paramètres!$A$1:$I$89,3,0)*VLOOKUP('Données projet'!$B$15,Paramètres!$A$1:$I$89,5,0)</f>
        <v>-4.9481059249956164E-13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457.16923206840744</v>
      </c>
      <c r="EP203" s="62">
        <f t="shared" si="210"/>
        <v>244.45149244446094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3.979039320256561E-13</v>
      </c>
      <c r="FF203" s="18">
        <f>FE203*VLOOKUP('Données projet'!$B$16,Paramètres!$A$1:$I$89,3,0)*VLOOKUP('Données projet'!$B$16,Paramètres!$A$1:$I$89,5,0)</f>
        <v>2.669139576028101E-13</v>
      </c>
      <c r="FG203" s="14">
        <f t="shared" si="182"/>
        <v>3.5767923834585247E-12</v>
      </c>
      <c r="FH203" s="22">
        <f t="shared" si="183"/>
        <v>6.6944552106818241E-12</v>
      </c>
      <c r="FI203" s="62">
        <f t="shared" si="199"/>
        <v>293.33333333334002</v>
      </c>
      <c r="FJ203" s="62">
        <f ca="1">AVERAGE(OFFSET($FI$3,0,0,'Données projet'!$E$16+1,1))-AVERAGE(OFFSET($H$3,0,0,'Données projet'!$E$16+1,1))</f>
        <v>385.97853124853452</v>
      </c>
      <c r="FK203" s="62">
        <f t="shared" si="211"/>
        <v>300.99118099739695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1.2968395546510096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1.2054868146447177</v>
      </c>
      <c r="BA205" s="88">
        <f>EXP(LN('Données projet'!B88)/'Données projet'!A88)</f>
        <v>1.1932635389591795</v>
      </c>
      <c r="BV205" s="88">
        <f>EXP(LN('Données projet'!B114)/'Données projet'!A114)</f>
        <v>1.2287866875939204</v>
      </c>
      <c r="CQ205" s="88">
        <f>EXP(LN('Données projet'!B140)/'Données projet'!A140)</f>
        <v>1.2721747796233518</v>
      </c>
      <c r="DL205" s="88">
        <f>EXP(LN('Données projet'!B166)/'Données projet'!A166)</f>
        <v>1.2054868146447177</v>
      </c>
      <c r="EG205" s="88">
        <f>EXP(LN('Données projet'!B192)/'Données projet'!A192)</f>
        <v>1.2054868146447177</v>
      </c>
      <c r="FB205" s="88">
        <f>EXP(LN('Données projet'!B218)/'Données projet'!A218)</f>
        <v>1.296223046030661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opLeftCell="F1"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Koster</v>
      </c>
      <c r="B6" s="155">
        <f>'Données projet'!D9</f>
        <v>1.65</v>
      </c>
      <c r="C6" s="156">
        <f ca="1">IF(OR('Données projet'!B9="",'Données projet'!C9="",'Données projet'!C9=0%),0,Calculateur!S3)</f>
        <v>132.280299502248</v>
      </c>
      <c r="D6" s="156">
        <f>IF(OR('Données projet'!B9="",'Données projet'!C9="",'Données projet'!C9=0%),0,Calculateur!T3)</f>
        <v>337.98099449405339</v>
      </c>
      <c r="E6" s="156">
        <f ca="1">MIN(C6,D6)</f>
        <v>132.280299502248</v>
      </c>
      <c r="F6" s="156">
        <f ca="1">E6*B6</f>
        <v>218.26249417870918</v>
      </c>
      <c r="G6" s="156">
        <f ca="1">F6*(100%-'Données projet'!$C$24)*(100%-'Données projet'!$C$25)*(100%-'Données projet'!$C$26)*(100%-'Données projet'!$C$27)</f>
        <v>196.43624476083826</v>
      </c>
      <c r="H6" s="157">
        <f>IF(OR('Données projet'!B9="",'Données projet'!C9="",'Données projet'!C9=0%),0,AVERAGE(Calculateur!$AC$3:$AC$33)*B6)</f>
        <v>37.644531717596621</v>
      </c>
      <c r="I6" s="158">
        <f>H6*(100%-'Données projet'!$C$24)*(100%-'Données projet'!$C$25)*(100%-'Données projet'!$C$26)*(100%-'Données projet'!$C$27)</f>
        <v>33.880078545836959</v>
      </c>
      <c r="J6" s="159">
        <f>IF(OR('Données projet'!B9="",'Données projet'!C9="",'Données projet'!C9=0%),0,SUM(Calculateur!$V$3:$V$33)*VLOOKUP('Données projet'!$B$9,Paramètres!$A$1:$I$89,9,0)*B6)</f>
        <v>474.16049999999996</v>
      </c>
      <c r="K6" s="160">
        <f>J6*(100%-'Données projet'!$C$24)*(100%-'Données projet'!$C$25)*(100%-'Données projet'!$C$26)*(100%-'Données projet'!$C$27)</f>
        <v>426.74444999999997</v>
      </c>
      <c r="L6" s="161">
        <f ca="1">G6+I6+K6</f>
        <v>657.06077330667517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sessile</v>
      </c>
      <c r="B7" s="163">
        <f>'Données projet'!D10</f>
        <v>1.375</v>
      </c>
      <c r="C7" s="156">
        <f ca="1">IF(OR('Données projet'!B10="",'Données projet'!C10="",'Données projet'!C10=0%),0,Calculateur!AN3)</f>
        <v>430.40491895612814</v>
      </c>
      <c r="D7" s="156">
        <f>IF(OR('Données projet'!B10="",'Données projet'!C10="",'Données projet'!C10=0%),0,Calculateur!AO3)</f>
        <v>231.36959598460686</v>
      </c>
      <c r="E7" s="156">
        <f t="shared" ref="E7:E15" ca="1" si="0">MIN(C7,D7)</f>
        <v>231.36959598460686</v>
      </c>
      <c r="F7" s="156">
        <f t="shared" ref="F7:F15" ca="1" si="1">E7*B7</f>
        <v>318.13319447883441</v>
      </c>
      <c r="G7" s="156">
        <f ca="1">F7*(100%-'Données projet'!$C$24)*(100%-'Données projet'!$C$25)*(100%-'Données projet'!$C$26)*(100%-'Données projet'!$C$27)</f>
        <v>286.31987503095098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2.75</v>
      </c>
      <c r="K7" s="160">
        <f>J7*(100%-'Données projet'!$C$24)*(100%-'Données projet'!$C$25)*(100%-'Données projet'!$C$26)*(100%-'Données projet'!$C$27)</f>
        <v>2.4750000000000001</v>
      </c>
      <c r="L7" s="161">
        <f t="shared" ref="L7:L15" ca="1" si="2">G7+I7+K7</f>
        <v>288.794875030951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Pin laricio</v>
      </c>
      <c r="B8" s="163">
        <f>'Données projet'!D11</f>
        <v>0.55000000000000004</v>
      </c>
      <c r="C8" s="156">
        <f ca="1">IF(OR('Données projet'!B11="",'Données projet'!C11="",'Données projet'!C11=0%),0,Calculateur!BI3)</f>
        <v>295.83974441964551</v>
      </c>
      <c r="D8" s="156">
        <f>IF(OR('Données projet'!B11="",'Données projet'!C11="",'Données projet'!C11=0%),0,Calculateur!BJ3)</f>
        <v>212.24900914818096</v>
      </c>
      <c r="E8" s="156">
        <f t="shared" ca="1" si="0"/>
        <v>212.24900914818096</v>
      </c>
      <c r="F8" s="156">
        <f t="shared" ca="1" si="1"/>
        <v>116.73695503149953</v>
      </c>
      <c r="G8" s="156">
        <f ca="1">F8*(100%-'Données projet'!$C$24)*(100%-'Données projet'!$C$25)*(100%-'Données projet'!$C$26)*(100%-'Données projet'!$C$27)</f>
        <v>105.06325952834958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6.6219999999999999</v>
      </c>
      <c r="K8" s="160">
        <f>J8*(100%-'Données projet'!$C$24)*(100%-'Données projet'!$C$25)*(100%-'Données projet'!$C$26)*(100%-'Données projet'!$C$27)</f>
        <v>5.9598000000000004</v>
      </c>
      <c r="L8" s="161">
        <f t="shared" ca="1" si="2"/>
        <v>111.02305952834958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Pin sylvestre</v>
      </c>
      <c r="B9" s="163">
        <f>'Données projet'!D12</f>
        <v>0.55000000000000004</v>
      </c>
      <c r="C9" s="156">
        <f ca="1">IF(OR('Données projet'!B12="",'Données projet'!C12="",'Données projet'!C12=0%),0,Calculateur!CD3)</f>
        <v>309.71642374647882</v>
      </c>
      <c r="D9" s="156">
        <f>IF(OR('Données projet'!B12="",'Données projet'!C12="",'Données projet'!C12=0%),0,Calculateur!CE3)</f>
        <v>266.63880397664315</v>
      </c>
      <c r="E9" s="156">
        <f t="shared" ca="1" si="0"/>
        <v>266.63880397664315</v>
      </c>
      <c r="F9" s="156">
        <f t="shared" ca="1" si="1"/>
        <v>146.65134218715374</v>
      </c>
      <c r="G9" s="156">
        <f ca="1">F9*(100%-'Données projet'!$C$24)*(100%-'Données projet'!$C$25)*(100%-'Données projet'!$C$26)*(100%-'Données projet'!$C$27)</f>
        <v>131.98620796843838</v>
      </c>
      <c r="H9" s="164">
        <f>IF(OR('Données projet'!B12="",'Données projet'!C12="",'Données projet'!C12=0%),0,AVERAGE(Calculateur!$CN$3:$CN$33)*B9)</f>
        <v>0.45588608445116047</v>
      </c>
      <c r="I9" s="158">
        <f>H9*(100%-'Données projet'!$C$24)*(100%-'Données projet'!$C$25)*(100%-'Données projet'!$C$26)*(100%-'Données projet'!$C$27)</f>
        <v>0.41029747600604444</v>
      </c>
      <c r="J9" s="159">
        <f>IF(OR('Données projet'!B12="",'Données projet'!C12="",'Données projet'!C12=0%),0,SUM(Calculateur!$CG$3:$CG$33)*VLOOKUP('Données projet'!$B$12,Paramètres!$A$1:$I$89,9,0)*B9)</f>
        <v>15.609</v>
      </c>
      <c r="K9" s="160">
        <f>J9*(100%-'Données projet'!$C$24)*(100%-'Données projet'!$C$25)*(100%-'Données projet'!$C$26)*(100%-'Données projet'!$C$27)</f>
        <v>14.0481</v>
      </c>
      <c r="L9" s="161">
        <f t="shared" ca="1" si="2"/>
        <v>146.44460544444442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Erable plane</v>
      </c>
      <c r="B10" s="163">
        <f>'Données projet'!D13</f>
        <v>0.55000000000000004</v>
      </c>
      <c r="C10" s="156">
        <f ca="1">IF(OR('Données projet'!B13="",'Données projet'!C13="",'Données projet'!C13=0%),0,Calculateur!CY3)</f>
        <v>312.53381881960331</v>
      </c>
      <c r="D10" s="156">
        <f>IF(OR('Données projet'!B13="",'Données projet'!C13="",'Données projet'!C13=0%),0,Calculateur!CZ3)</f>
        <v>342.06887933351783</v>
      </c>
      <c r="E10" s="156">
        <f t="shared" ca="1" si="0"/>
        <v>312.53381881960331</v>
      </c>
      <c r="F10" s="156">
        <f t="shared" ca="1" si="1"/>
        <v>171.89360035078184</v>
      </c>
      <c r="G10" s="156">
        <f ca="1">F10*(100%-'Données projet'!$C$24)*(100%-'Données projet'!$C$25)*(100%-'Données projet'!$C$26)*(100%-'Données projet'!$C$27)</f>
        <v>154.70424031570366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13.612500000000001</v>
      </c>
      <c r="K10" s="160">
        <f>J10*(100%-'Données projet'!$C$24)*(100%-'Données projet'!$C$25)*(100%-'Données projet'!$C$26)*(100%-'Données projet'!$C$27)</f>
        <v>12.251250000000001</v>
      </c>
      <c r="L10" s="161">
        <f t="shared" ca="1" si="2"/>
        <v>166.95549031570366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Cormier</v>
      </c>
      <c r="B11" s="163">
        <f>'Données projet'!D14</f>
        <v>0.27500000000000002</v>
      </c>
      <c r="C11" s="156">
        <f ca="1">IF(OR('Données projet'!B14="",'Données projet'!C14="",'Données projet'!C14=0%),0,Calculateur!DT3)</f>
        <v>503.92230226365683</v>
      </c>
      <c r="D11" s="156">
        <f>IF(OR('Données projet'!B14="",'Données projet'!C14="",'Données projet'!C14=0%),0,Calculateur!DU3)</f>
        <v>267.2998309535638</v>
      </c>
      <c r="E11" s="156">
        <f t="shared" ca="1" si="0"/>
        <v>267.2998309535638</v>
      </c>
      <c r="F11" s="156">
        <f t="shared" ca="1" si="1"/>
        <v>73.507453512230057</v>
      </c>
      <c r="G11" s="156">
        <f ca="1">F11*(100%-'Données projet'!$C$24)*(100%-'Données projet'!$C$25)*(100%-'Données projet'!$C$26)*(100%-'Données projet'!$C$27)</f>
        <v>66.15670816100706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0.55000000000000004</v>
      </c>
      <c r="K11" s="160">
        <f>J11*(100%-'Données projet'!$C$24)*(100%-'Données projet'!$C$25)*(100%-'Données projet'!$C$26)*(100%-'Données projet'!$C$27)</f>
        <v>0.49500000000000005</v>
      </c>
      <c r="L11" s="161">
        <f t="shared" ca="1" si="2"/>
        <v>66.651708161007065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>Alisier torminal</v>
      </c>
      <c r="B12" s="163">
        <f>'Données projet'!D15</f>
        <v>0.27500000000000002</v>
      </c>
      <c r="C12" s="156">
        <f ca="1">IF(OR('Données projet'!B15="",'Données projet'!C15="",'Données projet'!C15=0%),0,Calculateur!EO3)</f>
        <v>457.16923206840744</v>
      </c>
      <c r="D12" s="156">
        <f>IF(OR('Données projet'!B15="",'Données projet'!C15="",'Données projet'!C15=0%),0,Calculateur!EP3)</f>
        <v>244.45149244446094</v>
      </c>
      <c r="E12" s="156">
        <f t="shared" ca="1" si="0"/>
        <v>244.45149244446094</v>
      </c>
      <c r="F12" s="156">
        <f t="shared" ca="1" si="1"/>
        <v>67.22416042222676</v>
      </c>
      <c r="G12" s="156">
        <f ca="1">F12*(100%-'Données projet'!$C$24)*(100%-'Données projet'!$C$25)*(100%-'Données projet'!$C$26)*(100%-'Données projet'!$C$27)</f>
        <v>60.501744380004084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0.55000000000000004</v>
      </c>
      <c r="K12" s="160">
        <f>J12*(100%-'Données projet'!$C$24)*(100%-'Données projet'!$C$25)*(100%-'Données projet'!$C$26)*(100%-'Données projet'!$C$27)</f>
        <v>0.49500000000000005</v>
      </c>
      <c r="L12" s="161">
        <f t="shared" ca="1" si="2"/>
        <v>60.996744380004081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>Tilleul</v>
      </c>
      <c r="B13" s="163">
        <f>'Données projet'!D16</f>
        <v>0.27500000000000002</v>
      </c>
      <c r="C13" s="156">
        <f ca="1">IF(OR('Données projet'!B16="",'Données projet'!C16="",'Données projet'!C16=0%),0,Calculateur!FJ3)</f>
        <v>385.97853124853452</v>
      </c>
      <c r="D13" s="156">
        <f>IF(OR('Données projet'!B16="",'Données projet'!C16="",'Données projet'!C16=0%),0,Calculateur!FK3)</f>
        <v>300.99118099739695</v>
      </c>
      <c r="E13" s="156">
        <f t="shared" ca="1" si="0"/>
        <v>300.99118099739695</v>
      </c>
      <c r="F13" s="156">
        <f t="shared" ca="1" si="1"/>
        <v>82.772574774284166</v>
      </c>
      <c r="G13" s="156">
        <f ca="1">F13*(100%-'Données projet'!$C$24)*(100%-'Données projet'!$C$25)*(100%-'Données projet'!$C$26)*(100%-'Données projet'!$C$27)</f>
        <v>74.495317296855745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4.6750000000000007</v>
      </c>
      <c r="K13" s="160">
        <f>J13*(100%-'Données projet'!$C$24)*(100%-'Données projet'!$C$25)*(100%-'Données projet'!$C$26)*(100%-'Données projet'!$C$27)</f>
        <v>4.2075000000000005</v>
      </c>
      <c r="L13" s="161">
        <f t="shared" ca="1" si="2"/>
        <v>78.702817296855741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1195.1817749357197</v>
      </c>
      <c r="G16" s="175">
        <f t="shared" ca="1" si="3"/>
        <v>1075.6635974421476</v>
      </c>
      <c r="H16" s="176">
        <f t="shared" si="3"/>
        <v>38.10041780204778</v>
      </c>
      <c r="I16" s="176">
        <f t="shared" si="3"/>
        <v>34.290376021843002</v>
      </c>
      <c r="J16" s="177">
        <f t="shared" si="3"/>
        <v>518.52899999999977</v>
      </c>
      <c r="K16" s="177">
        <f t="shared" si="3"/>
        <v>466.67609999999996</v>
      </c>
      <c r="L16" s="178">
        <f t="shared" ca="1" si="3"/>
        <v>1576.6300734639908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Koster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sessile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Pin laricio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Pin sylvestre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Erable plane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Cormier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>Alisier torminal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>Tilleul</v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topLeftCell="S4" zoomScale="80" zoomScaleNormal="80" workbookViewId="0">
      <selection activeCell="L26" sqref="L26:P2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Koster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6356.1928262814008</v>
      </c>
      <c r="U10" s="190">
        <f>'Données projet'!D9</f>
        <v>1.65</v>
      </c>
      <c r="V10" s="189">
        <f>U10*T10</f>
        <v>10487.71816336431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sessile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754.18531222281297</v>
      </c>
      <c r="U11" s="190">
        <f>'Données projet'!D10</f>
        <v>1.375</v>
      </c>
      <c r="V11" s="189">
        <f t="shared" ref="V11" si="0">U11*T11</f>
        <v>1037.0048043063678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laricio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1607.6536801212419</v>
      </c>
      <c r="U12" s="190">
        <f>'Données projet'!D11</f>
        <v>0.55000000000000004</v>
      </c>
      <c r="V12" s="189">
        <f t="shared" ref="V12:V19" si="1">U12*T12</f>
        <v>884.20952406668312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Pin sylvestre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1628.0054966323389</v>
      </c>
      <c r="U13" s="190">
        <f>'Données projet'!D12</f>
        <v>0.55000000000000004</v>
      </c>
      <c r="V13" s="189">
        <f t="shared" si="1"/>
        <v>895.40302314778648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Koster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Erable plane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1022.7888902924063</v>
      </c>
      <c r="U14" s="190">
        <f>'Données projet'!D13</f>
        <v>0.55000000000000004</v>
      </c>
      <c r="V14" s="189">
        <f t="shared" si="1"/>
        <v>562.53388966082355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>
        <v>0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Cormier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780.80375995704742</v>
      </c>
      <c r="U15" s="190">
        <f>'Données projet'!D14</f>
        <v>0.27500000000000002</v>
      </c>
      <c r="V15" s="189">
        <f t="shared" si="1"/>
        <v>214.72103398818805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>Alisier torminal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780.80375995704742</v>
      </c>
      <c r="U16" s="190">
        <f>'Données projet'!D15</f>
        <v>0.27500000000000002</v>
      </c>
      <c r="V16" s="189">
        <f t="shared" si="1"/>
        <v>214.72103398818805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>Tilleul</v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739.34406432206777</v>
      </c>
      <c r="U17" s="190">
        <f>'Données projet'!D16</f>
        <v>0.27500000000000002</v>
      </c>
      <c r="V17" s="189">
        <f t="shared" si="1"/>
        <v>203.31961768856866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8667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8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-33168.868909789089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9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22198.813781147644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10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273</v>
      </c>
      <c r="Q25" s="265"/>
      <c r="R25" s="25"/>
      <c r="S25" s="198" t="s">
        <v>266</v>
      </c>
      <c r="T25" s="336">
        <f ca="1">T23-T24</f>
        <v>-55367.682690936737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11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12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13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14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15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4036.1479602086624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16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17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18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273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19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261.24401913875602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20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249.99427668780481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21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239.22897290699024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22</v>
      </c>
      <c r="B37" s="193">
        <f>'Données projet'!D50</f>
        <v>279</v>
      </c>
      <c r="C37" s="206">
        <v>60</v>
      </c>
      <c r="D37" s="194">
        <f t="shared" si="2"/>
        <v>16740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228.92724680094767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219.06913569468676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209.63553654993953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200.60816894731053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191.96953966249819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183.70290876794087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175.79225719420182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168.2222556882314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sessile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160.97823510835545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154.04615799842625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147.41259138605386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141.06468075220465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134.99012512172698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129.17715322653299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123.61450069524692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118.29138822511668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113.19750069389158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108.3229671711881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8</v>
      </c>
      <c r="C55" s="206">
        <v>10</v>
      </c>
      <c r="D55" s="191">
        <f t="shared" ref="D55:D73" si="4">B55*C55</f>
        <v>80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103.65834179061066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0</v>
      </c>
      <c r="C56" s="206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str">
        <f>IF(O55+1&lt;=MIN('Données projet'!$E$9:$E$18),O55+1,"STOP")</f>
        <v>STOP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42</v>
      </c>
      <c r="C57" s="206">
        <v>10</v>
      </c>
      <c r="D57" s="191">
        <f t="shared" si="4"/>
        <v>420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0</v>
      </c>
      <c r="C58" s="206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42</v>
      </c>
      <c r="C59" s="206">
        <v>20</v>
      </c>
      <c r="D59" s="191">
        <f t="shared" si="4"/>
        <v>840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0</v>
      </c>
      <c r="C60" s="206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42</v>
      </c>
      <c r="C61" s="206">
        <v>30</v>
      </c>
      <c r="D61" s="191">
        <f t="shared" si="4"/>
        <v>1260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0</v>
      </c>
      <c r="C62" s="206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65</v>
      </c>
      <c r="B63" s="193">
        <f>'Données projet'!D71</f>
        <v>42</v>
      </c>
      <c r="C63" s="206">
        <v>40</v>
      </c>
      <c r="D63" s="191">
        <f t="shared" si="4"/>
        <v>1680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70</v>
      </c>
      <c r="B64" s="193">
        <f>'Données projet'!D72</f>
        <v>0</v>
      </c>
      <c r="C64" s="206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75</v>
      </c>
      <c r="B65" s="193">
        <f>'Données projet'!D73</f>
        <v>42</v>
      </c>
      <c r="C65" s="206">
        <v>50</v>
      </c>
      <c r="D65" s="191">
        <f t="shared" si="4"/>
        <v>2100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85</v>
      </c>
      <c r="B66" s="193">
        <f>'Données projet'!D74</f>
        <v>42</v>
      </c>
      <c r="C66" s="206">
        <v>60</v>
      </c>
      <c r="D66" s="191">
        <f t="shared" si="4"/>
        <v>2520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95</v>
      </c>
      <c r="B67" s="193">
        <f>'Données projet'!D75</f>
        <v>42</v>
      </c>
      <c r="C67" s="206">
        <v>70</v>
      </c>
      <c r="D67" s="191">
        <f t="shared" si="4"/>
        <v>2940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105</v>
      </c>
      <c r="B68" s="193">
        <f>'Données projet'!D76</f>
        <v>41</v>
      </c>
      <c r="C68" s="206">
        <v>80</v>
      </c>
      <c r="D68" s="191">
        <f t="shared" si="4"/>
        <v>3280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115</v>
      </c>
      <c r="B69" s="193">
        <f>'Données projet'!D77</f>
        <v>37</v>
      </c>
      <c r="C69" s="206">
        <v>90</v>
      </c>
      <c r="D69" s="191">
        <f t="shared" si="4"/>
        <v>3330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125</v>
      </c>
      <c r="B70" s="193">
        <f>'Données projet'!D78</f>
        <v>33</v>
      </c>
      <c r="C70" s="206">
        <v>100</v>
      </c>
      <c r="D70" s="191">
        <f t="shared" si="4"/>
        <v>3300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135</v>
      </c>
      <c r="B71" s="193">
        <f>'Données projet'!D79</f>
        <v>29</v>
      </c>
      <c r="C71" s="206">
        <v>110</v>
      </c>
      <c r="D71" s="191">
        <f t="shared" si="4"/>
        <v>3190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145</v>
      </c>
      <c r="B72" s="193">
        <f>'Données projet'!D80</f>
        <v>0</v>
      </c>
      <c r="C72" s="206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150</v>
      </c>
      <c r="B73" s="193">
        <f>'Données projet'!D81</f>
        <v>306</v>
      </c>
      <c r="C73" s="206">
        <v>200</v>
      </c>
      <c r="D73" s="191">
        <f t="shared" si="4"/>
        <v>61200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Pin laricio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27</v>
      </c>
      <c r="B85" s="193">
        <f>'Données projet'!D88</f>
        <v>15</v>
      </c>
      <c r="C85" s="204">
        <v>10</v>
      </c>
      <c r="D85" s="191">
        <f>B85*C85</f>
        <v>150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30</v>
      </c>
      <c r="B86" s="193">
        <f>'Données projet'!D89</f>
        <v>13</v>
      </c>
      <c r="C86" s="204">
        <v>10</v>
      </c>
      <c r="D86" s="191">
        <f t="shared" ref="D86:D104" si="6">B86*C86</f>
        <v>130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35</v>
      </c>
      <c r="B87" s="193">
        <f>'Données projet'!D90</f>
        <v>23</v>
      </c>
      <c r="C87" s="204">
        <v>15</v>
      </c>
      <c r="D87" s="191">
        <f t="shared" si="6"/>
        <v>345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40</v>
      </c>
      <c r="B88" s="193">
        <f>'Données projet'!D91</f>
        <v>34</v>
      </c>
      <c r="C88" s="204">
        <v>20</v>
      </c>
      <c r="D88" s="191">
        <f t="shared" si="6"/>
        <v>680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50</v>
      </c>
      <c r="B89" s="193">
        <f>'Données projet'!D92</f>
        <v>79</v>
      </c>
      <c r="C89" s="204">
        <v>30</v>
      </c>
      <c r="D89" s="191">
        <f t="shared" si="6"/>
        <v>2370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60</v>
      </c>
      <c r="B90" s="193">
        <f>'Données projet'!D93</f>
        <v>88</v>
      </c>
      <c r="C90" s="204">
        <v>40</v>
      </c>
      <c r="D90" s="191">
        <f t="shared" si="6"/>
        <v>3520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70</v>
      </c>
      <c r="B91" s="193">
        <f>'Données projet'!D94</f>
        <v>78</v>
      </c>
      <c r="C91" s="204">
        <v>40</v>
      </c>
      <c r="D91" s="191">
        <f t="shared" si="6"/>
        <v>3120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80</v>
      </c>
      <c r="B92" s="193">
        <f>'Données projet'!D95</f>
        <v>460</v>
      </c>
      <c r="C92" s="204">
        <v>50</v>
      </c>
      <c r="D92" s="191">
        <f t="shared" si="6"/>
        <v>23000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Pin sylvestre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22</v>
      </c>
      <c r="B116" s="193">
        <f>'Données projet'!D114</f>
        <v>9</v>
      </c>
      <c r="C116" s="204">
        <v>10</v>
      </c>
      <c r="D116" s="191">
        <f>B116*C116</f>
        <v>90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25</v>
      </c>
      <c r="B117" s="193">
        <f>'Données projet'!D115</f>
        <v>21</v>
      </c>
      <c r="C117" s="204">
        <v>10</v>
      </c>
      <c r="D117" s="191">
        <f t="shared" ref="D117:D135" si="8">B117*C117</f>
        <v>210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30</v>
      </c>
      <c r="B118" s="193">
        <f>'Données projet'!D116</f>
        <v>36</v>
      </c>
      <c r="C118" s="204">
        <v>10</v>
      </c>
      <c r="D118" s="191">
        <f t="shared" si="8"/>
        <v>360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35</v>
      </c>
      <c r="B119" s="193">
        <f>'Données projet'!D117</f>
        <v>49</v>
      </c>
      <c r="C119" s="204">
        <v>15</v>
      </c>
      <c r="D119" s="191">
        <f t="shared" si="8"/>
        <v>735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40</v>
      </c>
      <c r="B120" s="193">
        <f>'Données projet'!D118</f>
        <v>42</v>
      </c>
      <c r="C120" s="204">
        <v>20</v>
      </c>
      <c r="D120" s="191">
        <f t="shared" si="8"/>
        <v>840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45</v>
      </c>
      <c r="B121" s="193">
        <f>'Données projet'!D119</f>
        <v>38</v>
      </c>
      <c r="C121" s="204">
        <v>25</v>
      </c>
      <c r="D121" s="191">
        <f t="shared" si="8"/>
        <v>950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50</v>
      </c>
      <c r="B122" s="193">
        <f>'Données projet'!D120</f>
        <v>37</v>
      </c>
      <c r="C122" s="204">
        <v>30</v>
      </c>
      <c r="D122" s="191">
        <f t="shared" si="8"/>
        <v>1110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58</v>
      </c>
      <c r="B123" s="193">
        <f>'Données projet'!D121</f>
        <v>48</v>
      </c>
      <c r="C123" s="204">
        <v>35</v>
      </c>
      <c r="D123" s="191">
        <f t="shared" si="8"/>
        <v>1680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66</v>
      </c>
      <c r="B124" s="193">
        <f>'Données projet'!D122</f>
        <v>50</v>
      </c>
      <c r="C124" s="204">
        <v>40</v>
      </c>
      <c r="D124" s="191">
        <f t="shared" si="8"/>
        <v>2000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74</v>
      </c>
      <c r="B125" s="193">
        <f>'Données projet'!D123</f>
        <v>20</v>
      </c>
      <c r="C125" s="204">
        <v>40</v>
      </c>
      <c r="D125" s="191">
        <f t="shared" si="8"/>
        <v>800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82</v>
      </c>
      <c r="B126" s="193">
        <f>'Données projet'!D124</f>
        <v>444</v>
      </c>
      <c r="C126" s="204">
        <v>50</v>
      </c>
      <c r="D126" s="191">
        <f t="shared" si="8"/>
        <v>22200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Erable plane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15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20</v>
      </c>
      <c r="B148" s="187">
        <f>'Données projet'!D141</f>
        <v>43</v>
      </c>
      <c r="C148" s="204">
        <v>10</v>
      </c>
      <c r="D148" s="194">
        <f t="shared" ref="D148:D166" si="10">B148*C148</f>
        <v>430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25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30</v>
      </c>
      <c r="B150" s="187">
        <f>'Données projet'!D143</f>
        <v>56</v>
      </c>
      <c r="C150" s="204">
        <v>10</v>
      </c>
      <c r="D150" s="194">
        <f t="shared" si="10"/>
        <v>560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35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40</v>
      </c>
      <c r="B152" s="187">
        <f>'Données projet'!D145</f>
        <v>56</v>
      </c>
      <c r="C152" s="204">
        <v>15</v>
      </c>
      <c r="D152" s="194">
        <f t="shared" si="10"/>
        <v>840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45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50</v>
      </c>
      <c r="B154" s="187">
        <f>'Données projet'!D147</f>
        <v>39</v>
      </c>
      <c r="C154" s="204">
        <v>15</v>
      </c>
      <c r="D154" s="194">
        <f t="shared" si="10"/>
        <v>585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55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60</v>
      </c>
      <c r="B156" s="187">
        <f>'Données projet'!D149</f>
        <v>25</v>
      </c>
      <c r="C156" s="204">
        <v>20</v>
      </c>
      <c r="D156" s="194">
        <f t="shared" si="10"/>
        <v>500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65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70</v>
      </c>
      <c r="B158" s="187">
        <f>'Données projet'!D151</f>
        <v>21</v>
      </c>
      <c r="C158" s="204">
        <v>30</v>
      </c>
      <c r="D158" s="194">
        <f t="shared" si="10"/>
        <v>630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75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80</v>
      </c>
      <c r="B160" s="187">
        <f>'Données projet'!D153</f>
        <v>285</v>
      </c>
      <c r="C160" s="204">
        <v>50</v>
      </c>
      <c r="D160" s="194">
        <f t="shared" si="10"/>
        <v>14250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Cormier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20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25</v>
      </c>
      <c r="B179" s="193">
        <f>'Données projet'!D167</f>
        <v>8</v>
      </c>
      <c r="C179" s="206">
        <v>10</v>
      </c>
      <c r="D179" s="191">
        <f t="shared" ref="D179:D197" si="11">B179*C179</f>
        <v>80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30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35</v>
      </c>
      <c r="B181" s="193">
        <f>'Données projet'!D169</f>
        <v>42</v>
      </c>
      <c r="C181" s="206">
        <v>10</v>
      </c>
      <c r="D181" s="191">
        <f t="shared" si="11"/>
        <v>420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40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45</v>
      </c>
      <c r="B183" s="193">
        <f>'Données projet'!D171</f>
        <v>42</v>
      </c>
      <c r="C183" s="206">
        <v>20</v>
      </c>
      <c r="D183" s="191">
        <f t="shared" si="11"/>
        <v>840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50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55</v>
      </c>
      <c r="B185" s="193">
        <f>'Données projet'!D173</f>
        <v>42</v>
      </c>
      <c r="C185" s="206">
        <v>30</v>
      </c>
      <c r="D185" s="191">
        <f t="shared" si="11"/>
        <v>1260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60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65</v>
      </c>
      <c r="B187" s="193">
        <f>'Données projet'!D175</f>
        <v>42</v>
      </c>
      <c r="C187" s="206">
        <v>40</v>
      </c>
      <c r="D187" s="191">
        <f t="shared" si="11"/>
        <v>1680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70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75</v>
      </c>
      <c r="B189" s="193">
        <f>'Données projet'!D177</f>
        <v>42</v>
      </c>
      <c r="C189" s="206">
        <v>50</v>
      </c>
      <c r="D189" s="191">
        <f t="shared" si="11"/>
        <v>2100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85</v>
      </c>
      <c r="B190" s="193">
        <f>'Données projet'!D178</f>
        <v>42</v>
      </c>
      <c r="C190" s="206">
        <v>60</v>
      </c>
      <c r="D190" s="191">
        <f t="shared" si="11"/>
        <v>2520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95</v>
      </c>
      <c r="B191" s="193">
        <f>'Données projet'!D179</f>
        <v>42</v>
      </c>
      <c r="C191" s="206">
        <v>70</v>
      </c>
      <c r="D191" s="191">
        <f t="shared" si="11"/>
        <v>2940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105</v>
      </c>
      <c r="B192" s="193">
        <f>'Données projet'!D180</f>
        <v>41</v>
      </c>
      <c r="C192" s="206">
        <v>80</v>
      </c>
      <c r="D192" s="191">
        <f t="shared" si="11"/>
        <v>3280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115</v>
      </c>
      <c r="B193" s="193">
        <f>'Données projet'!D181</f>
        <v>37</v>
      </c>
      <c r="C193" s="206">
        <v>90</v>
      </c>
      <c r="D193" s="191">
        <f t="shared" si="11"/>
        <v>3330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125</v>
      </c>
      <c r="B194" s="193">
        <f>'Données projet'!D182</f>
        <v>33</v>
      </c>
      <c r="C194" s="206">
        <v>100</v>
      </c>
      <c r="D194" s="191">
        <f t="shared" si="11"/>
        <v>3300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135</v>
      </c>
      <c r="B195" s="193">
        <f>'Données projet'!D183</f>
        <v>29</v>
      </c>
      <c r="C195" s="206">
        <v>110</v>
      </c>
      <c r="D195" s="191">
        <f t="shared" si="11"/>
        <v>3190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145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150</v>
      </c>
      <c r="B197" s="193">
        <f>'Données projet'!D185</f>
        <v>306</v>
      </c>
      <c r="C197" s="206">
        <v>200</v>
      </c>
      <c r="D197" s="191">
        <f t="shared" si="11"/>
        <v>61200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>Alisier torminal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20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25</v>
      </c>
      <c r="B210" s="193">
        <f>'Données projet'!D193</f>
        <v>8</v>
      </c>
      <c r="C210" s="206">
        <v>10</v>
      </c>
      <c r="D210" s="191">
        <f t="shared" ref="D210:D228" si="12">B210*C210</f>
        <v>80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30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35</v>
      </c>
      <c r="B212" s="193">
        <f>'Données projet'!D195</f>
        <v>42</v>
      </c>
      <c r="C212" s="206">
        <v>10</v>
      </c>
      <c r="D212" s="191">
        <f t="shared" si="12"/>
        <v>420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40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45</v>
      </c>
      <c r="B214" s="193">
        <f>'Données projet'!D197</f>
        <v>42</v>
      </c>
      <c r="C214" s="206">
        <v>20</v>
      </c>
      <c r="D214" s="191">
        <f t="shared" si="12"/>
        <v>840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50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55</v>
      </c>
      <c r="B216" s="193">
        <f>'Données projet'!D199</f>
        <v>42</v>
      </c>
      <c r="C216" s="206">
        <v>30</v>
      </c>
      <c r="D216" s="191">
        <f t="shared" si="12"/>
        <v>1260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60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65</v>
      </c>
      <c r="B218" s="193">
        <f>'Données projet'!D201</f>
        <v>42</v>
      </c>
      <c r="C218" s="206">
        <v>40</v>
      </c>
      <c r="D218" s="191">
        <f t="shared" si="12"/>
        <v>1680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70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75</v>
      </c>
      <c r="B220" s="193">
        <f>'Données projet'!D203</f>
        <v>42</v>
      </c>
      <c r="C220" s="206">
        <v>50</v>
      </c>
      <c r="D220" s="191">
        <f t="shared" si="12"/>
        <v>2100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85</v>
      </c>
      <c r="B221" s="193">
        <f>'Données projet'!D204</f>
        <v>42</v>
      </c>
      <c r="C221" s="206">
        <v>60</v>
      </c>
      <c r="D221" s="191">
        <f t="shared" si="12"/>
        <v>2520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95</v>
      </c>
      <c r="B222" s="193">
        <f>'Données projet'!D205</f>
        <v>42</v>
      </c>
      <c r="C222" s="206">
        <v>70</v>
      </c>
      <c r="D222" s="191">
        <f t="shared" si="12"/>
        <v>2940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105</v>
      </c>
      <c r="B223" s="193">
        <f>'Données projet'!D206</f>
        <v>41</v>
      </c>
      <c r="C223" s="206">
        <v>80</v>
      </c>
      <c r="D223" s="191">
        <f t="shared" si="12"/>
        <v>3280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115</v>
      </c>
      <c r="B224" s="193">
        <f>'Données projet'!D207</f>
        <v>37</v>
      </c>
      <c r="C224" s="206">
        <v>90</v>
      </c>
      <c r="D224" s="191">
        <f t="shared" si="12"/>
        <v>3330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125</v>
      </c>
      <c r="B225" s="193">
        <f>'Données projet'!D208</f>
        <v>33</v>
      </c>
      <c r="C225" s="206">
        <v>100</v>
      </c>
      <c r="D225" s="191">
        <f t="shared" si="12"/>
        <v>3300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135</v>
      </c>
      <c r="B226" s="193">
        <f>'Données projet'!D209</f>
        <v>29</v>
      </c>
      <c r="C226" s="206">
        <v>110</v>
      </c>
      <c r="D226" s="191">
        <f t="shared" si="12"/>
        <v>3190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145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150</v>
      </c>
      <c r="B228" s="193">
        <f>'Données projet'!D211</f>
        <v>306</v>
      </c>
      <c r="C228" s="206">
        <v>200</v>
      </c>
      <c r="D228" s="191">
        <f t="shared" si="12"/>
        <v>61200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>Tilleul</v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15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20</v>
      </c>
      <c r="B241" s="193">
        <f>'Données projet'!D219</f>
        <v>27</v>
      </c>
      <c r="C241" s="206">
        <v>10</v>
      </c>
      <c r="D241" s="191">
        <f t="shared" ref="D241:D259" si="13">B241*C241</f>
        <v>270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25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30</v>
      </c>
      <c r="B243" s="193">
        <f>'Données projet'!D221</f>
        <v>41</v>
      </c>
      <c r="C243" s="206">
        <v>10</v>
      </c>
      <c r="D243" s="191">
        <f t="shared" si="13"/>
        <v>410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35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40</v>
      </c>
      <c r="B245" s="193">
        <f>'Données projet'!D223</f>
        <v>44</v>
      </c>
      <c r="C245" s="206">
        <v>15</v>
      </c>
      <c r="D245" s="191">
        <f t="shared" si="13"/>
        <v>660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45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50</v>
      </c>
      <c r="B247" s="193">
        <f>'Données projet'!D225</f>
        <v>44</v>
      </c>
      <c r="C247" s="206">
        <v>15</v>
      </c>
      <c r="D247" s="191">
        <f t="shared" si="13"/>
        <v>660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55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60</v>
      </c>
      <c r="B249" s="193">
        <f>'Données projet'!D227</f>
        <v>41</v>
      </c>
      <c r="C249" s="206">
        <v>20</v>
      </c>
      <c r="D249" s="191">
        <f t="shared" si="13"/>
        <v>820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65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70</v>
      </c>
      <c r="B251" s="193">
        <f>'Données projet'!D229</f>
        <v>39</v>
      </c>
      <c r="C251" s="206">
        <v>25</v>
      </c>
      <c r="D251" s="191">
        <f t="shared" si="13"/>
        <v>975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75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80</v>
      </c>
      <c r="B253" s="193">
        <f>'Données projet'!D231</f>
        <v>35</v>
      </c>
      <c r="C253" s="206">
        <v>30</v>
      </c>
      <c r="D253" s="191">
        <f t="shared" si="13"/>
        <v>1050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85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90</v>
      </c>
      <c r="B255" s="193">
        <f>'Données projet'!D233</f>
        <v>33</v>
      </c>
      <c r="C255" s="206">
        <v>30</v>
      </c>
      <c r="D255" s="191">
        <f t="shared" si="13"/>
        <v>990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95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100</v>
      </c>
      <c r="B257" s="193">
        <f>'Données projet'!D235</f>
        <v>28</v>
      </c>
      <c r="C257" s="206">
        <v>40</v>
      </c>
      <c r="D257" s="191">
        <f t="shared" si="13"/>
        <v>1120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105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110</v>
      </c>
      <c r="B259" s="193">
        <f>'Données projet'!D237</f>
        <v>417</v>
      </c>
      <c r="C259" s="206">
        <v>50</v>
      </c>
      <c r="D259" s="191">
        <f t="shared" si="13"/>
        <v>20850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OCCI_OG</cp:lastModifiedBy>
  <dcterms:created xsi:type="dcterms:W3CDTF">2021-02-01T08:22:39Z</dcterms:created>
  <dcterms:modified xsi:type="dcterms:W3CDTF">2022-07-11T10:16:34Z</dcterms:modified>
</cp:coreProperties>
</file>