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ele\Downloads\DYO\"/>
    </mc:Choice>
  </mc:AlternateContent>
  <xr:revisionPtr revIDLastSave="0" documentId="13_ncr:1_{1CF73A56-DF4F-4D7D-A2D5-DB98B04F14B9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1" i="6"/>
  <c r="I20" i="6"/>
  <c r="E296" i="6"/>
  <c r="E265" i="6"/>
  <c r="E234" i="6"/>
  <c r="E203" i="6"/>
  <c r="E172" i="6"/>
  <c r="E141" i="6"/>
  <c r="E110" i="6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BQ4" i="2"/>
  <c r="EC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HG10" i="2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FS28" i="2"/>
  <c r="HG28" i="2"/>
  <c r="HI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V33" i="2"/>
  <c r="EW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EB35" i="2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HG38" i="2"/>
  <c r="HI38" i="2"/>
  <c r="FS38" i="2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G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HI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W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HG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HH105" i="2"/>
  <c r="FS105" i="2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A107" i="2"/>
  <c r="HG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B113" i="2"/>
  <c r="EC113" i="2"/>
  <c r="FS113" i="2"/>
  <c r="HG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HH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HI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FS140" i="2"/>
  <c r="HH140" i="2"/>
  <c r="HG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FS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HH146" i="2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HI150" i="2"/>
  <c r="HG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N17" i="6" s="1"/>
  <c r="N19" i="6" s="1"/>
  <c r="T24" i="6" s="1"/>
  <c r="T25" i="6" s="1"/>
  <c r="T26" i="6" s="1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D154" i="2"/>
  <c r="EY154" i="2"/>
  <c r="DI154" i="2"/>
  <c r="HH155" i="2"/>
  <c r="HG155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D155" i="2"/>
  <c r="EY155" i="2"/>
  <c r="FS156" i="2"/>
  <c r="HH156" i="2"/>
  <c r="HI156" i="2"/>
  <c r="HG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H157" i="2"/>
  <c r="HG157" i="2"/>
  <c r="EX157" i="2"/>
  <c r="EC157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HH158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D159" i="2"/>
  <c r="FS160" i="2"/>
  <c r="DG160" i="2"/>
  <c r="HI160" i="2"/>
  <c r="HG160" i="2"/>
  <c r="EY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HG161" i="2"/>
  <c r="EX161" i="2"/>
  <c r="ED160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DI161" i="2"/>
  <c r="HG162" i="2"/>
  <c r="EW162" i="2"/>
  <c r="EY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Y162" i="2"/>
  <c r="HG163" i="2"/>
  <c r="HI163" i="2"/>
  <c r="EV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D163" i="2"/>
  <c r="EY163" i="2"/>
  <c r="DI163" i="2"/>
  <c r="FR164" i="2"/>
  <c r="FS164" i="2"/>
  <c r="EX164" i="2"/>
  <c r="EV164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ED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HH167" i="2"/>
  <c r="HI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DG168" i="2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EY171" i="2"/>
  <c r="HI172" i="2"/>
  <c r="HG172" i="2"/>
  <c r="EW172" i="2"/>
  <c r="EV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HI175" i="2"/>
  <c r="FS175" i="2"/>
  <c r="EW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FQ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FQ178" i="2"/>
  <c r="FS178" i="2"/>
  <c r="HG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HG179" i="2"/>
  <c r="ED178" i="2"/>
  <c r="DF179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HI180" i="2"/>
  <c r="ED179" i="2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D184" i="2"/>
  <c r="EY184" i="2"/>
  <c r="HI185" i="2"/>
  <c r="HH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B186" i="2"/>
  <c r="ED185" i="2"/>
  <c r="EA186" i="2"/>
  <c r="HH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EY186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D189" i="2"/>
  <c r="EV190" i="2"/>
  <c r="EY189" i="2"/>
  <c r="HH190" i="2"/>
  <c r="HG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Y191" i="2"/>
  <c r="EW192" i="2"/>
  <c r="HG192" i="2"/>
  <c r="HH192" i="2"/>
  <c r="HI192" i="2"/>
  <c r="EV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EY192" i="2"/>
  <c r="FQ193" i="2"/>
  <c r="HI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EB194" i="2"/>
  <c r="FQ194" i="2"/>
  <c r="HI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A195" i="2"/>
  <c r="EB195" i="2"/>
  <c r="ED194" i="2"/>
  <c r="EY194" i="2"/>
  <c r="FQ195" i="2"/>
  <c r="DH195" i="2"/>
  <c r="HG195" i="2"/>
  <c r="HI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C197" i="2"/>
  <c r="EW197" i="2"/>
  <c r="EY196" i="2"/>
  <c r="FS197" i="2"/>
  <c r="HH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DI200" i="2"/>
  <c r="HJ200" i="2"/>
  <c r="HG201" i="2"/>
  <c r="HH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HI202" i="2"/>
  <c r="HH202" i="2"/>
  <c r="HG202" i="2"/>
  <c r="ED201" i="2"/>
  <c r="EW202" i="2"/>
  <c r="EX202" i="2"/>
  <c r="FR202" i="2"/>
  <c r="FS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GT11" i="2" a="1"/>
  <c r="GT11" i="2" s="1"/>
  <c r="DN49" i="2" a="1"/>
  <c r="DN49" i="2" s="1"/>
  <c r="DN6" i="2" a="1"/>
  <c r="DN6" i="2" s="1"/>
  <c r="DO6" i="2" s="1"/>
  <c r="AX200" i="2"/>
  <c r="BC83" i="2" l="1" a="1"/>
  <c r="BC83" i="2" s="1"/>
  <c r="BC151" i="2" a="1"/>
  <c r="BC151" i="2" s="1"/>
  <c r="BC34" i="2" a="1"/>
  <c r="BC34" i="2" s="1"/>
  <c r="BC18" i="2" a="1"/>
  <c r="BC18" i="2" s="1"/>
  <c r="BC32" i="2" a="1"/>
  <c r="BC32" i="2" s="1"/>
  <c r="BC38" i="2" a="1"/>
  <c r="BC38" i="2" s="1"/>
  <c r="FY142" i="2" a="1"/>
  <c r="FY142" i="2" s="1"/>
  <c r="FY99" i="2" a="1"/>
  <c r="FY99" i="2" s="1"/>
  <c r="FY121" i="2" a="1"/>
  <c r="FY121" i="2" s="1"/>
  <c r="FY80" i="2" a="1"/>
  <c r="FY80" i="2" s="1"/>
  <c r="FY196" i="2" a="1"/>
  <c r="FY196" i="2" s="1"/>
  <c r="FY82" i="2" a="1"/>
  <c r="FY82" i="2" s="1"/>
  <c r="FY115" i="2" a="1"/>
  <c r="FY115" i="2" s="1"/>
  <c r="FY104" i="2" a="1"/>
  <c r="FY104" i="2" s="1"/>
  <c r="FY182" i="2" a="1"/>
  <c r="FY182" i="2" s="1"/>
  <c r="FY86" i="2" a="1"/>
  <c r="FY86" i="2" s="1"/>
  <c r="FY167" i="2" a="1"/>
  <c r="FY167" i="2" s="1"/>
  <c r="FY72" i="2" a="1"/>
  <c r="FY72" i="2" s="1"/>
  <c r="FY58" i="2" a="1"/>
  <c r="FY58" i="2" s="1"/>
  <c r="FY30" i="2" a="1"/>
  <c r="FY30" i="2" s="1"/>
  <c r="FY42" i="2" a="1"/>
  <c r="FY42" i="2" s="1"/>
  <c r="FY172" i="2" a="1"/>
  <c r="FY172" i="2" s="1"/>
  <c r="FY178" i="2" a="1"/>
  <c r="FY178" i="2" s="1"/>
  <c r="FY34" i="2" a="1"/>
  <c r="FY34" i="2" s="1"/>
  <c r="FY164" i="2" a="1"/>
  <c r="FY164" i="2" s="1"/>
  <c r="FY149" i="2" a="1"/>
  <c r="FY149" i="2" s="1"/>
  <c r="FY24" i="2" a="1"/>
  <c r="FY24" i="2" s="1"/>
  <c r="FY126" i="2" a="1"/>
  <c r="FY126" i="2" s="1"/>
  <c r="FY47" i="2" a="1"/>
  <c r="FY47" i="2" s="1"/>
  <c r="FY124" i="2" a="1"/>
  <c r="FY124" i="2" s="1"/>
  <c r="FY188" i="2" a="1"/>
  <c r="FY188" i="2" s="1"/>
  <c r="FY169" i="2" a="1"/>
  <c r="FY169" i="2" s="1"/>
  <c r="FY28" i="2" a="1"/>
  <c r="FY28" i="2" s="1"/>
  <c r="FY62" i="2" a="1"/>
  <c r="FY62" i="2" s="1"/>
  <c r="FY78" i="2" a="1"/>
  <c r="FY78" i="2" s="1"/>
  <c r="FY190" i="2" a="1"/>
  <c r="FY190" i="2" s="1"/>
  <c r="FY174" i="2" a="1"/>
  <c r="FY174" i="2" s="1"/>
  <c r="FY116" i="2" a="1"/>
  <c r="FY116" i="2" s="1"/>
  <c r="FY55" i="2" a="1"/>
  <c r="FY55" i="2" s="1"/>
  <c r="FY186" i="2" a="1"/>
  <c r="FY186" i="2" s="1"/>
  <c r="FY92" i="2" a="1"/>
  <c r="FY92" i="2" s="1"/>
  <c r="FY111" i="2" a="1"/>
  <c r="FY111" i="2" s="1"/>
  <c r="FY73" i="2" a="1"/>
  <c r="FY73" i="2" s="1"/>
  <c r="FY152" i="2" a="1"/>
  <c r="FY152" i="2" s="1"/>
  <c r="FY173" i="2" a="1"/>
  <c r="FY173" i="2" s="1"/>
  <c r="FY153" i="2" a="1"/>
  <c r="FY153" i="2" s="1"/>
  <c r="FY159" i="2" a="1"/>
  <c r="FY159" i="2" s="1"/>
  <c r="FY143" i="2" a="1"/>
  <c r="FY143" i="2" s="1"/>
  <c r="FY191" i="2" a="1"/>
  <c r="FY191" i="2" s="1"/>
  <c r="FY110" i="2" a="1"/>
  <c r="FY110" i="2" s="1"/>
  <c r="FY102" i="2" a="1"/>
  <c r="FY102" i="2" s="1"/>
  <c r="FY18" i="2" a="1"/>
  <c r="FY18" i="2" s="1"/>
  <c r="FY69" i="2" a="1"/>
  <c r="FY69" i="2" s="1"/>
  <c r="FY66" i="2" a="1"/>
  <c r="FY66" i="2" s="1"/>
  <c r="FY120" i="2" a="1"/>
  <c r="FY120" i="2" s="1"/>
  <c r="FY71" i="2" a="1"/>
  <c r="FY71" i="2" s="1"/>
  <c r="FY133" i="2" a="1"/>
  <c r="FY133" i="2" s="1"/>
  <c r="FY146" i="2" a="1"/>
  <c r="FY146" i="2" s="1"/>
  <c r="FY140" i="2" a="1"/>
  <c r="FY140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22" i="2" a="1"/>
  <c r="FY22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BX107" i="2" a="1"/>
  <c r="BX107" i="2" s="1"/>
  <c r="GT107" i="2" a="1"/>
  <c r="GT107" i="2" s="1"/>
  <c r="GT174" i="2" a="1"/>
  <c r="GT174" i="2" s="1"/>
  <c r="HJ202" i="2"/>
  <c r="GT189" i="2" a="1"/>
  <c r="GT189" i="2" s="1"/>
  <c r="GT198" i="2" a="1"/>
  <c r="GT198" i="2" s="1"/>
  <c r="GT190" i="2" a="1"/>
  <c r="GT190" i="2" s="1"/>
  <c r="GT38" i="2" a="1"/>
  <c r="GT38" i="2" s="1"/>
  <c r="GT68" i="2" a="1"/>
  <c r="GT68" i="2" s="1"/>
  <c r="GT126" i="2" a="1"/>
  <c r="GT126" i="2" s="1"/>
  <c r="GT191" i="2" a="1"/>
  <c r="GT191" i="2" s="1"/>
  <c r="GT15" i="2" a="1"/>
  <c r="GT15" i="2" s="1"/>
  <c r="GT74" i="2" a="1"/>
  <c r="GT74" i="2" s="1"/>
  <c r="GT138" i="2" a="1"/>
  <c r="GT138" i="2" s="1"/>
  <c r="GT178" i="2" a="1"/>
  <c r="GT178" i="2" s="1"/>
  <c r="GT33" i="2" a="1"/>
  <c r="GT33" i="2" s="1"/>
  <c r="GT122" i="2" a="1"/>
  <c r="GT122" i="2" s="1"/>
  <c r="GT184" i="2" a="1"/>
  <c r="GT184" i="2" s="1"/>
  <c r="GT21" i="2" a="1"/>
  <c r="GT21" i="2" s="1"/>
  <c r="GT12" i="2" a="1"/>
  <c r="GT12" i="2" s="1"/>
  <c r="GT51" i="2" a="1"/>
  <c r="GT51" i="2" s="1"/>
  <c r="GT102" i="2" a="1"/>
  <c r="GT102" i="2" s="1"/>
  <c r="GT147" i="2" a="1"/>
  <c r="GT147" i="2" s="1"/>
  <c r="GT152" i="2" a="1"/>
  <c r="GT152" i="2" s="1"/>
  <c r="GT181" i="2" a="1"/>
  <c r="GT181" i="2" s="1"/>
  <c r="GT115" i="2" a="1"/>
  <c r="GT115" i="2" s="1"/>
  <c r="GT133" i="2" a="1"/>
  <c r="GT133" i="2" s="1"/>
  <c r="HH203" i="2"/>
  <c r="GT121" i="2" a="1"/>
  <c r="GT121" i="2" s="1"/>
  <c r="HG203" i="2"/>
  <c r="BC185" i="2" a="1"/>
  <c r="BC185" i="2" s="1"/>
  <c r="BC31" i="2" a="1"/>
  <c r="BC31" i="2" s="1"/>
  <c r="BC164" i="2" a="1"/>
  <c r="BC164" i="2" s="1"/>
  <c r="BC192" i="2" a="1"/>
  <c r="BC192" i="2" s="1"/>
  <c r="BC130" i="2" a="1"/>
  <c r="BC130" i="2" s="1"/>
  <c r="BC7" i="2" a="1"/>
  <c r="BC7" i="2" s="1"/>
  <c r="BC117" i="2" a="1"/>
  <c r="BC117" i="2" s="1"/>
  <c r="BC84" i="2" a="1"/>
  <c r="BC84" i="2" s="1"/>
  <c r="BC143" i="2" a="1"/>
  <c r="BC143" i="2" s="1"/>
  <c r="BC181" i="2" a="1"/>
  <c r="BC181" i="2" s="1"/>
  <c r="BC114" i="2" a="1"/>
  <c r="BC114" i="2" s="1"/>
  <c r="BC126" i="2" a="1"/>
  <c r="BC126" i="2" s="1"/>
  <c r="BC55" i="2" a="1"/>
  <c r="BC55" i="2" s="1"/>
  <c r="BC82" i="2" a="1"/>
  <c r="BC82" i="2" s="1"/>
  <c r="BC47" i="2" a="1"/>
  <c r="BC47" i="2" s="1"/>
  <c r="BC68" i="2" a="1"/>
  <c r="BC68" i="2" s="1"/>
  <c r="BC58" i="2" a="1"/>
  <c r="BC58" i="2" s="1"/>
  <c r="BC65" i="2" a="1"/>
  <c r="BC65" i="2" s="1"/>
  <c r="DN132" i="2" a="1"/>
  <c r="DN132" i="2" s="1"/>
  <c r="DN30" i="2" a="1"/>
  <c r="DN30" i="2" s="1"/>
  <c r="DN164" i="2" a="1"/>
  <c r="DN164" i="2" s="1"/>
  <c r="DN63" i="2" a="1"/>
  <c r="DN63" i="2" s="1"/>
  <c r="DN80" i="2" a="1"/>
  <c r="DN80" i="2" s="1"/>
  <c r="DN135" i="2" a="1"/>
  <c r="DN135" i="2" s="1"/>
  <c r="DN45" i="2" a="1"/>
  <c r="DN45" i="2" s="1"/>
  <c r="DN65" i="2" a="1"/>
  <c r="DN65" i="2" s="1"/>
  <c r="DN70" i="2" a="1"/>
  <c r="DN70" i="2" s="1"/>
  <c r="DN123" i="2" a="1"/>
  <c r="DN123" i="2" s="1"/>
  <c r="DN55" i="2" a="1"/>
  <c r="DN55" i="2" s="1"/>
  <c r="DN150" i="2" a="1"/>
  <c r="DN150" i="2" s="1"/>
  <c r="DN31" i="2" a="1"/>
  <c r="DN31" i="2" s="1"/>
  <c r="DN170" i="2" a="1"/>
  <c r="DN170" i="2" s="1"/>
  <c r="DN43" i="2" a="1"/>
  <c r="DN43" i="2" s="1"/>
  <c r="DN103" i="2" a="1"/>
  <c r="DN103" i="2" s="1"/>
  <c r="DN115" i="2" a="1"/>
  <c r="DN115" i="2" s="1"/>
  <c r="DN29" i="2" a="1"/>
  <c r="DN29" i="2" s="1"/>
  <c r="DN153" i="2" a="1"/>
  <c r="DN153" i="2" s="1"/>
  <c r="DN41" i="2" a="1"/>
  <c r="DN41" i="2" s="1"/>
  <c r="DN46" i="2" a="1"/>
  <c r="DN46" i="2" s="1"/>
  <c r="DN110" i="2" a="1"/>
  <c r="DN110" i="2" s="1"/>
  <c r="DN38" i="2" a="1"/>
  <c r="DN38" i="2" s="1"/>
  <c r="DN192" i="2" a="1"/>
  <c r="DN192" i="2" s="1"/>
  <c r="DN129" i="2" a="1"/>
  <c r="DN129" i="2" s="1"/>
  <c r="DN186" i="2" a="1"/>
  <c r="DN186" i="2" s="1"/>
  <c r="DN56" i="2" a="1"/>
  <c r="DN56" i="2" s="1"/>
  <c r="DN66" i="2" a="1"/>
  <c r="DN66" i="2" s="1"/>
  <c r="DN176" i="2" a="1"/>
  <c r="DN176" i="2" s="1"/>
  <c r="DN167" i="2" a="1"/>
  <c r="DN167" i="2" s="1"/>
  <c r="DN168" i="2" a="1"/>
  <c r="DN168" i="2" s="1"/>
  <c r="DN188" i="2" a="1"/>
  <c r="DN188" i="2" s="1"/>
  <c r="DN113" i="2" a="1"/>
  <c r="DN113" i="2" s="1"/>
  <c r="DN124" i="2" a="1"/>
  <c r="DN124" i="2" s="1"/>
  <c r="DN137" i="2" a="1"/>
  <c r="DN137" i="2" s="1"/>
  <c r="DN190" i="2" a="1"/>
  <c r="DN190" i="2" s="1"/>
  <c r="DN16" i="2" a="1"/>
  <c r="DN16" i="2" s="1"/>
  <c r="DN86" i="2" a="1"/>
  <c r="DN86" i="2" s="1"/>
  <c r="DN25" i="2" a="1"/>
  <c r="DN25" i="2" s="1"/>
  <c r="DN155" i="2" a="1"/>
  <c r="DN155" i="2" s="1"/>
  <c r="DN50" i="2" a="1"/>
  <c r="DN50" i="2" s="1"/>
  <c r="DN187" i="2" a="1"/>
  <c r="DN187" i="2" s="1"/>
  <c r="DN133" i="2" a="1"/>
  <c r="DN133" i="2" s="1"/>
  <c r="DN162" i="2" a="1"/>
  <c r="DN162" i="2" s="1"/>
  <c r="DN114" i="2" a="1"/>
  <c r="DN114" i="2" s="1"/>
  <c r="DN177" i="2" a="1"/>
  <c r="DN177" i="2" s="1"/>
  <c r="DN184" i="2" a="1"/>
  <c r="DN184" i="2" s="1"/>
  <c r="DN152" i="2" a="1"/>
  <c r="DN152" i="2" s="1"/>
  <c r="EI37" i="2" a="1"/>
  <c r="EI37" i="2" s="1"/>
  <c r="EI16" i="2" a="1"/>
  <c r="EI16" i="2" s="1"/>
  <c r="EI20" i="2" a="1"/>
  <c r="EI20" i="2" s="1"/>
  <c r="EI113" i="2" a="1"/>
  <c r="EI113" i="2" s="1"/>
  <c r="EI38" i="2" a="1"/>
  <c r="EI38" i="2" s="1"/>
  <c r="EI87" i="2" a="1"/>
  <c r="EI87" i="2" s="1"/>
  <c r="EY202" i="2"/>
  <c r="EI150" i="2" a="1"/>
  <c r="EI150" i="2" s="1"/>
  <c r="EI145" i="2" a="1"/>
  <c r="EI145" i="2" s="1"/>
  <c r="EI128" i="2" a="1"/>
  <c r="EI128" i="2" s="1"/>
  <c r="EI109" i="2" a="1"/>
  <c r="EI109" i="2" s="1"/>
  <c r="EI162" i="2" a="1"/>
  <c r="EI162" i="2" s="1"/>
  <c r="EI35" i="2" a="1"/>
  <c r="EI35" i="2" s="1"/>
  <c r="EI34" i="2" a="1"/>
  <c r="EI34" i="2" s="1"/>
  <c r="EI29" i="2" a="1"/>
  <c r="EI29" i="2" s="1"/>
  <c r="EI139" i="2" a="1"/>
  <c r="EI139" i="2" s="1"/>
  <c r="EI165" i="2" a="1"/>
  <c r="EI165" i="2" s="1"/>
  <c r="EI106" i="2" a="1"/>
  <c r="EI106" i="2" s="1"/>
  <c r="EI67" i="2" a="1"/>
  <c r="EI67" i="2" s="1"/>
  <c r="EI71" i="2" a="1"/>
  <c r="EI71" i="2" s="1"/>
  <c r="EI153" i="2" a="1"/>
  <c r="EI153" i="2" s="1"/>
  <c r="EI170" i="2" a="1"/>
  <c r="EI170" i="2" s="1"/>
  <c r="EI57" i="2" a="1"/>
  <c r="EI57" i="2" s="1"/>
  <c r="EI142" i="2" a="1"/>
  <c r="EI142" i="2" s="1"/>
  <c r="EI166" i="2" a="1"/>
  <c r="EI166" i="2" s="1"/>
  <c r="EI36" i="2" a="1"/>
  <c r="EI36" i="2" s="1"/>
  <c r="EI195" i="2" a="1"/>
  <c r="EI195" i="2" s="1"/>
  <c r="EI178" i="2" a="1"/>
  <c r="EI178" i="2" s="1"/>
  <c r="EI198" i="2" a="1"/>
  <c r="EI198" i="2" s="1"/>
  <c r="FS203" i="2"/>
  <c r="FR203" i="2"/>
  <c r="FD14" i="2" a="1"/>
  <c r="FD14" i="2" s="1"/>
  <c r="FD59" i="2" a="1"/>
  <c r="FD59" i="2" s="1"/>
  <c r="FD21" i="2" a="1"/>
  <c r="FD21" i="2" s="1"/>
  <c r="FD194" i="2" a="1"/>
  <c r="FD194" i="2" s="1"/>
  <c r="FD160" i="2" a="1"/>
  <c r="FD160" i="2" s="1"/>
  <c r="FD82" i="2" a="1"/>
  <c r="FD82" i="2" s="1"/>
  <c r="FD137" i="2" a="1"/>
  <c r="FD137" i="2" s="1"/>
  <c r="FD43" i="2" a="1"/>
  <c r="FD43" i="2" s="1"/>
  <c r="FD189" i="2" a="1"/>
  <c r="FD189" i="2" s="1"/>
  <c r="FD19" i="2" a="1"/>
  <c r="FD19" i="2" s="1"/>
  <c r="FD64" i="2" a="1"/>
  <c r="FD64" i="2" s="1"/>
  <c r="FD144" i="2" a="1"/>
  <c r="FD144" i="2" s="1"/>
  <c r="FD159" i="2" a="1"/>
  <c r="FD159" i="2" s="1"/>
  <c r="FD48" i="2" a="1"/>
  <c r="FD48" i="2" s="1"/>
  <c r="FD107" i="2" a="1"/>
  <c r="FD107" i="2" s="1"/>
  <c r="FD44" i="2" a="1"/>
  <c r="FD44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AH163" i="2" a="1"/>
  <c r="AH163" i="2" s="1"/>
  <c r="AH62" i="2" a="1"/>
  <c r="AH62" i="2" s="1"/>
  <c r="AH166" i="2" a="1"/>
  <c r="AH166" i="2" s="1"/>
  <c r="AH19" i="2" a="1"/>
  <c r="AH19" i="2" s="1"/>
  <c r="AH90" i="2" a="1"/>
  <c r="AH90" i="2" s="1"/>
  <c r="AH151" i="2" a="1"/>
  <c r="AH151" i="2" s="1"/>
  <c r="AH92" i="2" a="1"/>
  <c r="AH92" i="2" s="1"/>
  <c r="AH199" i="2" a="1"/>
  <c r="AH199" i="2" s="1"/>
  <c r="CS72" i="2" a="1"/>
  <c r="CS72" i="2" s="1"/>
  <c r="CS134" i="2" a="1"/>
  <c r="CS134" i="2" s="1"/>
  <c r="CS56" i="2" a="1"/>
  <c r="CS56" i="2" s="1"/>
  <c r="CS38" i="2" a="1"/>
  <c r="CS38" i="2" s="1"/>
  <c r="CS66" i="2" a="1"/>
  <c r="CS66" i="2" s="1"/>
  <c r="CS116" i="2" a="1"/>
  <c r="CS116" i="2" s="1"/>
  <c r="CS129" i="2" a="1"/>
  <c r="CS129" i="2" s="1"/>
  <c r="CS137" i="2" a="1"/>
  <c r="CS137" i="2" s="1"/>
  <c r="CS52" i="2" a="1"/>
  <c r="CS52" i="2" s="1"/>
  <c r="CS114" i="2" a="1"/>
  <c r="CS114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D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GZ72" i="2" l="1"/>
  <c r="GZ46" i="2"/>
  <c r="GZ59" i="2"/>
  <c r="GZ102" i="2"/>
  <c r="GZ30" i="2"/>
  <c r="GZ188" i="2"/>
  <c r="GZ149" i="2"/>
  <c r="GZ131" i="2"/>
  <c r="GZ155" i="2"/>
  <c r="GZ91" i="2"/>
  <c r="GZ38" i="2"/>
  <c r="GZ172" i="2"/>
  <c r="GZ196" i="2"/>
  <c r="GZ116" i="2"/>
  <c r="GZ186" i="2"/>
  <c r="GZ124" i="2"/>
  <c r="GZ164" i="2"/>
  <c r="GZ64" i="2"/>
  <c r="GZ138" i="2"/>
  <c r="GZ125" i="2"/>
  <c r="GZ143" i="2"/>
  <c r="GZ84" i="2"/>
  <c r="GZ60" i="2"/>
  <c r="GZ61" i="2"/>
  <c r="GZ70" i="2"/>
  <c r="GZ73" i="2"/>
  <c r="GZ120" i="2"/>
  <c r="GZ157" i="2"/>
  <c r="GZ56" i="2"/>
  <c r="GZ198" i="2"/>
  <c r="GZ119" i="2"/>
  <c r="GZ158" i="2"/>
  <c r="GZ144" i="2"/>
  <c r="GZ44" i="2"/>
  <c r="GZ33" i="2"/>
  <c r="GZ140" i="2"/>
  <c r="GZ122" i="2"/>
  <c r="GZ5" i="2"/>
  <c r="GZ10" i="2"/>
  <c r="GZ52" i="2"/>
  <c r="GZ179" i="2"/>
  <c r="GZ105" i="2"/>
  <c r="GZ37" i="2"/>
  <c r="GZ176" i="2"/>
  <c r="GZ167" i="2"/>
  <c r="GZ69" i="2"/>
  <c r="GZ114" i="2"/>
  <c r="GZ203" i="2"/>
  <c r="GZ168" i="2"/>
  <c r="GZ197" i="2"/>
  <c r="GZ194" i="2"/>
  <c r="GZ200" i="2"/>
  <c r="GZ126" i="2"/>
  <c r="GZ19" i="2"/>
  <c r="GZ165" i="2"/>
  <c r="GZ48" i="2"/>
  <c r="GZ184" i="2"/>
  <c r="GZ82" i="2"/>
  <c r="GZ113" i="2"/>
  <c r="GZ98" i="2"/>
  <c r="GZ51" i="2"/>
  <c r="GZ78" i="2"/>
  <c r="GZ100" i="2"/>
  <c r="GZ22" i="2"/>
  <c r="GZ11" i="2"/>
  <c r="GZ112" i="2"/>
  <c r="GZ16" i="2"/>
  <c r="GZ90" i="2"/>
  <c r="GZ189" i="2"/>
  <c r="GZ191" i="2"/>
  <c r="GZ153" i="2"/>
  <c r="GZ128" i="2"/>
  <c r="GZ23" i="2"/>
  <c r="GZ156" i="2"/>
  <c r="GZ107" i="2"/>
  <c r="GZ118" i="2"/>
  <c r="GZ181" i="2"/>
  <c r="GZ27" i="2"/>
  <c r="GZ136" i="2"/>
  <c r="GZ148" i="2"/>
  <c r="GZ81" i="2"/>
  <c r="GZ134" i="2"/>
  <c r="GZ77" i="2"/>
  <c r="GZ202" i="2"/>
  <c r="GZ26" i="2"/>
  <c r="GZ180" i="2"/>
  <c r="GZ71" i="2"/>
  <c r="GZ160" i="2"/>
  <c r="GZ95" i="2"/>
  <c r="GZ92" i="2"/>
  <c r="GZ20" i="2"/>
  <c r="GZ49" i="2"/>
  <c r="GZ17" i="2"/>
  <c r="GZ24" i="2"/>
  <c r="GZ79" i="2"/>
  <c r="GZ35" i="2"/>
  <c r="GZ190" i="2"/>
  <c r="GZ87" i="2"/>
  <c r="GZ170" i="2"/>
  <c r="GZ103" i="2"/>
  <c r="GZ7" i="2"/>
  <c r="GZ201" i="2"/>
  <c r="GZ40" i="2"/>
  <c r="GZ74" i="2"/>
  <c r="GZ177" i="2"/>
  <c r="GZ175" i="2"/>
  <c r="GZ173" i="2"/>
  <c r="GZ108" i="2"/>
  <c r="GZ152" i="2"/>
  <c r="GZ85" i="2"/>
  <c r="GZ111" i="2"/>
  <c r="GZ62" i="2"/>
  <c r="GZ28" i="2"/>
  <c r="GZ36" i="2"/>
  <c r="GZ50" i="2"/>
  <c r="GZ54" i="2"/>
  <c r="GZ65" i="2"/>
  <c r="GZ66" i="2"/>
  <c r="GZ162" i="2"/>
  <c r="GZ127" i="2"/>
  <c r="GZ39" i="2"/>
  <c r="GZ4" i="2"/>
  <c r="GZ106" i="2"/>
  <c r="GZ76" i="2"/>
  <c r="GZ146" i="2"/>
  <c r="GZ41" i="2"/>
  <c r="GZ110" i="2"/>
  <c r="GZ154" i="2"/>
  <c r="GZ31" i="2"/>
  <c r="GZ163" i="2"/>
  <c r="GZ13" i="2"/>
  <c r="GZ15" i="2"/>
  <c r="GZ88" i="2"/>
  <c r="GZ93" i="2"/>
  <c r="GZ86" i="2"/>
  <c r="GZ18" i="2"/>
  <c r="GZ57" i="2"/>
  <c r="GZ195" i="2"/>
  <c r="GZ104" i="2"/>
  <c r="GZ129" i="2"/>
  <c r="GZ80" i="2"/>
  <c r="GZ199" i="2"/>
  <c r="GZ67" i="2"/>
  <c r="GZ135" i="2"/>
  <c r="GZ161" i="2"/>
  <c r="GZ174" i="2"/>
  <c r="GZ94" i="2"/>
  <c r="GZ132" i="2"/>
  <c r="GZ178" i="2"/>
  <c r="GZ25" i="2"/>
  <c r="GZ58" i="2"/>
  <c r="GZ187" i="2"/>
  <c r="GZ75" i="2"/>
  <c r="GZ96" i="2"/>
  <c r="GZ130" i="2"/>
  <c r="GZ53" i="2"/>
  <c r="GZ115" i="2"/>
  <c r="GZ182" i="2"/>
  <c r="GZ6" i="2"/>
  <c r="GZ137" i="2"/>
  <c r="GZ193" i="2"/>
  <c r="GZ147" i="2"/>
  <c r="GZ159" i="2"/>
  <c r="GZ169" i="2"/>
  <c r="GZ109" i="2"/>
  <c r="GZ45" i="2"/>
  <c r="GZ29" i="2"/>
  <c r="GZ32" i="2"/>
  <c r="GZ141" i="2"/>
  <c r="GZ171" i="2"/>
  <c r="GZ63" i="2"/>
  <c r="GZ183" i="2"/>
  <c r="GZ47" i="2"/>
  <c r="GZ123" i="2"/>
  <c r="GZ9" i="2"/>
  <c r="GZ12" i="2"/>
  <c r="GZ97" i="2"/>
  <c r="GZ101" i="2"/>
  <c r="GZ139" i="2"/>
  <c r="GZ83" i="2"/>
  <c r="GZ89" i="2"/>
  <c r="GZ117" i="2"/>
  <c r="GZ151" i="2"/>
  <c r="GZ192" i="2"/>
  <c r="GZ42" i="2"/>
  <c r="GZ34" i="2"/>
  <c r="GZ99" i="2"/>
  <c r="GZ185" i="2"/>
  <c r="GZ55" i="2"/>
  <c r="GZ133" i="2"/>
  <c r="GZ14" i="2"/>
  <c r="GZ68" i="2"/>
  <c r="GZ121" i="2"/>
  <c r="GZ8" i="2"/>
  <c r="GZ43" i="2"/>
  <c r="GZ145" i="2"/>
  <c r="GZ21" i="2"/>
  <c r="GZ142" i="2"/>
  <c r="GZ150" i="2"/>
  <c r="GZ166" i="2"/>
  <c r="GZ3" i="2"/>
  <c r="C15" i="4" s="1"/>
  <c r="E15" i="4" s="1"/>
  <c r="F15" i="4" s="1"/>
  <c r="G15" i="4" s="1"/>
  <c r="L15" i="4" s="1"/>
  <c r="FE67" i="2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E86" i="2" s="1"/>
  <c r="GV69" i="2"/>
  <c r="GW69" i="2" s="1"/>
  <c r="GX69" i="2" s="1"/>
  <c r="GY69" i="2" s="1"/>
  <c r="AJ69" i="2"/>
  <c r="AK69" i="2" s="1"/>
  <c r="AL69" i="2" s="1"/>
  <c r="AM69" i="2" s="1"/>
  <c r="GE134" i="2" l="1"/>
  <c r="GE54" i="2"/>
  <c r="GE200" i="2"/>
  <c r="GE145" i="2"/>
  <c r="GE149" i="2"/>
  <c r="GE112" i="2"/>
  <c r="GE50" i="2"/>
  <c r="GE195" i="2"/>
  <c r="GE156" i="2"/>
  <c r="GE150" i="2"/>
  <c r="GE126" i="2"/>
  <c r="GE61" i="2"/>
  <c r="GE94" i="2"/>
  <c r="GE135" i="2"/>
  <c r="GE30" i="2"/>
  <c r="GE21" i="2"/>
  <c r="GE58" i="2"/>
  <c r="GE178" i="2"/>
  <c r="GE57" i="2"/>
  <c r="GE73" i="2"/>
  <c r="GE72" i="2"/>
  <c r="GE5" i="2"/>
  <c r="GE120" i="2"/>
  <c r="GE175" i="2"/>
  <c r="GE87" i="2"/>
  <c r="GE59" i="2"/>
  <c r="GE46" i="2"/>
  <c r="GE75" i="2"/>
  <c r="GE91" i="2"/>
  <c r="GE122" i="2"/>
  <c r="GE70" i="2"/>
  <c r="GE27" i="2"/>
  <c r="GE56" i="2"/>
  <c r="GE187" i="2"/>
  <c r="GE154" i="2"/>
  <c r="GE92" i="2"/>
  <c r="GE79" i="2"/>
  <c r="GE131" i="2"/>
  <c r="GE65" i="2"/>
  <c r="GE36" i="2"/>
  <c r="GE22" i="2"/>
  <c r="GE66" i="2"/>
  <c r="GE78" i="2"/>
  <c r="GE180" i="2"/>
  <c r="GE49" i="2"/>
  <c r="GE166" i="2"/>
  <c r="GE176" i="2"/>
  <c r="GE76" i="2"/>
  <c r="GE8" i="2"/>
  <c r="GE171" i="2"/>
  <c r="GE203" i="2"/>
  <c r="GE177" i="2"/>
  <c r="GE173" i="2"/>
  <c r="GE163" i="2"/>
  <c r="GE9" i="2"/>
  <c r="GE111" i="2"/>
  <c r="GE193" i="2"/>
  <c r="GE25" i="2"/>
  <c r="GE99" i="2"/>
  <c r="GE143" i="2"/>
  <c r="GE164" i="2"/>
  <c r="GE199" i="2"/>
  <c r="GE64" i="2"/>
  <c r="GE127" i="2"/>
  <c r="GE89" i="2"/>
  <c r="GE15" i="2"/>
  <c r="GE152" i="2"/>
  <c r="GE32" i="2"/>
  <c r="GE10" i="2"/>
  <c r="GE84" i="2"/>
  <c r="GE138" i="2"/>
  <c r="GE44" i="2"/>
  <c r="GE23" i="2"/>
  <c r="GE104" i="2"/>
  <c r="GE123" i="2"/>
  <c r="GE19" i="2"/>
  <c r="GE130" i="2"/>
  <c r="GE157" i="2"/>
  <c r="GE136" i="2"/>
  <c r="GE16" i="2"/>
  <c r="GE43" i="2"/>
  <c r="GE155" i="2"/>
  <c r="GE68" i="2"/>
  <c r="GE182" i="2"/>
  <c r="GE159" i="2"/>
  <c r="GE3" i="2"/>
  <c r="C14" i="4" s="1"/>
  <c r="E14" i="4" s="1"/>
  <c r="F14" i="4" s="1"/>
  <c r="G14" i="4" s="1"/>
  <c r="L14" i="4" s="1"/>
  <c r="GE179" i="2"/>
  <c r="GE13" i="2"/>
  <c r="GE102" i="2"/>
  <c r="GE197" i="2"/>
  <c r="GE153" i="2"/>
  <c r="GE116" i="2"/>
  <c r="GE128" i="2"/>
  <c r="GE55" i="2"/>
  <c r="GE77" i="2"/>
  <c r="GE35" i="2"/>
  <c r="GE24" i="2"/>
  <c r="GE40" i="2"/>
  <c r="GE188" i="2"/>
  <c r="GE60" i="2"/>
  <c r="GE168" i="2"/>
  <c r="GE146" i="2"/>
  <c r="GE113" i="2"/>
  <c r="GE12" i="2"/>
  <c r="GE117" i="2"/>
  <c r="GE144" i="2"/>
  <c r="GE62" i="2"/>
  <c r="GE71" i="2"/>
  <c r="GE29" i="2"/>
  <c r="GE67" i="2"/>
  <c r="GE38" i="2"/>
  <c r="GE42" i="2"/>
  <c r="GE110" i="2"/>
  <c r="GE190" i="2"/>
  <c r="GE34" i="2"/>
  <c r="GE129" i="2"/>
  <c r="GE165" i="2"/>
  <c r="GE174" i="2"/>
  <c r="GE4" i="2"/>
  <c r="GE167" i="2"/>
  <c r="GE28" i="2"/>
  <c r="GE103" i="2"/>
  <c r="GE151" i="2"/>
  <c r="GE170" i="2"/>
  <c r="GE162" i="2"/>
  <c r="GE63" i="2"/>
  <c r="GE183" i="2"/>
  <c r="GE158" i="2"/>
  <c r="GE31" i="2"/>
  <c r="GE201" i="2"/>
  <c r="GE132" i="2"/>
  <c r="GE160" i="2"/>
  <c r="GE191" i="2"/>
  <c r="GE106" i="2"/>
  <c r="GE101" i="2"/>
  <c r="GE17" i="2"/>
  <c r="GE161" i="2"/>
  <c r="GE95" i="2"/>
  <c r="GE202" i="2"/>
  <c r="GE85" i="2"/>
  <c r="GE96" i="2"/>
  <c r="GE100" i="2"/>
  <c r="GE184" i="2"/>
  <c r="GE81" i="2"/>
  <c r="GE125" i="2"/>
  <c r="GE141" i="2"/>
  <c r="GE88" i="2"/>
  <c r="GE69" i="2"/>
  <c r="GE137" i="2"/>
  <c r="GE14" i="2"/>
  <c r="GE45" i="2"/>
  <c r="GE140" i="2"/>
  <c r="GE37" i="2"/>
  <c r="GE52" i="2"/>
  <c r="GE139" i="2"/>
  <c r="GE90" i="2"/>
  <c r="GE186" i="2"/>
  <c r="GE48" i="2"/>
  <c r="GE51" i="2"/>
  <c r="GE147" i="2"/>
  <c r="GE109" i="2"/>
  <c r="GE133" i="2"/>
  <c r="GE20" i="2"/>
  <c r="GE98" i="2"/>
  <c r="GE118" i="2"/>
  <c r="GE198" i="2"/>
  <c r="GE169" i="2"/>
  <c r="GE189" i="2"/>
  <c r="GE7" i="2"/>
  <c r="GE39" i="2"/>
  <c r="GE108" i="2"/>
  <c r="GE107" i="2"/>
  <c r="GE148" i="2"/>
  <c r="GE11" i="2"/>
  <c r="GE119" i="2"/>
  <c r="GE115" i="2"/>
  <c r="GE196" i="2"/>
  <c r="GE194" i="2"/>
  <c r="GE93" i="2"/>
  <c r="GE18" i="2"/>
  <c r="GE121" i="2"/>
  <c r="GE53" i="2"/>
  <c r="GE82" i="2"/>
  <c r="GE83" i="2"/>
  <c r="GE192" i="2"/>
  <c r="GE105" i="2"/>
  <c r="GE181" i="2"/>
  <c r="GE80" i="2"/>
  <c r="GE185" i="2"/>
  <c r="GE74" i="2"/>
  <c r="GE26" i="2"/>
  <c r="GE124" i="2"/>
  <c r="GE142" i="2"/>
  <c r="GE114" i="2"/>
  <c r="GE172" i="2"/>
  <c r="GE41" i="2"/>
  <c r="GE47" i="2"/>
  <c r="GE97" i="2"/>
  <c r="GE33" i="2"/>
  <c r="GE6" i="2"/>
  <c r="FE71" i="2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<sst xmlns="http://schemas.openxmlformats.org/spreadsheetml/2006/main" count="1180" uniqueCount="325">
  <si>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</si>
  <si>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</si>
  <si>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</si>
  <si>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</si>
  <si>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</si>
  <si>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</si>
  <si>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</si>
  <si>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</si>
  <si>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</si>
  <si>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</si>
  <si>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</si>
  <si>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</si>
  <si>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</si>
  <si>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</si>
  <si>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</si>
  <si>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</si>
  <si>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</si>
  <si>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</si>
  <si>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</si>
  <si>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</si>
  <si>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</si>
  <si>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</si>
  <si>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</si>
  <si>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</si>
  <si>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</si>
  <si>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</si>
  <si>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</si>
  <si>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</si>
  <si>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</si>
  <si>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</si>
  <si>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</si>
  <si>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</si>
  <si>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</si>
  <si>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</si>
  <si>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</si>
  <si>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</si>
  <si>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</si>
  <si>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</si>
  <si>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</si>
  <si>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</si>
  <si>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</si>
  <si>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</si>
  <si>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</si>
  <si>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</si>
  <si>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</si>
  <si>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</si>
  <si>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</si>
  <si>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</si>
  <si>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</si>
  <si>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</si>
  <si>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</si>
  <si>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</si>
  <si>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</si>
  <si>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</si>
  <si>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</si>
  <si>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</si>
  <si>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</si>
  <si>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</si>
  <si>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</si>
  <si>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</si>
  <si>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</si>
  <si>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</si>
  <si>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</si>
  <si>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</si>
  <si>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</si>
  <si>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</si>
  <si>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</si>
  <si>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</si>
  <si>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</si>
  <si>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</si>
  <si>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</si>
  <si>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</si>
  <si>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</si>
  <si>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</si>
  <si>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</si>
  <si>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</si>
  <si>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</si>
  <si>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</si>
  <si>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</si>
  <si>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</si>
  <si>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</si>
  <si>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</si>
  <si>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</si>
  <si>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</si>
  <si>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</si>
  <si>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</si>
  <si>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</si>
  <si>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</si>
  <si>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</si>
  <si>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</si>
  <si>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</si>
  <si>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</si>
  <si>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</si>
  <si>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</si>
  <si>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</si>
  <si>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</si>
  <si>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</si>
  <si>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</si>
  <si>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</si>
  <si>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</si>
  <si>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</si>
  <si>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</si>
  <si>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</si>
  <si>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</si>
  <si>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</si>
  <si>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</si>
  <si>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</si>
  <si>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</si>
  <si>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</si>
  <si>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</si>
  <si>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</si>
  <si>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</si>
  <si>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</si>
  <si>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</si>
  <si>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</si>
  <si>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</si>
  <si>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</si>
  <si>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</si>
  <si>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</si>
  <si>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</si>
  <si>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</si>
  <si>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</si>
  <si>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</si>
  <si>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</si>
  <si>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</si>
  <si>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</si>
  <si>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</si>
  <si>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</si>
  <si>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</si>
  <si>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</si>
  <si>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</si>
  <si>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</si>
  <si>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</si>
  <si>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</si>
  <si>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</si>
  <si>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</si>
  <si>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</si>
  <si>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</si>
  <si>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</si>
  <si>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</si>
  <si>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</si>
  <si>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</si>
  <si>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</si>
  <si>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</si>
  <si>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</si>
  <si>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</si>
  <si>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</si>
  <si>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</si>
  <si>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</si>
  <si>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</si>
  <si>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</si>
  <si>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</si>
  <si>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</si>
  <si>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</si>
  <si>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</si>
  <si>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</si>
  <si>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</si>
  <si>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</si>
  <si>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</si>
  <si>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</si>
  <si>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</si>
  <si>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</si>
  <si>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</si>
  <si>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</si>
  <si>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</si>
  <si>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</si>
  <si>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</si>
  <si>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</si>
  <si>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</si>
  <si>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</si>
  <si>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</si>
  <si>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</si>
  <si>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</si>
  <si>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</si>
  <si>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</si>
  <si>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</si>
  <si>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</si>
  <si>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</si>
  <si>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</si>
  <si>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</si>
  <si>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</si>
  <si>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</si>
  <si>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</si>
  <si>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</si>
  <si>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</si>
  <si>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</si>
  <si>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</si>
  <si>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</si>
  <si>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</si>
  <si>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</si>
  <si>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</si>
  <si>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</si>
  <si>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</si>
  <si>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</si>
  <si>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</si>
  <si>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</si>
  <si>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</si>
  <si>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</si>
  <si>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</si>
  <si>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</si>
  <si>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</si>
  <si>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</si>
  <si>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</si>
  <si>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</si>
  <si>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</si>
  <si>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</si>
  <si>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</si>
  <si>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</si>
  <si>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</si>
  <si>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</si>
  <si>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</si>
  <si>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</si>
  <si>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</si>
  <si>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</si>
  <si>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</si>
  <si>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</si>
  <si>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</si>
  <si>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</si>
  <si>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</si>
  <si>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</si>
  <si>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</si>
  <si>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</si>
  <si>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</si>
  <si>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</si>
  <si>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</si>
  <si>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</si>
  <si>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</si>
  <si>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</si>
  <si>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</si>
  <si>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</si>
  <si>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</si>
  <si>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</si>
  <si>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</si>
  <si>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</si>
  <si>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</si>
  <si>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</si>
  <si>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</si>
  <si>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</si>
  <si>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</si>
  <si>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</si>
  <si>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</si>
  <si>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</si>
  <si>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</si>
  <si>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</si>
  <si>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</si>
  <si>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</si>
  <si>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</si>
  <si>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</si>
  <si>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</si>
  <si>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</si>
  <si>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</si>
  <si>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</si>
  <si>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</si>
  <si>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</si>
  <si>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</si>
  <si>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</si>
  <si>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</si>
  <si>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</si>
  <si>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</si>
  <si>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</si>
  <si>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</si>
  <si>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</si>
  <si>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</si>
  <si>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</si>
  <si>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</si>
  <si>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</si>
  <si>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</si>
  <si>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</si>
  <si>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</si>
  <si>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</si>
  <si>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</si>
  <si>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</si>
  <si>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</si>
  <si>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</si>
  <si>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</si>
  <si>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</si>
  <si>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</si>
  <si>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</si>
  <si>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</si>
  <si>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</si>
  <si>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</si>
  <si>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</si>
  <si>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</si>
  <si>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</si>
  <si>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</si>
  <si>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</si>
  <si>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</si>
  <si>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</si>
  <si>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</si>
  <si>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</si>
  <si>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</si>
  <si>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</si>
  <si>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</si>
  <si>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</si>
  <si>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</si>
  <si>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</si>
  <si>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</si>
  <si>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</si>
  <si>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</si>
  <si>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</si>
  <si>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</si>
  <si>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</si>
  <si>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</si>
  <si>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</si>
  <si>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</si>
  <si>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</si>
  <si>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</si>
  <si>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</si>
  <si>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</si>
  <si>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</si>
  <si>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</si>
  <si>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</si>
  <si>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</si>
  <si>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</si>
  <si>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</si>
  <si>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</si>
  <si>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</si>
  <si>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</si>
  <si>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</si>
  <si>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</si>
  <si>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</si>
  <si>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</si>
  <si>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</si>
  <si>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</si>
  <si>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 + érable sycomore et plane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</si>
</sst>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231.16419524801108</c:v>
                </c:pt>
                <c:pt idx="22">
                  <c:v>260.85942671475175</c:v>
                </c:pt>
                <c:pt idx="23">
                  <c:v>290.47829302179076</c:v>
                </c:pt>
                <c:pt idx="24">
                  <c:v>320.0296714282502</c:v>
                </c:pt>
                <c:pt idx="25">
                  <c:v>349.52066488969609</c:v>
                </c:pt>
                <c:pt idx="26">
                  <c:v>279.98860279382774</c:v>
                </c:pt>
                <c:pt idx="27">
                  <c:v>307.69314288991126</c:v>
                </c:pt>
                <c:pt idx="28">
                  <c:v>335.34226803283252</c:v>
                </c:pt>
                <c:pt idx="29">
                  <c:v>362.94118566705487</c:v>
                </c:pt>
                <c:pt idx="30">
                  <c:v>390.4942467667251</c:v>
                </c:pt>
                <c:pt idx="31">
                  <c:v>320.77699701276782</c:v>
                </c:pt>
                <c:pt idx="32">
                  <c:v>346.16378539221347</c:v>
                </c:pt>
                <c:pt idx="33">
                  <c:v>371.50970211515977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353.99540526070876</c:v>
                </c:pt>
                <c:pt idx="37">
                  <c:v>377.09553671098365</c:v>
                </c:pt>
                <c:pt idx="38">
                  <c:v>400.16486874659694</c:v>
                </c:pt>
                <c:pt idx="39">
                  <c:v>423.20542522400024</c:v>
                </c:pt>
                <c:pt idx="40">
                  <c:v>446.21899178570402</c:v>
                </c:pt>
                <c:pt idx="41">
                  <c:v>383.05177541071242</c:v>
                </c:pt>
                <c:pt idx="42">
                  <c:v>403.51120632532326</c:v>
                </c:pt>
                <c:pt idx="43">
                  <c:v>423.9482106076091</c:v>
                </c:pt>
                <c:pt idx="44">
                  <c:v>444.36402075569362</c:v>
                </c:pt>
                <c:pt idx="45">
                  <c:v>464.75974684356021</c:v>
                </c:pt>
                <c:pt idx="46">
                  <c:v>406.48522456571527</c:v>
                </c:pt>
                <c:pt idx="47">
                  <c:v>424.31959279145235</c:v>
                </c:pt>
                <c:pt idx="48">
                  <c:v>442.1378364455868</c:v>
                </c:pt>
                <c:pt idx="49">
                  <c:v>459.94069650633202</c:v>
                </c:pt>
                <c:pt idx="50">
                  <c:v>477.72885193803239</c:v>
                </c:pt>
                <c:pt idx="51">
                  <c:v>425.06233617824211</c:v>
                </c:pt>
                <c:pt idx="52">
                  <c:v>441.02465426855338</c:v>
                </c:pt>
                <c:pt idx="53">
                  <c:v>456.97459194094745</c:v>
                </c:pt>
                <c:pt idx="54">
                  <c:v>472.91264200880101</c:v>
                </c:pt>
                <c:pt idx="55">
                  <c:v>488.83926137072331</c:v>
                </c:pt>
                <c:pt idx="56">
                  <c:v>1.4960899118586383E-12</c:v>
                </c:pt>
                <c:pt idx="57">
                  <c:v>1.4960899118586383E-12</c:v>
                </c:pt>
                <c:pt idx="58">
                  <c:v>1.4960899118586383E-12</c:v>
                </c:pt>
                <c:pt idx="59">
                  <c:v>1.4960899118586383E-12</c:v>
                </c:pt>
                <c:pt idx="60">
                  <c:v>1.4960899118586383E-12</c:v>
                </c:pt>
                <c:pt idx="61">
                  <c:v>1.4960899118586383E-12</c:v>
                </c:pt>
                <c:pt idx="62">
                  <c:v>1.4960899118586383E-12</c:v>
                </c:pt>
                <c:pt idx="63">
                  <c:v>1.4960899118586383E-12</c:v>
                </c:pt>
                <c:pt idx="64">
                  <c:v>1.4960899118586383E-12</c:v>
                </c:pt>
                <c:pt idx="65">
                  <c:v>1.4960899118586383E-12</c:v>
                </c:pt>
                <c:pt idx="66">
                  <c:v>1.4960899118586383E-12</c:v>
                </c:pt>
                <c:pt idx="67">
                  <c:v>1.4960899118586383E-12</c:v>
                </c:pt>
                <c:pt idx="68">
                  <c:v>1.4960899118586383E-12</c:v>
                </c:pt>
                <c:pt idx="69">
                  <c:v>1.4960899118586383E-12</c:v>
                </c:pt>
                <c:pt idx="70">
                  <c:v>1.4960899118586383E-12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4592"/>
        <c:axId val="-96128608"/>
      </c:scatterChart>
      <c:valAx>
        <c:axId val="-96134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8608"/>
        <c:crosses val="autoZero"/>
        <c:crossBetween val="midCat"/>
      </c:valAx>
      <c:valAx>
        <c:axId val="-961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4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2.108474572518316</c:v>
                </c:pt>
                <c:pt idx="2">
                  <c:v>2.8670085021075149</c:v>
                </c:pt>
                <c:pt idx="3">
                  <c:v>3.8995836938128075</c:v>
                </c:pt>
                <c:pt idx="4">
                  <c:v>5.3055980481022571</c:v>
                </c:pt>
                <c:pt idx="5">
                  <c:v>7.2206353449995211</c:v>
                </c:pt>
                <c:pt idx="6">
                  <c:v>9.8296836619511652</c:v>
                </c:pt>
                <c:pt idx="7">
                  <c:v>13.38519747861622</c:v>
                </c:pt>
                <c:pt idx="8">
                  <c:v>18.23178342374937</c:v>
                </c:pt>
                <c:pt idx="9">
                  <c:v>24.839945406389592</c:v>
                </c:pt>
                <c:pt idx="10">
                  <c:v>33.852222834482681</c:v>
                </c:pt>
                <c:pt idx="11">
                  <c:v>46.146285377623315</c:v>
                </c:pt>
                <c:pt idx="12">
                  <c:v>62.921232121831004</c:v>
                </c:pt>
                <c:pt idx="13">
                  <c:v>83.125805197857886</c:v>
                </c:pt>
                <c:pt idx="14">
                  <c:v>103.20556924537884</c:v>
                </c:pt>
                <c:pt idx="15">
                  <c:v>123.18839787166746</c:v>
                </c:pt>
                <c:pt idx="16">
                  <c:v>143.09228790376088</c:v>
                </c:pt>
                <c:pt idx="17">
                  <c:v>132.98618500597115</c:v>
                </c:pt>
                <c:pt idx="18">
                  <c:v>155.45722875617952</c:v>
                </c:pt>
                <c:pt idx="19">
                  <c:v>177.85099744783145</c:v>
                </c:pt>
                <c:pt idx="20">
                  <c:v>200.17860042757502</c:v>
                </c:pt>
                <c:pt idx="21">
                  <c:v>182.06242044637693</c:v>
                </c:pt>
                <c:pt idx="22">
                  <c:v>207.9308195045044</c:v>
                </c:pt>
                <c:pt idx="23">
                  <c:v>233.72485302763633</c:v>
                </c:pt>
                <c:pt idx="24">
                  <c:v>259.45388286365005</c:v>
                </c:pt>
                <c:pt idx="25">
                  <c:v>229.5379645972439</c:v>
                </c:pt>
                <c:pt idx="26">
                  <c:v>254.95565122562834</c:v>
                </c:pt>
                <c:pt idx="27">
                  <c:v>280.31597953415428</c:v>
                </c:pt>
                <c:pt idx="28">
                  <c:v>305.62486594574432</c:v>
                </c:pt>
                <c:pt idx="29">
                  <c:v>277.00184490652941</c:v>
                </c:pt>
                <c:pt idx="30">
                  <c:v>300.92982424386526</c:v>
                </c:pt>
                <c:pt idx="31">
                  <c:v>324.81544955459077</c:v>
                </c:pt>
                <c:pt idx="32">
                  <c:v>348.66227126658896</c:v>
                </c:pt>
                <c:pt idx="33">
                  <c:v>372.47331459708585</c:v>
                </c:pt>
                <c:pt idx="34">
                  <c:v>396.25118655434932</c:v>
                </c:pt>
                <c:pt idx="35">
                  <c:v>338.65964342796582</c:v>
                </c:pt>
                <c:pt idx="36">
                  <c:v>357.59545707493356</c:v>
                </c:pt>
                <c:pt idx="37">
                  <c:v>376.50933088459868</c:v>
                </c:pt>
                <c:pt idx="38">
                  <c:v>395.40252158012913</c:v>
                </c:pt>
                <c:pt idx="39">
                  <c:v>414.27615603045524</c:v>
                </c:pt>
                <c:pt idx="40">
                  <c:v>433.13125009429888</c:v>
                </c:pt>
                <c:pt idx="41">
                  <c:v>403.88741034371873</c:v>
                </c:pt>
                <c:pt idx="42">
                  <c:v>417.87909386741245</c:v>
                </c:pt>
                <c:pt idx="43">
                  <c:v>431.86068387305653</c:v>
                </c:pt>
                <c:pt idx="44">
                  <c:v>445.8325531308746</c:v>
                </c:pt>
                <c:pt idx="45">
                  <c:v>459.79504914411177</c:v>
                </c:pt>
                <c:pt idx="46">
                  <c:v>473.74849659300207</c:v>
                </c:pt>
                <c:pt idx="47">
                  <c:v>456.3052857575903</c:v>
                </c:pt>
                <c:pt idx="48">
                  <c:v>465.50435362197749</c:v>
                </c:pt>
                <c:pt idx="49">
                  <c:v>474.69954624952516</c:v>
                </c:pt>
                <c:pt idx="50">
                  <c:v>483.89094931012482</c:v>
                </c:pt>
                <c:pt idx="51">
                  <c:v>493.07864495283161</c:v>
                </c:pt>
                <c:pt idx="52">
                  <c:v>502.2627120148843</c:v>
                </c:pt>
                <c:pt idx="53">
                  <c:v>511.44322621464318</c:v>
                </c:pt>
                <c:pt idx="54">
                  <c:v>520.62026032995084</c:v>
                </c:pt>
                <c:pt idx="55">
                  <c:v>502.89596414017211</c:v>
                </c:pt>
                <c:pt idx="56">
                  <c:v>506.69512340906493</c:v>
                </c:pt>
                <c:pt idx="57">
                  <c:v>510.49368045075312</c:v>
                </c:pt>
                <c:pt idx="58">
                  <c:v>514.29164038230499</c:v>
                </c:pt>
                <c:pt idx="59">
                  <c:v>518.08900823898546</c:v>
                </c:pt>
                <c:pt idx="60">
                  <c:v>521.88578897616731</c:v>
                </c:pt>
                <c:pt idx="61">
                  <c:v>525.68198747118402</c:v>
                </c:pt>
                <c:pt idx="62">
                  <c:v>529.4776085251259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2073056"/>
        <c:axId val="-232070880"/>
      </c:scatterChart>
      <c:valAx>
        <c:axId val="-2320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70880"/>
        <c:crosses val="autoZero"/>
        <c:crossBetween val="midCat"/>
      </c:valAx>
      <c:valAx>
        <c:axId val="-23207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6976"/>
        <c:axId val="-96133504"/>
      </c:scatterChart>
      <c:valAx>
        <c:axId val="-96126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3504"/>
        <c:crosses val="autoZero"/>
        <c:crossBetween val="midCat"/>
      </c:valAx>
      <c:valAx>
        <c:axId val="-9613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2960"/>
        <c:axId val="-96131872"/>
      </c:scatterChart>
      <c:valAx>
        <c:axId val="-96132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1872"/>
        <c:crosses val="autoZero"/>
        <c:crossBetween val="midCat"/>
      </c:valAx>
      <c:valAx>
        <c:axId val="-961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2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2.4858895523662832</c:v>
                </c:pt>
                <c:pt idx="2">
                  <c:v>2.8149584164650818</c:v>
                </c:pt>
                <c:pt idx="3">
                  <c:v>3.187742266431087</c:v>
                </c:pt>
                <c:pt idx="4">
                  <c:v>3.6100678247420519</c:v>
                </c:pt>
                <c:pt idx="5">
                  <c:v>4.0885408840400297</c:v>
                </c:pt>
                <c:pt idx="6">
                  <c:v>4.6306507774210859</c:v>
                </c:pt>
                <c:pt idx="7">
                  <c:v>5.2448888955595576</c:v>
                </c:pt>
                <c:pt idx="8">
                  <c:v>5.9408831440577652</c:v>
                </c:pt>
                <c:pt idx="9">
                  <c:v>6.7295504902044359</c:v>
                </c:pt>
                <c:pt idx="10">
                  <c:v>7.6232700387458392</c:v>
                </c:pt>
                <c:pt idx="11">
                  <c:v>8.6360794060196344</c:v>
                </c:pt>
                <c:pt idx="12">
                  <c:v>9.7838975362072436</c:v>
                </c:pt>
                <c:pt idx="13">
                  <c:v>11.084777528586281</c:v>
                </c:pt>
                <c:pt idx="14">
                  <c:v>12.55919352739317</c:v>
                </c:pt>
                <c:pt idx="15">
                  <c:v>14.230366274056879</c:v>
                </c:pt>
                <c:pt idx="16">
                  <c:v>16.124632544019693</c:v>
                </c:pt>
                <c:pt idx="17">
                  <c:v>18.271864397209924</c:v>
                </c:pt>
                <c:pt idx="18">
                  <c:v>20.705944973936958</c:v>
                </c:pt>
                <c:pt idx="19">
                  <c:v>23.465308479562164</c:v>
                </c:pt>
                <c:pt idx="20">
                  <c:v>26.593553036553288</c:v>
                </c:pt>
                <c:pt idx="21">
                  <c:v>30.140136258260593</c:v>
                </c:pt>
                <c:pt idx="22">
                  <c:v>34.161164734054282</c:v>
                </c:pt>
                <c:pt idx="23">
                  <c:v>38.720290132025816</c:v>
                </c:pt>
                <c:pt idx="24">
                  <c:v>43.889726347927215</c:v>
                </c:pt>
                <c:pt idx="25">
                  <c:v>49.751404085402612</c:v>
                </c:pt>
                <c:pt idx="26">
                  <c:v>56.398281474671109</c:v>
                </c:pt>
                <c:pt idx="27">
                  <c:v>63.935831860795808</c:v>
                </c:pt>
                <c:pt idx="28">
                  <c:v>72.483732759594673</c:v>
                </c:pt>
                <c:pt idx="29">
                  <c:v>82.177783235781845</c:v>
                </c:pt>
                <c:pt idx="30">
                  <c:v>93.172080657101858</c:v>
                </c:pt>
                <c:pt idx="31">
                  <c:v>105.99681415762903</c:v>
                </c:pt>
                <c:pt idx="32">
                  <c:v>118.78325444868756</c:v>
                </c:pt>
                <c:pt idx="33">
                  <c:v>131.53611082594338</c:v>
                </c:pt>
                <c:pt idx="34">
                  <c:v>144.25910208402118</c:v>
                </c:pt>
                <c:pt idx="35">
                  <c:v>156.95523591038759</c:v>
                </c:pt>
                <c:pt idx="36">
                  <c:v>174.46608120068723</c:v>
                </c:pt>
                <c:pt idx="37">
                  <c:v>191.93562952471487</c:v>
                </c:pt>
                <c:pt idx="38">
                  <c:v>209.36817004651758</c:v>
                </c:pt>
                <c:pt idx="39">
                  <c:v>226.76721841993995</c:v>
                </c:pt>
                <c:pt idx="40">
                  <c:v>244.13570624979195</c:v>
                </c:pt>
                <c:pt idx="41">
                  <c:v>246.3508912258574</c:v>
                </c:pt>
                <c:pt idx="42">
                  <c:v>267.00472939023297</c:v>
                </c:pt>
                <c:pt idx="43">
                  <c:v>287.62257877818178</c:v>
                </c:pt>
                <c:pt idx="44">
                  <c:v>308.20738114119689</c:v>
                </c:pt>
                <c:pt idx="45">
                  <c:v>328.76165316889802</c:v>
                </c:pt>
                <c:pt idx="46">
                  <c:v>320.32326822394992</c:v>
                </c:pt>
                <c:pt idx="47">
                  <c:v>343.0593678011071</c:v>
                </c:pt>
                <c:pt idx="48">
                  <c:v>365.76236018396577</c:v>
                </c:pt>
                <c:pt idx="49">
                  <c:v>388.4345878874156</c:v>
                </c:pt>
                <c:pt idx="50">
                  <c:v>411.07809777850667</c:v>
                </c:pt>
                <c:pt idx="51">
                  <c:v>390.62711987431999</c:v>
                </c:pt>
                <c:pt idx="52">
                  <c:v>413.99784480834296</c:v>
                </c:pt>
                <c:pt idx="53">
                  <c:v>437.34012076648884</c:v>
                </c:pt>
                <c:pt idx="54">
                  <c:v>460.65567837255685</c:v>
                </c:pt>
                <c:pt idx="55">
                  <c:v>483.94605890429244</c:v>
                </c:pt>
                <c:pt idx="56">
                  <c:v>455.55760235358701</c:v>
                </c:pt>
                <c:pt idx="57">
                  <c:v>479.94475478271579</c:v>
                </c:pt>
                <c:pt idx="58">
                  <c:v>504.30557788557547</c:v>
                </c:pt>
                <c:pt idx="59">
                  <c:v>528.64152106257495</c:v>
                </c:pt>
                <c:pt idx="60">
                  <c:v>552.95388951521443</c:v>
                </c:pt>
                <c:pt idx="61">
                  <c:v>517.38461348648957</c:v>
                </c:pt>
                <c:pt idx="62">
                  <c:v>541.70773572913458</c:v>
                </c:pt>
                <c:pt idx="63">
                  <c:v>566.00793219848265</c:v>
                </c:pt>
                <c:pt idx="64">
                  <c:v>590.28632449918803</c:v>
                </c:pt>
                <c:pt idx="65">
                  <c:v>614.54393455152797</c:v>
                </c:pt>
                <c:pt idx="66">
                  <c:v>573.25744827378378</c:v>
                </c:pt>
                <c:pt idx="67">
                  <c:v>597.16741718410981</c:v>
                </c:pt>
                <c:pt idx="68">
                  <c:v>621.05748512511423</c:v>
                </c:pt>
                <c:pt idx="69">
                  <c:v>644.92852442603737</c:v>
                </c:pt>
                <c:pt idx="70">
                  <c:v>668.78133765132986</c:v>
                </c:pt>
                <c:pt idx="71">
                  <c:v>623.95194130359948</c:v>
                </c:pt>
                <c:pt idx="72">
                  <c:v>647.82072993888187</c:v>
                </c:pt>
                <c:pt idx="73">
                  <c:v>671.67138543181647</c:v>
                </c:pt>
                <c:pt idx="74">
                  <c:v>695.50464148450317</c:v>
                </c:pt>
                <c:pt idx="75">
                  <c:v>719.32117747825157</c:v>
                </c:pt>
                <c:pt idx="76">
                  <c:v>669.14260764358323</c:v>
                </c:pt>
                <c:pt idx="77">
                  <c:v>692.97767598566577</c:v>
                </c:pt>
                <c:pt idx="78">
                  <c:v>716.79595461020836</c:v>
                </c:pt>
                <c:pt idx="79">
                  <c:v>740.59807920779986</c:v>
                </c:pt>
                <c:pt idx="80">
                  <c:v>764.38464133080004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0784"/>
        <c:axId val="-96122080"/>
      </c:scatterChart>
      <c:valAx>
        <c:axId val="-9613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2080"/>
        <c:crosses val="autoZero"/>
        <c:crossBetween val="midCat"/>
      </c:valAx>
      <c:valAx>
        <c:axId val="-9612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2.0346083701005098</c:v>
                </c:pt>
                <c:pt idx="2">
                  <c:v>2.848698915747446</c:v>
                </c:pt>
                <c:pt idx="3">
                  <c:v>3.9899426252887658</c:v>
                </c:pt>
                <c:pt idx="4">
                  <c:v>5.5903466393835552</c:v>
                </c:pt>
                <c:pt idx="5">
                  <c:v>7.83538524504264</c:v>
                </c:pt>
                <c:pt idx="6">
                  <c:v>10.985731517362817</c:v>
                </c:pt>
                <c:pt idx="7">
                  <c:v>15.407850044625512</c:v>
                </c:pt>
                <c:pt idx="8">
                  <c:v>21.617074378266139</c:v>
                </c:pt>
                <c:pt idx="9">
                  <c:v>30.338278605620587</c:v>
                </c:pt>
                <c:pt idx="10">
                  <c:v>42.591348832107379</c:v>
                </c:pt>
                <c:pt idx="11">
                  <c:v>59.811618878677223</c:v>
                </c:pt>
                <c:pt idx="12">
                  <c:v>84.019610427781586</c:v>
                </c:pt>
                <c:pt idx="13">
                  <c:v>118.06031314088193</c:v>
                </c:pt>
                <c:pt idx="14">
                  <c:v>165.9405642069666</c:v>
                </c:pt>
                <c:pt idx="15">
                  <c:v>233.30484175109825</c:v>
                </c:pt>
                <c:pt idx="16">
                  <c:v>267.44578983214518</c:v>
                </c:pt>
                <c:pt idx="17">
                  <c:v>301.48848927400928</c:v>
                </c:pt>
                <c:pt idx="18">
                  <c:v>335.44558817007095</c:v>
                </c:pt>
                <c:pt idx="19">
                  <c:v>369.32696235512088</c:v>
                </c:pt>
                <c:pt idx="20">
                  <c:v>403.14052729824169</c:v>
                </c:pt>
                <c:pt idx="21">
                  <c:v>425.4900641128516</c:v>
                </c:pt>
                <c:pt idx="22">
                  <c:v>460.86531362427507</c:v>
                </c:pt>
                <c:pt idx="23">
                  <c:v>496.18262831321022</c:v>
                </c:pt>
                <c:pt idx="24">
                  <c:v>531.44670479748004</c:v>
                </c:pt>
                <c:pt idx="25">
                  <c:v>566.66156628829015</c:v>
                </c:pt>
                <c:pt idx="26">
                  <c:v>544.68739506155214</c:v>
                </c:pt>
                <c:pt idx="27">
                  <c:v>577.0516950477969</c:v>
                </c:pt>
                <c:pt idx="28">
                  <c:v>609.37813237514945</c:v>
                </c:pt>
                <c:pt idx="29">
                  <c:v>641.66899467097437</c:v>
                </c:pt>
                <c:pt idx="30">
                  <c:v>673.92632089044412</c:v>
                </c:pt>
                <c:pt idx="31">
                  <c:v>623.99579455846367</c:v>
                </c:pt>
                <c:pt idx="32">
                  <c:v>652.97455038641306</c:v>
                </c:pt>
                <c:pt idx="33">
                  <c:v>681.9268108715595</c:v>
                </c:pt>
                <c:pt idx="34">
                  <c:v>710.85385738964942</c:v>
                </c:pt>
                <c:pt idx="35">
                  <c:v>739.75685868452183</c:v>
                </c:pt>
                <c:pt idx="36">
                  <c:v>680.98567721693689</c:v>
                </c:pt>
                <c:pt idx="37">
                  <c:v>706.85726762405102</c:v>
                </c:pt>
                <c:pt idx="38">
                  <c:v>732.70950401316429</c:v>
                </c:pt>
                <c:pt idx="39">
                  <c:v>758.54316435646797</c:v>
                </c:pt>
                <c:pt idx="40">
                  <c:v>784.35896939202519</c:v>
                </c:pt>
                <c:pt idx="41">
                  <c:v>715.55514006165993</c:v>
                </c:pt>
                <c:pt idx="42">
                  <c:v>739.52196895800637</c:v>
                </c:pt>
                <c:pt idx="43">
                  <c:v>763.47299401473254</c:v>
                </c:pt>
                <c:pt idx="44">
                  <c:v>787.40878011653638</c:v>
                </c:pt>
                <c:pt idx="45">
                  <c:v>811.32985505325234</c:v>
                </c:pt>
                <c:pt idx="46">
                  <c:v>737.64279642681765</c:v>
                </c:pt>
                <c:pt idx="47">
                  <c:v>760.18651296112273</c:v>
                </c:pt>
                <c:pt idx="48">
                  <c:v>782.7166642850392</c:v>
                </c:pt>
                <c:pt idx="49">
                  <c:v>805.23369532082245</c:v>
                </c:pt>
                <c:pt idx="50">
                  <c:v>827.73802411254826</c:v>
                </c:pt>
                <c:pt idx="51">
                  <c:v>760.65602788121134</c:v>
                </c:pt>
                <c:pt idx="52">
                  <c:v>781.54354651633878</c:v>
                </c:pt>
                <c:pt idx="53">
                  <c:v>802.41976942349982</c:v>
                </c:pt>
                <c:pt idx="54">
                  <c:v>823.28503149104245</c:v>
                </c:pt>
                <c:pt idx="55">
                  <c:v>844.13964927038353</c:v>
                </c:pt>
                <c:pt idx="56">
                  <c:v>786.47040231283734</c:v>
                </c:pt>
                <c:pt idx="57">
                  <c:v>806.17162648284011</c:v>
                </c:pt>
                <c:pt idx="58">
                  <c:v>825.86313877910959</c:v>
                </c:pt>
                <c:pt idx="59">
                  <c:v>845.5452030971519</c:v>
                </c:pt>
                <c:pt idx="60">
                  <c:v>865.21807006056008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5888"/>
        <c:axId val="-96130240"/>
      </c:scatterChart>
      <c:valAx>
        <c:axId val="-9612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0240"/>
        <c:crosses val="autoZero"/>
        <c:crossBetween val="midCat"/>
      </c:valAx>
      <c:valAx>
        <c:axId val="-9613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4800"/>
        <c:axId val="-96124256"/>
      </c:scatterChart>
      <c:valAx>
        <c:axId val="-9612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4256"/>
        <c:crosses val="autoZero"/>
        <c:crossBetween val="midCat"/>
      </c:valAx>
      <c:valAx>
        <c:axId val="-9612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1.6285034943697572</c:v>
                </c:pt>
                <c:pt idx="2">
                  <c:v>2.10834593559394</c:v>
                </c:pt>
                <c:pt idx="3">
                  <c:v>2.7301550598420192</c:v>
                </c:pt>
                <c:pt idx="4">
                  <c:v>3.5360954035455823</c:v>
                </c:pt>
                <c:pt idx="5">
                  <c:v>4.5808996351865483</c:v>
                </c:pt>
                <c:pt idx="6">
                  <c:v>5.9356273006078171</c:v>
                </c:pt>
                <c:pt idx="7">
                  <c:v>7.692551153663941</c:v>
                </c:pt>
                <c:pt idx="8">
                  <c:v>9.9715102890492897</c:v>
                </c:pt>
                <c:pt idx="9">
                  <c:v>12.928171603936716</c:v>
                </c:pt>
                <c:pt idx="10">
                  <c:v>16.764774353715051</c:v>
                </c:pt>
                <c:pt idx="11">
                  <c:v>21.744106104167642</c:v>
                </c:pt>
                <c:pt idx="12">
                  <c:v>28.207684431147282</c:v>
                </c:pt>
                <c:pt idx="13">
                  <c:v>36.599413200698606</c:v>
                </c:pt>
                <c:pt idx="14">
                  <c:v>47.496365935208495</c:v>
                </c:pt>
                <c:pt idx="15">
                  <c:v>61.64884869935576</c:v>
                </c:pt>
                <c:pt idx="16">
                  <c:v>89.122624817419606</c:v>
                </c:pt>
                <c:pt idx="17">
                  <c:v>116.38136504887065</c:v>
                </c:pt>
                <c:pt idx="18">
                  <c:v>143.48313931136238</c:v>
                </c:pt>
                <c:pt idx="19">
                  <c:v>170.46193674497437</c:v>
                </c:pt>
                <c:pt idx="20">
                  <c:v>197.34001206009097</c:v>
                </c:pt>
                <c:pt idx="21">
                  <c:v>184.22499057372553</c:v>
                </c:pt>
                <c:pt idx="22">
                  <c:v>215.83345410032075</c:v>
                </c:pt>
                <c:pt idx="23">
                  <c:v>247.33527237401009</c:v>
                </c:pt>
                <c:pt idx="24">
                  <c:v>278.74594298198662</c:v>
                </c:pt>
                <c:pt idx="25">
                  <c:v>310.07717798339257</c:v>
                </c:pt>
                <c:pt idx="26">
                  <c:v>263.46448239355612</c:v>
                </c:pt>
                <c:pt idx="27">
                  <c:v>296.2758548734829</c:v>
                </c:pt>
                <c:pt idx="28">
                  <c:v>329.00617208091745</c:v>
                </c:pt>
                <c:pt idx="29">
                  <c:v>361.66462434121917</c:v>
                </c:pt>
                <c:pt idx="30">
                  <c:v>394.25860629818544</c:v>
                </c:pt>
                <c:pt idx="31">
                  <c:v>346.88428679596865</c:v>
                </c:pt>
                <c:pt idx="32">
                  <c:v>378.48174040506427</c:v>
                </c:pt>
                <c:pt idx="33">
                  <c:v>410.02179129856216</c:v>
                </c:pt>
                <c:pt idx="34">
                  <c:v>441.50947017141607</c:v>
                </c:pt>
                <c:pt idx="35">
                  <c:v>472.94903211084278</c:v>
                </c:pt>
                <c:pt idx="36">
                  <c:v>424.545071417987</c:v>
                </c:pt>
                <c:pt idx="37">
                  <c:v>454.78506058806698</c:v>
                </c:pt>
                <c:pt idx="38">
                  <c:v>484.98209448278493</c:v>
                </c:pt>
                <c:pt idx="39">
                  <c:v>515.13922000966511</c:v>
                </c:pt>
                <c:pt idx="40">
                  <c:v>545.25909862367212</c:v>
                </c:pt>
                <c:pt idx="41">
                  <c:v>495.58224490397157</c:v>
                </c:pt>
                <c:pt idx="42">
                  <c:v>524.30111856958581</c:v>
                </c:pt>
                <c:pt idx="43">
                  <c:v>552.9868623362263</c:v>
                </c:pt>
                <c:pt idx="44">
                  <c:v>581.6414340654934</c:v>
                </c:pt>
                <c:pt idx="45">
                  <c:v>610.26658322144317</c:v>
                </c:pt>
                <c:pt idx="46">
                  <c:v>559.08612817799042</c:v>
                </c:pt>
                <c:pt idx="47">
                  <c:v>586.1096648062113</c:v>
                </c:pt>
                <c:pt idx="48">
                  <c:v>613.10725230610979</c:v>
                </c:pt>
                <c:pt idx="49">
                  <c:v>640.08019248318715</c:v>
                </c:pt>
                <c:pt idx="50">
                  <c:v>667.02966862520373</c:v>
                </c:pt>
                <c:pt idx="51">
                  <c:v>614.73036912240741</c:v>
                </c:pt>
                <c:pt idx="52">
                  <c:v>640.48561870423794</c:v>
                </c:pt>
                <c:pt idx="53">
                  <c:v>666.2194897168099</c:v>
                </c:pt>
                <c:pt idx="54">
                  <c:v>691.93292300583641</c:v>
                </c:pt>
                <c:pt idx="55">
                  <c:v>717.62678388294546</c:v>
                </c:pt>
                <c:pt idx="56">
                  <c:v>667.83982729366255</c:v>
                </c:pt>
                <c:pt idx="57">
                  <c:v>691.93292300583641</c:v>
                </c:pt>
                <c:pt idx="58">
                  <c:v>716.008835054629</c:v>
                </c:pt>
                <c:pt idx="59">
                  <c:v>740.06822179602466</c:v>
                </c:pt>
                <c:pt idx="60">
                  <c:v>764.11169534741384</c:v>
                </c:pt>
                <c:pt idx="61">
                  <c:v>1.6301611558033651E-12</c:v>
                </c:pt>
                <c:pt idx="62">
                  <c:v>1.6301611558033651E-12</c:v>
                </c:pt>
                <c:pt idx="63">
                  <c:v>1.6301611558033651E-12</c:v>
                </c:pt>
                <c:pt idx="64">
                  <c:v>1.6301611558033651E-12</c:v>
                </c:pt>
                <c:pt idx="65">
                  <c:v>1.6301611558033651E-12</c:v>
                </c:pt>
                <c:pt idx="66">
                  <c:v>1.6301611558033651E-12</c:v>
                </c:pt>
                <c:pt idx="67">
                  <c:v>1.6301611558033651E-12</c:v>
                </c:pt>
                <c:pt idx="68">
                  <c:v>1.6301611558033651E-12</c:v>
                </c:pt>
                <c:pt idx="69">
                  <c:v>1.6301611558033651E-12</c:v>
                </c:pt>
                <c:pt idx="70">
                  <c:v>1.6301611558033651E-12</c:v>
                </c:pt>
                <c:pt idx="71">
                  <c:v>1.6301611558033651E-12</c:v>
                </c:pt>
                <c:pt idx="72">
                  <c:v>1.6301611558033651E-12</c:v>
                </c:pt>
                <c:pt idx="73">
                  <c:v>1.6301611558033651E-12</c:v>
                </c:pt>
                <c:pt idx="74">
                  <c:v>1.6301611558033651E-12</c:v>
                </c:pt>
                <c:pt idx="75">
                  <c:v>1.6301611558033651E-12</c:v>
                </c:pt>
                <c:pt idx="76">
                  <c:v>1.6301611558033651E-12</c:v>
                </c:pt>
                <c:pt idx="77">
                  <c:v>1.6301611558033651E-12</c:v>
                </c:pt>
                <c:pt idx="78">
                  <c:v>1.6301611558033651E-12</c:v>
                </c:pt>
                <c:pt idx="79">
                  <c:v>1.6301611558033651E-12</c:v>
                </c:pt>
                <c:pt idx="80">
                  <c:v>1.6301611558033651E-12</c:v>
                </c:pt>
                <c:pt idx="81">
                  <c:v>1.6301611558033651E-12</c:v>
                </c:pt>
                <c:pt idx="82">
                  <c:v>1.6301611558033651E-12</c:v>
                </c:pt>
                <c:pt idx="83">
                  <c:v>1.6301611558033651E-12</c:v>
                </c:pt>
                <c:pt idx="84">
                  <c:v>1.6301611558033651E-12</c:v>
                </c:pt>
                <c:pt idx="85">
                  <c:v>1.6301611558033651E-12</c:v>
                </c:pt>
                <c:pt idx="86">
                  <c:v>1.6301611558033651E-12</c:v>
                </c:pt>
                <c:pt idx="87">
                  <c:v>1.6301611558033651E-12</c:v>
                </c:pt>
                <c:pt idx="88">
                  <c:v>1.6301611558033651E-12</c:v>
                </c:pt>
                <c:pt idx="89">
                  <c:v>1.6301611558033651E-12</c:v>
                </c:pt>
                <c:pt idx="90">
                  <c:v>1.6301611558033651E-12</c:v>
                </c:pt>
                <c:pt idx="91">
                  <c:v>1.6301611558033651E-12</c:v>
                </c:pt>
                <c:pt idx="92">
                  <c:v>1.6301611558033651E-12</c:v>
                </c:pt>
                <c:pt idx="93">
                  <c:v>1.6301611558033651E-12</c:v>
                </c:pt>
                <c:pt idx="94">
                  <c:v>1.6301611558033651E-12</c:v>
                </c:pt>
                <c:pt idx="95">
                  <c:v>1.6301611558033651E-12</c:v>
                </c:pt>
                <c:pt idx="96">
                  <c:v>1.6301611558033651E-12</c:v>
                </c:pt>
                <c:pt idx="97">
                  <c:v>1.6301611558033651E-12</c:v>
                </c:pt>
                <c:pt idx="98">
                  <c:v>1.6301611558033651E-12</c:v>
                </c:pt>
                <c:pt idx="99">
                  <c:v>1.6301611558033651E-12</c:v>
                </c:pt>
                <c:pt idx="100">
                  <c:v>1.6301611558033651E-12</c:v>
                </c:pt>
                <c:pt idx="101">
                  <c:v>1.6301611558033651E-12</c:v>
                </c:pt>
                <c:pt idx="102">
                  <c:v>1.6301611558033651E-12</c:v>
                </c:pt>
                <c:pt idx="103">
                  <c:v>1.6301611558033651E-12</c:v>
                </c:pt>
                <c:pt idx="104">
                  <c:v>1.6301611558033651E-12</c:v>
                </c:pt>
                <c:pt idx="105">
                  <c:v>1.6301611558033651E-12</c:v>
                </c:pt>
                <c:pt idx="106">
                  <c:v>1.6301611558033651E-12</c:v>
                </c:pt>
                <c:pt idx="107">
                  <c:v>1.6301611558033651E-12</c:v>
                </c:pt>
                <c:pt idx="108">
                  <c:v>1.6301611558033651E-12</c:v>
                </c:pt>
                <c:pt idx="109">
                  <c:v>1.6301611558033651E-12</c:v>
                </c:pt>
                <c:pt idx="110">
                  <c:v>1.6301611558033651E-12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3712"/>
        <c:axId val="-96123168"/>
      </c:scatterChart>
      <c:valAx>
        <c:axId val="-961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3168"/>
        <c:crosses val="autoZero"/>
        <c:crossBetween val="midCat"/>
      </c:valAx>
      <c:valAx>
        <c:axId val="-961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185.24975095506514</c:v>
                </c:pt>
                <c:pt idx="27">
                  <c:v>194.5679604172725</c:v>
                </c:pt>
                <c:pt idx="28">
                  <c:v>153.62119689024669</c:v>
                </c:pt>
                <c:pt idx="29">
                  <c:v>163.44406817234915</c:v>
                </c:pt>
                <c:pt idx="30">
                  <c:v>173.25298354209474</c:v>
                </c:pt>
                <c:pt idx="31">
                  <c:v>183.04884536716665</c:v>
                </c:pt>
                <c:pt idx="32">
                  <c:v>192.83245141335428</c:v>
                </c:pt>
                <c:pt idx="33">
                  <c:v>202.60451177919899</c:v>
                </c:pt>
                <c:pt idx="34">
                  <c:v>212.36566238676036</c:v>
                </c:pt>
                <c:pt idx="35">
                  <c:v>161.70140970029539</c:v>
                </c:pt>
                <c:pt idx="36">
                  <c:v>171.86081644124246</c:v>
                </c:pt>
                <c:pt idx="37">
                  <c:v>182.00609551607803</c:v>
                </c:pt>
                <c:pt idx="38">
                  <c:v>192.13814620457819</c:v>
                </c:pt>
                <c:pt idx="39">
                  <c:v>202.25776507632216</c:v>
                </c:pt>
                <c:pt idx="40">
                  <c:v>212.36566238676036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2624"/>
        <c:axId val="-96137312"/>
      </c:scatterChart>
      <c:valAx>
        <c:axId val="-961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7312"/>
        <c:crosses val="autoZero"/>
        <c:crossBetween val="midCat"/>
      </c:valAx>
      <c:valAx>
        <c:axId val="-9613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2084480"/>
        <c:axId val="-232080672"/>
      </c:scatterChart>
      <c:valAx>
        <c:axId val="-232084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80672"/>
        <c:crosses val="autoZero"/>
        <c:crossBetween val="midCat"/>
      </c:valAx>
      <c:valAx>
        <c:axId val="-2320806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84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56" zoomScale="90" zoomScaleNormal="90" workbookViewId="0">
      <selection activeCell="C6" sqref="C6"/>
    </sheetView>
  </sheetViews>
  <sheetFormatPr baseColWidth="10" defaultColWidth="11.44140625" defaultRowHeight="14.4" x14ac:dyDescent="0.3"/>
  <cols>
    <col min="1" max="1" width="13.77734375" style="23" customWidth="1"/>
    <col min="2" max="2" width="36.21875" style="23" customWidth="1"/>
    <col min="3" max="3" width="14.77734375" style="23" bestFit="1" customWidth="1"/>
    <col min="4" max="4" width="16.44140625" style="23" customWidth="1"/>
    <col min="5" max="5" width="23.21875" style="23" customWidth="1"/>
    <col min="6" max="6" width="28.77734375" style="23" bestFit="1" customWidth="1"/>
    <col min="7" max="8" width="14.7773437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6.81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</v>
      </c>
      <c r="C9" s="32">
        <v>0.13</v>
      </c>
      <c r="D9" s="33">
        <f t="shared" ref="D9:D18" si="0">C9*$C$5</f>
        <v>0.88529999999999998</v>
      </c>
      <c r="E9" s="34">
        <v>55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0.19</v>
      </c>
      <c r="D10" s="33">
        <f t="shared" si="0"/>
        <v>1.2939000000000001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29</v>
      </c>
      <c r="C11" s="32">
        <v>0.04</v>
      </c>
      <c r="D11" s="33">
        <f t="shared" si="0"/>
        <v>0.27239999999999998</v>
      </c>
      <c r="E11" s="34">
        <v>69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25</v>
      </c>
      <c r="C12" s="32">
        <v>3.5999999999999997E-2</v>
      </c>
      <c r="D12" s="33">
        <f t="shared" si="0"/>
        <v>0.24515999999999996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18</v>
      </c>
      <c r="C13" s="32">
        <v>0.25</v>
      </c>
      <c r="D13" s="33">
        <f t="shared" si="0"/>
        <v>1.7024999999999999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81</v>
      </c>
      <c r="C14" s="32">
        <v>0.08</v>
      </c>
      <c r="D14" s="33">
        <f t="shared" si="0"/>
        <v>0.54479999999999995</v>
      </c>
      <c r="E14" s="34">
        <v>42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45</v>
      </c>
      <c r="C15" s="32">
        <v>0.08</v>
      </c>
      <c r="D15" s="33">
        <f t="shared" si="0"/>
        <v>0.54479999999999995</v>
      </c>
      <c r="E15" s="34">
        <v>60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164</v>
      </c>
      <c r="C16" s="32">
        <v>0.11</v>
      </c>
      <c r="D16" s="33">
        <f t="shared" si="0"/>
        <v>0.74909999999999999</v>
      </c>
      <c r="E16" s="34">
        <v>40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35</v>
      </c>
      <c r="C17" s="32">
        <v>0.04</v>
      </c>
      <c r="D17" s="33">
        <f t="shared" si="0"/>
        <v>0.27239999999999998</v>
      </c>
      <c r="E17" s="34">
        <v>65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36</v>
      </c>
      <c r="C18" s="32">
        <v>0.04</v>
      </c>
      <c r="D18" s="33">
        <f t="shared" si="0"/>
        <v>0.27239999999999998</v>
      </c>
      <c r="E18" s="34">
        <v>62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0.99599999999999989</v>
      </c>
      <c r="D19" s="38">
        <f>SUM(D9:D18)</f>
        <v>6.7827600000000015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v>107</v>
      </c>
      <c r="C36" s="60">
        <v>1</v>
      </c>
      <c r="D36" s="60">
        <v>34</v>
      </c>
      <c r="E36" s="51"/>
      <c r="F36" s="51"/>
      <c r="G36" s="51"/>
      <c r="H36" s="51">
        <v>1</v>
      </c>
      <c r="I36" s="49">
        <f>IFERROR(B36/A36,"")</f>
        <v>7.1333333333333337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154</v>
      </c>
      <c r="C37" s="60">
        <v>2</v>
      </c>
      <c r="D37" s="60">
        <v>50</v>
      </c>
      <c r="E37" s="51">
        <v>0.1</v>
      </c>
      <c r="F37" s="51">
        <v>0.4</v>
      </c>
      <c r="G37" s="51"/>
      <c r="H37" s="51">
        <v>0.5</v>
      </c>
      <c r="I37" s="53">
        <f t="shared" ref="I37:I55" si="1">IF(A37&lt;&gt;0,(B37-(B36-D36))/(A37-A36),"")</f>
        <v>16.2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v>183</v>
      </c>
      <c r="C38" s="60">
        <v>3</v>
      </c>
      <c r="D38" s="60">
        <v>52</v>
      </c>
      <c r="E38" s="51">
        <v>0.1</v>
      </c>
      <c r="F38" s="51">
        <v>0.5</v>
      </c>
      <c r="G38" s="51"/>
      <c r="H38" s="51">
        <v>0.4</v>
      </c>
      <c r="I38" s="53">
        <f t="shared" si="1"/>
        <v>15.8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v>205</v>
      </c>
      <c r="C39" s="60">
        <v>4</v>
      </c>
      <c r="D39" s="60">
        <v>51</v>
      </c>
      <c r="E39" s="51">
        <v>0.2</v>
      </c>
      <c r="F39" s="51">
        <v>0.4</v>
      </c>
      <c r="G39" s="51"/>
      <c r="H39" s="51">
        <v>0.4</v>
      </c>
      <c r="I39" s="49">
        <f t="shared" si="1"/>
        <v>14.8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35</v>
      </c>
      <c r="B40" s="60">
        <v>222</v>
      </c>
      <c r="C40" s="60">
        <v>5</v>
      </c>
      <c r="D40" s="60">
        <v>49</v>
      </c>
      <c r="E40" s="51"/>
      <c r="F40" s="51"/>
      <c r="G40" s="51"/>
      <c r="H40" s="51"/>
      <c r="I40" s="49">
        <f t="shared" si="1"/>
        <v>13.6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v>235</v>
      </c>
      <c r="C41" s="60">
        <v>6</v>
      </c>
      <c r="D41" s="60">
        <v>45</v>
      </c>
      <c r="E41" s="51"/>
      <c r="F41" s="51"/>
      <c r="G41" s="51"/>
      <c r="H41" s="51"/>
      <c r="I41" s="53">
        <f t="shared" si="1"/>
        <v>12.4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v>245</v>
      </c>
      <c r="C42" s="60">
        <v>7</v>
      </c>
      <c r="D42" s="60">
        <v>41</v>
      </c>
      <c r="E42" s="51"/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50</v>
      </c>
      <c r="B43" s="60">
        <v>252</v>
      </c>
      <c r="C43" s="60">
        <v>8</v>
      </c>
      <c r="D43" s="60">
        <v>37</v>
      </c>
      <c r="E43" s="51"/>
      <c r="F43" s="51"/>
      <c r="G43" s="51"/>
      <c r="H43" s="51"/>
      <c r="I43" s="49">
        <f t="shared" si="1"/>
        <v>9.6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55</v>
      </c>
      <c r="B44" s="60">
        <v>258</v>
      </c>
      <c r="C44" s="60"/>
      <c r="D44" s="60">
        <v>258</v>
      </c>
      <c r="E44" s="51"/>
      <c r="F44" s="51"/>
      <c r="G44" s="51"/>
      <c r="H44" s="51"/>
      <c r="I44" s="49">
        <f t="shared" si="1"/>
        <v>8.6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>
        <v>0.2</v>
      </c>
      <c r="G62" s="51">
        <v>0.8</v>
      </c>
      <c r="H62" s="51"/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103</v>
      </c>
      <c r="C63" s="60">
        <v>2</v>
      </c>
      <c r="D63" s="60">
        <v>28</v>
      </c>
      <c r="E63" s="51"/>
      <c r="F63" s="51">
        <v>0.2</v>
      </c>
      <c r="G63" s="51">
        <v>0.8</v>
      </c>
      <c r="H63" s="51"/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121</v>
      </c>
      <c r="C64" s="60">
        <v>3</v>
      </c>
      <c r="D64" s="60">
        <v>28</v>
      </c>
      <c r="E64" s="51"/>
      <c r="F64" s="51">
        <v>0.4</v>
      </c>
      <c r="G64" s="51">
        <v>0.6</v>
      </c>
      <c r="H64" s="51"/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147</v>
      </c>
      <c r="C65" s="60">
        <v>4</v>
      </c>
      <c r="D65" s="60">
        <v>28</v>
      </c>
      <c r="E65" s="51"/>
      <c r="F65" s="51"/>
      <c r="G65" s="51"/>
      <c r="H65" s="51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175</v>
      </c>
      <c r="C66" s="60">
        <v>5</v>
      </c>
      <c r="D66" s="60">
        <v>28</v>
      </c>
      <c r="E66" s="51"/>
      <c r="F66" s="51"/>
      <c r="G66" s="51"/>
      <c r="H66" s="51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204</v>
      </c>
      <c r="C67" s="60">
        <v>6</v>
      </c>
      <c r="D67" s="60">
        <v>28</v>
      </c>
      <c r="E67" s="51"/>
      <c r="F67" s="51"/>
      <c r="G67" s="51"/>
      <c r="H67" s="51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231</v>
      </c>
      <c r="C68" s="60">
        <v>7</v>
      </c>
      <c r="D68" s="60">
        <v>28</v>
      </c>
      <c r="E68" s="51"/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v>254</v>
      </c>
      <c r="C69" s="50">
        <v>8</v>
      </c>
      <c r="D69" s="50">
        <v>28</v>
      </c>
      <c r="E69" s="51"/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v>273</v>
      </c>
      <c r="C70" s="50">
        <v>9</v>
      </c>
      <c r="D70" s="50">
        <v>28</v>
      </c>
      <c r="E70" s="51"/>
      <c r="F70" s="51"/>
      <c r="G70" s="51"/>
      <c r="H70" s="51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50">
        <v>289</v>
      </c>
      <c r="C71" s="50">
        <v>10</v>
      </c>
      <c r="D71" s="50">
        <v>28</v>
      </c>
      <c r="E71" s="51"/>
      <c r="F71" s="51"/>
      <c r="G71" s="51"/>
      <c r="H71" s="51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70</v>
      </c>
      <c r="B72" s="50">
        <v>302</v>
      </c>
      <c r="C72" s="50">
        <v>11</v>
      </c>
      <c r="D72" s="50">
        <v>28</v>
      </c>
      <c r="E72" s="51"/>
      <c r="F72" s="51"/>
      <c r="G72" s="51"/>
      <c r="H72" s="51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50">
        <v>312</v>
      </c>
      <c r="C73" s="50">
        <v>12</v>
      </c>
      <c r="D73" s="50">
        <v>28</v>
      </c>
      <c r="E73" s="51"/>
      <c r="F73" s="51"/>
      <c r="G73" s="51"/>
      <c r="H73" s="51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80</v>
      </c>
      <c r="B74" s="50">
        <v>320</v>
      </c>
      <c r="C74" s="50"/>
      <c r="D74" s="50">
        <v>320</v>
      </c>
      <c r="E74" s="51"/>
      <c r="F74" s="51"/>
      <c r="G74" s="51"/>
      <c r="H74" s="51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Merisier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40</v>
      </c>
      <c r="C88" s="60">
        <v>1</v>
      </c>
      <c r="D88" s="60">
        <v>3</v>
      </c>
      <c r="E88" s="51"/>
      <c r="F88" s="51"/>
      <c r="G88" s="51"/>
      <c r="H88" s="87">
        <v>1</v>
      </c>
      <c r="I88" s="53">
        <f>IFERROR(B88/A88,"")</f>
        <v>2.6666666666666665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85</v>
      </c>
      <c r="C89" s="60">
        <v>2</v>
      </c>
      <c r="D89" s="60">
        <v>25</v>
      </c>
      <c r="E89" s="51"/>
      <c r="F89" s="51">
        <v>0.2</v>
      </c>
      <c r="G89" s="51">
        <v>0.8</v>
      </c>
      <c r="H89" s="87"/>
      <c r="I89" s="53">
        <f t="shared" ref="I89:I107" si="3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113</v>
      </c>
      <c r="C90" s="60">
        <v>3</v>
      </c>
      <c r="D90" s="60">
        <v>27</v>
      </c>
      <c r="E90" s="87"/>
      <c r="F90" s="87">
        <v>0.2</v>
      </c>
      <c r="G90" s="87">
        <v>0.8</v>
      </c>
      <c r="H90" s="87"/>
      <c r="I90" s="53">
        <f t="shared" si="3"/>
        <v>10.6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31</v>
      </c>
      <c r="B91" s="60">
        <v>155</v>
      </c>
      <c r="C91" s="60">
        <v>4</v>
      </c>
      <c r="D91" s="60">
        <v>36</v>
      </c>
      <c r="E91" s="87"/>
      <c r="F91" s="87"/>
      <c r="G91" s="87"/>
      <c r="H91" s="87"/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37</v>
      </c>
      <c r="B92" s="60">
        <v>188</v>
      </c>
      <c r="C92" s="60">
        <v>5</v>
      </c>
      <c r="D92" s="60">
        <v>36</v>
      </c>
      <c r="E92" s="87"/>
      <c r="F92" s="87"/>
      <c r="G92" s="87"/>
      <c r="H92" s="87"/>
      <c r="I92" s="53">
        <f t="shared" si="3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44</v>
      </c>
      <c r="B93" s="60">
        <v>230</v>
      </c>
      <c r="C93" s="60">
        <v>6</v>
      </c>
      <c r="D93" s="60">
        <v>43</v>
      </c>
      <c r="E93" s="87"/>
      <c r="F93" s="87"/>
      <c r="G93" s="87"/>
      <c r="H93" s="87"/>
      <c r="I93" s="53">
        <f t="shared" si="3"/>
        <v>11.142857142857142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52</v>
      </c>
      <c r="B94" s="60">
        <v>270</v>
      </c>
      <c r="C94" s="60">
        <v>7</v>
      </c>
      <c r="D94" s="60">
        <v>48</v>
      </c>
      <c r="E94" s="87"/>
      <c r="F94" s="87"/>
      <c r="G94" s="87"/>
      <c r="H94" s="87"/>
      <c r="I94" s="53">
        <f t="shared" si="3"/>
        <v>10.375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60</v>
      </c>
      <c r="B95" s="60">
        <v>297</v>
      </c>
      <c r="C95" s="60">
        <v>8</v>
      </c>
      <c r="D95" s="60">
        <v>47</v>
      </c>
      <c r="E95" s="87"/>
      <c r="F95" s="87"/>
      <c r="G95" s="87"/>
      <c r="H95" s="87"/>
      <c r="I95" s="53">
        <f t="shared" si="3"/>
        <v>9.375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69</v>
      </c>
      <c r="B96" s="60">
        <v>328</v>
      </c>
      <c r="C96" s="60"/>
      <c r="D96" s="60">
        <v>328</v>
      </c>
      <c r="E96" s="87"/>
      <c r="F96" s="87"/>
      <c r="G96" s="87"/>
      <c r="H96" s="87"/>
      <c r="I96" s="53">
        <f t="shared" si="3"/>
        <v>8.6666666666666661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Hêtre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30</v>
      </c>
      <c r="B114" s="60">
        <v>48</v>
      </c>
      <c r="C114" s="50">
        <v>1</v>
      </c>
      <c r="D114" s="60"/>
      <c r="E114" s="51"/>
      <c r="F114" s="51"/>
      <c r="G114" s="51"/>
      <c r="H114" s="51"/>
      <c r="I114" s="53">
        <f>IFERROR(B114/A114,"")</f>
        <v>1.6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35</v>
      </c>
      <c r="B115" s="60">
        <v>82</v>
      </c>
      <c r="C115" s="50">
        <v>2</v>
      </c>
      <c r="D115" s="60"/>
      <c r="E115" s="51"/>
      <c r="F115" s="51"/>
      <c r="G115" s="51"/>
      <c r="H115" s="51"/>
      <c r="I115" s="53">
        <f t="shared" ref="I115:I133" si="4">IF(A115&lt;&gt;0,(B115-(B114-D114))/(A115-A114),"")</f>
        <v>6.8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129</v>
      </c>
      <c r="C116" s="50">
        <v>3</v>
      </c>
      <c r="D116" s="60">
        <v>10</v>
      </c>
      <c r="E116" s="51"/>
      <c r="F116" s="51"/>
      <c r="G116" s="51"/>
      <c r="H116" s="51"/>
      <c r="I116" s="53">
        <f t="shared" si="4"/>
        <v>9.4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45</v>
      </c>
      <c r="B117" s="60">
        <v>175</v>
      </c>
      <c r="C117" s="50">
        <v>4</v>
      </c>
      <c r="D117" s="60">
        <v>17</v>
      </c>
      <c r="E117" s="51"/>
      <c r="F117" s="51"/>
      <c r="G117" s="51"/>
      <c r="H117" s="51"/>
      <c r="I117" s="53">
        <f t="shared" si="4"/>
        <v>11.2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50</v>
      </c>
      <c r="B118" s="60">
        <v>220</v>
      </c>
      <c r="C118" s="50">
        <v>5</v>
      </c>
      <c r="D118" s="60">
        <v>24</v>
      </c>
      <c r="E118" s="51"/>
      <c r="F118" s="51"/>
      <c r="G118" s="51"/>
      <c r="H118" s="51"/>
      <c r="I118" s="53">
        <f t="shared" si="4"/>
        <v>12.4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55</v>
      </c>
      <c r="B119" s="60">
        <v>260</v>
      </c>
      <c r="C119" s="50">
        <v>6</v>
      </c>
      <c r="D119" s="60">
        <v>29</v>
      </c>
      <c r="E119" s="51"/>
      <c r="F119" s="51"/>
      <c r="G119" s="51"/>
      <c r="H119" s="51"/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60</v>
      </c>
      <c r="B120" s="60">
        <v>298</v>
      </c>
      <c r="C120" s="60">
        <v>7</v>
      </c>
      <c r="D120" s="60">
        <v>33</v>
      </c>
      <c r="E120" s="87"/>
      <c r="F120" s="87"/>
      <c r="G120" s="87"/>
      <c r="H120" s="87"/>
      <c r="I120" s="53">
        <f t="shared" si="4"/>
        <v>13.4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65</v>
      </c>
      <c r="B121" s="60">
        <v>332</v>
      </c>
      <c r="C121" s="60">
        <v>8</v>
      </c>
      <c r="D121" s="60">
        <v>36</v>
      </c>
      <c r="E121" s="87"/>
      <c r="F121" s="87"/>
      <c r="G121" s="87"/>
      <c r="H121" s="87"/>
      <c r="I121" s="53">
        <f t="shared" si="4"/>
        <v>13.4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70</v>
      </c>
      <c r="B122" s="60">
        <v>362</v>
      </c>
      <c r="C122" s="60">
        <v>9</v>
      </c>
      <c r="D122" s="60">
        <v>38</v>
      </c>
      <c r="E122" s="87"/>
      <c r="F122" s="87"/>
      <c r="G122" s="87"/>
      <c r="H122" s="87"/>
      <c r="I122" s="53">
        <f t="shared" si="4"/>
        <v>13.2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75</v>
      </c>
      <c r="B123" s="60">
        <v>390</v>
      </c>
      <c r="C123" s="60">
        <v>10</v>
      </c>
      <c r="D123" s="60">
        <v>41</v>
      </c>
      <c r="E123" s="87"/>
      <c r="F123" s="87"/>
      <c r="G123" s="87"/>
      <c r="H123" s="87"/>
      <c r="I123" s="53">
        <f t="shared" si="4"/>
        <v>13.2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80</v>
      </c>
      <c r="B124" s="60">
        <v>415</v>
      </c>
      <c r="C124" s="60"/>
      <c r="D124" s="60">
        <v>415</v>
      </c>
      <c r="E124" s="87"/>
      <c r="F124" s="87"/>
      <c r="G124" s="87"/>
      <c r="H124" s="87"/>
      <c r="I124" s="53">
        <f t="shared" si="4"/>
        <v>13.2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Douglas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189</v>
      </c>
      <c r="C140" s="50">
        <v>1</v>
      </c>
      <c r="D140" s="60"/>
      <c r="E140" s="51"/>
      <c r="F140" s="51"/>
      <c r="G140" s="51"/>
      <c r="H140" s="51"/>
      <c r="I140" s="57">
        <f>IFERROR(B140/A140,"")</f>
        <v>12.6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331</v>
      </c>
      <c r="C141" s="50">
        <v>2</v>
      </c>
      <c r="D141" s="60">
        <v>11</v>
      </c>
      <c r="E141" s="51"/>
      <c r="F141" s="51">
        <v>0.4</v>
      </c>
      <c r="G141" s="51">
        <v>0.6</v>
      </c>
      <c r="H141" s="51"/>
      <c r="I141" s="57">
        <f t="shared" ref="I141:I159" si="5">IF(A141&lt;&gt;0,(B141-(B140-D140))/(A141-A140),"")</f>
        <v>28.4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469</v>
      </c>
      <c r="C142" s="50">
        <v>3</v>
      </c>
      <c r="D142" s="60">
        <v>46</v>
      </c>
      <c r="E142" s="51"/>
      <c r="F142" s="51">
        <v>0.4</v>
      </c>
      <c r="G142" s="51">
        <v>0.6</v>
      </c>
      <c r="H142" s="51"/>
      <c r="I142" s="57">
        <f t="shared" si="5"/>
        <v>29.8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560</v>
      </c>
      <c r="C143" s="50">
        <v>4</v>
      </c>
      <c r="D143" s="60">
        <v>67</v>
      </c>
      <c r="E143" s="51">
        <v>0.2</v>
      </c>
      <c r="F143" s="51">
        <v>0.6</v>
      </c>
      <c r="G143" s="51">
        <v>0.2</v>
      </c>
      <c r="H143" s="51"/>
      <c r="I143" s="57">
        <f t="shared" si="5"/>
        <v>27.4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616</v>
      </c>
      <c r="C144" s="50">
        <v>5</v>
      </c>
      <c r="D144" s="60">
        <v>72</v>
      </c>
      <c r="E144" s="51"/>
      <c r="F144" s="51"/>
      <c r="G144" s="51"/>
      <c r="H144" s="51"/>
      <c r="I144" s="57">
        <f t="shared" si="5"/>
        <v>24.6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654</v>
      </c>
      <c r="C145" s="50">
        <v>6</v>
      </c>
      <c r="D145" s="60">
        <v>79</v>
      </c>
      <c r="E145" s="51"/>
      <c r="F145" s="51"/>
      <c r="G145" s="51"/>
      <c r="H145" s="51"/>
      <c r="I145" s="57">
        <f t="shared" si="5"/>
        <v>22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677</v>
      </c>
      <c r="C146" s="50">
        <v>7</v>
      </c>
      <c r="D146" s="60">
        <v>82</v>
      </c>
      <c r="E146" s="51"/>
      <c r="F146" s="51"/>
      <c r="G146" s="51"/>
      <c r="H146" s="51"/>
      <c r="I146" s="57">
        <f t="shared" si="5"/>
        <v>20.399999999999999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691</v>
      </c>
      <c r="C147" s="50">
        <v>8</v>
      </c>
      <c r="D147" s="60">
        <v>75</v>
      </c>
      <c r="E147" s="51"/>
      <c r="F147" s="51"/>
      <c r="G147" s="51"/>
      <c r="H147" s="51"/>
      <c r="I147" s="57">
        <f>IF(A147&lt;&gt;0,(B147-(B146-D146))/(A147-A146),"")</f>
        <v>19.2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705</v>
      </c>
      <c r="C148" s="50">
        <v>9</v>
      </c>
      <c r="D148" s="60">
        <v>66</v>
      </c>
      <c r="E148" s="51"/>
      <c r="F148" s="51"/>
      <c r="G148" s="51"/>
      <c r="H148" s="51"/>
      <c r="I148" s="57">
        <f t="shared" si="5"/>
        <v>17.8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723</v>
      </c>
      <c r="C149" s="50"/>
      <c r="D149" s="60">
        <v>723</v>
      </c>
      <c r="E149" s="51"/>
      <c r="F149" s="51"/>
      <c r="G149" s="51"/>
      <c r="H149" s="51"/>
      <c r="I149" s="57">
        <f t="shared" si="5"/>
        <v>16.8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Mélèze hybride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12</v>
      </c>
      <c r="B166" s="60">
        <v>116</v>
      </c>
      <c r="C166" s="60">
        <v>1</v>
      </c>
      <c r="D166" s="60">
        <v>21</v>
      </c>
      <c r="E166" s="51"/>
      <c r="F166" s="51"/>
      <c r="G166" s="51"/>
      <c r="H166" s="51">
        <v>1</v>
      </c>
      <c r="I166" s="49">
        <f>IFERROR(B166/A166,"")</f>
        <v>9.6666666666666661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168</v>
      </c>
      <c r="C167" s="60">
        <v>2</v>
      </c>
      <c r="D167" s="60">
        <v>47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24.333333333333332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18</v>
      </c>
      <c r="B168" s="60">
        <v>185</v>
      </c>
      <c r="C168" s="60">
        <v>3</v>
      </c>
      <c r="D168" s="60">
        <v>61</v>
      </c>
      <c r="E168" s="51"/>
      <c r="F168" s="51"/>
      <c r="G168" s="51">
        <v>1</v>
      </c>
      <c r="H168" s="51"/>
      <c r="I168" s="49">
        <f t="shared" si="6"/>
        <v>21.333333333333332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24</v>
      </c>
      <c r="B169" s="60">
        <v>239</v>
      </c>
      <c r="C169" s="60">
        <v>4</v>
      </c>
      <c r="D169" s="60">
        <v>84</v>
      </c>
      <c r="E169" s="51"/>
      <c r="F169" s="51">
        <v>0.2</v>
      </c>
      <c r="G169" s="51">
        <v>0.8</v>
      </c>
      <c r="H169" s="51"/>
      <c r="I169" s="49">
        <f t="shared" si="6"/>
        <v>19.166666666666668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255</v>
      </c>
      <c r="C170" s="60">
        <v>5</v>
      </c>
      <c r="D170" s="60">
        <v>76</v>
      </c>
      <c r="E170" s="51">
        <v>0.2</v>
      </c>
      <c r="F170" s="51">
        <v>0.6</v>
      </c>
      <c r="G170" s="51">
        <v>0.2</v>
      </c>
      <c r="H170" s="51"/>
      <c r="I170" s="49">
        <f t="shared" si="6"/>
        <v>16.666666666666668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36</v>
      </c>
      <c r="B171" s="60">
        <v>269</v>
      </c>
      <c r="C171" s="60">
        <v>6</v>
      </c>
      <c r="D171" s="60">
        <v>75</v>
      </c>
      <c r="E171" s="51"/>
      <c r="F171" s="51"/>
      <c r="G171" s="51"/>
      <c r="H171" s="51"/>
      <c r="I171" s="49">
        <f t="shared" si="6"/>
        <v>15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42</v>
      </c>
      <c r="B172" s="60">
        <v>278</v>
      </c>
      <c r="C172" s="60"/>
      <c r="D172" s="60">
        <v>278</v>
      </c>
      <c r="E172" s="51"/>
      <c r="F172" s="51"/>
      <c r="G172" s="51"/>
      <c r="H172" s="51"/>
      <c r="I172" s="49">
        <f t="shared" si="6"/>
        <v>14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Sapin de Nordmann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56</v>
      </c>
      <c r="C192" s="60">
        <v>1</v>
      </c>
      <c r="D192" s="60"/>
      <c r="E192" s="51"/>
      <c r="F192" s="51"/>
      <c r="G192" s="51"/>
      <c r="H192" s="51"/>
      <c r="I192" s="49">
        <f>IFERROR(B192/A192,"")</f>
        <v>3.7333333333333334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185</v>
      </c>
      <c r="C193" s="60">
        <v>2</v>
      </c>
      <c r="D193" s="60">
        <v>43</v>
      </c>
      <c r="E193" s="51"/>
      <c r="F193" s="51">
        <v>0.2</v>
      </c>
      <c r="G193" s="51">
        <v>0.8</v>
      </c>
      <c r="H193" s="51"/>
      <c r="I193" s="49">
        <f t="shared" ref="I193:I211" si="7">IF(A193&lt;&gt;0,(B193-(B192-D192))/(A193-A192),"")</f>
        <v>25.8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294</v>
      </c>
      <c r="C194" s="60">
        <v>3</v>
      </c>
      <c r="D194" s="60">
        <v>77</v>
      </c>
      <c r="E194" s="51"/>
      <c r="F194" s="51">
        <v>0.2</v>
      </c>
      <c r="G194" s="51">
        <v>0.8</v>
      </c>
      <c r="H194" s="51"/>
      <c r="I194" s="49">
        <f t="shared" si="7"/>
        <v>30.4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60">
        <v>376</v>
      </c>
      <c r="C195" s="60">
        <v>4</v>
      </c>
      <c r="D195" s="60">
        <v>77</v>
      </c>
      <c r="E195" s="51">
        <v>0.1</v>
      </c>
      <c r="F195" s="51">
        <v>0.3</v>
      </c>
      <c r="G195" s="51">
        <v>0.6</v>
      </c>
      <c r="H195" s="51"/>
      <c r="I195" s="49">
        <f t="shared" si="7"/>
        <v>31.8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35</v>
      </c>
      <c r="B196" s="60">
        <v>453</v>
      </c>
      <c r="C196" s="60">
        <v>5</v>
      </c>
      <c r="D196" s="60">
        <v>77</v>
      </c>
      <c r="E196" s="51"/>
      <c r="F196" s="51"/>
      <c r="G196" s="51"/>
      <c r="H196" s="51"/>
      <c r="I196" s="49">
        <f t="shared" si="7"/>
        <v>30.8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40</v>
      </c>
      <c r="B197" s="60">
        <v>524</v>
      </c>
      <c r="C197" s="60">
        <v>6</v>
      </c>
      <c r="D197" s="60">
        <v>77</v>
      </c>
      <c r="E197" s="51"/>
      <c r="F197" s="51"/>
      <c r="G197" s="51"/>
      <c r="H197" s="51"/>
      <c r="I197" s="49">
        <f t="shared" si="7"/>
        <v>29.6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45</v>
      </c>
      <c r="B198" s="60">
        <v>588</v>
      </c>
      <c r="C198" s="60">
        <v>7</v>
      </c>
      <c r="D198" s="60">
        <v>77</v>
      </c>
      <c r="E198" s="51"/>
      <c r="F198" s="51"/>
      <c r="G198" s="51"/>
      <c r="H198" s="51"/>
      <c r="I198" s="49">
        <f t="shared" si="7"/>
        <v>28.2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50</v>
      </c>
      <c r="B199" s="50">
        <v>644</v>
      </c>
      <c r="C199" s="50">
        <v>8</v>
      </c>
      <c r="D199" s="50">
        <v>77</v>
      </c>
      <c r="E199" s="51"/>
      <c r="F199" s="51"/>
      <c r="G199" s="51"/>
      <c r="H199" s="51"/>
      <c r="I199" s="49">
        <f t="shared" si="7"/>
        <v>26.6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55</v>
      </c>
      <c r="B200" s="50">
        <v>694</v>
      </c>
      <c r="C200" s="50">
        <v>9</v>
      </c>
      <c r="D200" s="50">
        <v>73</v>
      </c>
      <c r="E200" s="51"/>
      <c r="F200" s="51"/>
      <c r="G200" s="51"/>
      <c r="H200" s="51"/>
      <c r="I200" s="49">
        <f t="shared" si="7"/>
        <v>25.4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60</v>
      </c>
      <c r="B201" s="50">
        <v>740</v>
      </c>
      <c r="C201" s="50"/>
      <c r="D201" s="50">
        <v>740</v>
      </c>
      <c r="E201" s="51"/>
      <c r="F201" s="51"/>
      <c r="G201" s="51"/>
      <c r="H201" s="51"/>
      <c r="I201" s="49">
        <f t="shared" si="7"/>
        <v>23.8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Cèdre de l'Atlas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20</v>
      </c>
      <c r="B218" s="60">
        <v>158</v>
      </c>
      <c r="C218" s="50">
        <v>1</v>
      </c>
      <c r="D218" s="60">
        <v>35</v>
      </c>
      <c r="E218" s="51"/>
      <c r="F218" s="51">
        <v>0.2</v>
      </c>
      <c r="G218" s="51">
        <v>0.8</v>
      </c>
      <c r="H218" s="63"/>
      <c r="I218" s="53">
        <f>IFERROR(B218/A218,"")</f>
        <v>7.9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27</v>
      </c>
      <c r="B219" s="60">
        <v>187.4</v>
      </c>
      <c r="C219" s="50">
        <v>2</v>
      </c>
      <c r="D219" s="60">
        <v>50</v>
      </c>
      <c r="E219" s="51"/>
      <c r="F219" s="51">
        <v>0.4</v>
      </c>
      <c r="G219" s="51">
        <v>0.6</v>
      </c>
      <c r="H219" s="63"/>
      <c r="I219" s="53">
        <f t="shared" ref="I219:I237" si="8">IF(A219&lt;&gt;0,(B219-(B218-D218))/(A219-A218),"")</f>
        <v>9.2000000000000011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34</v>
      </c>
      <c r="B220" s="60">
        <v>205</v>
      </c>
      <c r="C220" s="50">
        <v>3</v>
      </c>
      <c r="D220" s="60">
        <v>60</v>
      </c>
      <c r="E220" s="63"/>
      <c r="F220" s="63"/>
      <c r="G220" s="63"/>
      <c r="H220" s="63"/>
      <c r="I220" s="53">
        <f t="shared" si="8"/>
        <v>9.6571428571428566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40</v>
      </c>
      <c r="B221" s="55">
        <v>205</v>
      </c>
      <c r="C221" s="55"/>
      <c r="D221" s="55">
        <v>205</v>
      </c>
      <c r="E221" s="63"/>
      <c r="F221" s="63"/>
      <c r="G221" s="63"/>
      <c r="H221" s="63"/>
      <c r="I221" s="53">
        <f t="shared" si="8"/>
        <v>10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Pin laricio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17</v>
      </c>
      <c r="B244" s="60">
        <v>118</v>
      </c>
      <c r="C244" s="60">
        <v>1</v>
      </c>
      <c r="D244" s="60">
        <v>15</v>
      </c>
      <c r="E244" s="51"/>
      <c r="F244" s="51"/>
      <c r="G244" s="51"/>
      <c r="H244" s="63">
        <v>1</v>
      </c>
      <c r="I244" s="53">
        <f>IFERROR(B244/A244,"")</f>
        <v>6.9411764705882355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20</v>
      </c>
      <c r="B245" s="60">
        <v>137</v>
      </c>
      <c r="C245" s="60">
        <v>2</v>
      </c>
      <c r="D245" s="60">
        <v>15</v>
      </c>
      <c r="E245" s="51"/>
      <c r="F245" s="51">
        <v>0.2</v>
      </c>
      <c r="G245" s="51">
        <v>0.8</v>
      </c>
      <c r="H245" s="63"/>
      <c r="I245" s="53">
        <f>IF(A245&lt;&gt;0,(B245-(B244-D244))/(A245-A244),"")</f>
        <v>11.333333333333334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25</v>
      </c>
      <c r="B246" s="60">
        <v>204</v>
      </c>
      <c r="C246" s="60">
        <v>3</v>
      </c>
      <c r="D246" s="60">
        <v>36</v>
      </c>
      <c r="E246" s="51"/>
      <c r="F246" s="51">
        <v>0.2</v>
      </c>
      <c r="G246" s="51">
        <v>0.8</v>
      </c>
      <c r="H246" s="63"/>
      <c r="I246" s="53">
        <f>IF(A246&lt;&gt;0,(B246-(B245-D245))/(A246-A245),"")</f>
        <v>16.399999999999999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30</v>
      </c>
      <c r="B247" s="60">
        <v>256</v>
      </c>
      <c r="C247" s="60">
        <v>4</v>
      </c>
      <c r="D247" s="60">
        <v>54</v>
      </c>
      <c r="E247" s="63"/>
      <c r="F247" s="63">
        <v>0.4</v>
      </c>
      <c r="G247" s="63">
        <v>0.6</v>
      </c>
      <c r="H247" s="63"/>
      <c r="I247" s="53">
        <f t="shared" ref="I247:I263" si="9">IF(A247&lt;&gt;0,(B247-(B246-D246))/(A247-A246),"")</f>
        <v>17.600000000000001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35</v>
      </c>
      <c r="B248" s="60">
        <v>296</v>
      </c>
      <c r="C248" s="60">
        <v>5</v>
      </c>
      <c r="D248" s="60">
        <v>52</v>
      </c>
      <c r="E248" s="63"/>
      <c r="F248" s="63"/>
      <c r="G248" s="63"/>
      <c r="H248" s="63"/>
      <c r="I248" s="53">
        <f t="shared" si="9"/>
        <v>18.8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40</v>
      </c>
      <c r="B249" s="60">
        <v>332</v>
      </c>
      <c r="C249" s="60">
        <v>6</v>
      </c>
      <c r="D249" s="60">
        <v>48</v>
      </c>
      <c r="E249" s="63"/>
      <c r="F249" s="63"/>
      <c r="G249" s="63"/>
      <c r="H249" s="63"/>
      <c r="I249" s="53">
        <f t="shared" si="9"/>
        <v>17.600000000000001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45</v>
      </c>
      <c r="B250" s="60">
        <v>384</v>
      </c>
      <c r="C250" s="60">
        <v>7</v>
      </c>
      <c r="D250" s="60">
        <v>57</v>
      </c>
      <c r="E250" s="63"/>
      <c r="F250" s="63"/>
      <c r="G250" s="63"/>
      <c r="H250" s="63"/>
      <c r="I250" s="53">
        <f t="shared" si="9"/>
        <v>20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50</v>
      </c>
      <c r="B251" s="55">
        <v>414</v>
      </c>
      <c r="C251" s="55">
        <v>8</v>
      </c>
      <c r="D251" s="55">
        <v>47</v>
      </c>
      <c r="E251" s="63"/>
      <c r="F251" s="63"/>
      <c r="G251" s="63"/>
      <c r="H251" s="63"/>
      <c r="I251" s="53">
        <f t="shared" si="9"/>
        <v>17.399999999999999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55</v>
      </c>
      <c r="B252" s="55">
        <v>463</v>
      </c>
      <c r="C252" s="55">
        <v>9</v>
      </c>
      <c r="D252" s="55">
        <v>48</v>
      </c>
      <c r="E252" s="63"/>
      <c r="F252" s="63"/>
      <c r="G252" s="63"/>
      <c r="H252" s="63"/>
      <c r="I252" s="53">
        <f t="shared" si="9"/>
        <v>19.2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60</v>
      </c>
      <c r="B253" s="55">
        <v>500</v>
      </c>
      <c r="C253" s="55">
        <v>10</v>
      </c>
      <c r="D253" s="55">
        <v>32</v>
      </c>
      <c r="E253" s="63"/>
      <c r="F253" s="63"/>
      <c r="G253" s="63"/>
      <c r="H253" s="63"/>
      <c r="I253" s="53">
        <f t="shared" si="9"/>
        <v>17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65</v>
      </c>
      <c r="B254" s="55">
        <v>555</v>
      </c>
      <c r="C254" s="55"/>
      <c r="D254" s="55">
        <v>555</v>
      </c>
      <c r="E254" s="63"/>
      <c r="F254" s="63"/>
      <c r="G254" s="63"/>
      <c r="H254" s="63"/>
      <c r="I254" s="53">
        <f t="shared" si="9"/>
        <v>17.399999999999999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Pin maritime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12</v>
      </c>
      <c r="B270" s="60">
        <v>46</v>
      </c>
      <c r="C270" s="50">
        <v>1</v>
      </c>
      <c r="D270" s="60"/>
      <c r="E270" s="51"/>
      <c r="F270" s="51"/>
      <c r="G270" s="51"/>
      <c r="H270" s="51"/>
      <c r="I270" s="53">
        <f>IFERROR(B270/A270,"")</f>
        <v>3.8333333333333335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16</v>
      </c>
      <c r="B271" s="60">
        <v>107</v>
      </c>
      <c r="C271" s="50">
        <v>2</v>
      </c>
      <c r="D271" s="60">
        <v>25</v>
      </c>
      <c r="E271" s="51"/>
      <c r="F271" s="51"/>
      <c r="G271" s="51">
        <v>1</v>
      </c>
      <c r="H271" s="51"/>
      <c r="I271" s="53">
        <f>IF(A271&lt;&gt;0,(B271-(B270-D270))/(A271-A270),"")</f>
        <v>15.25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20</v>
      </c>
      <c r="B272" s="60">
        <v>151</v>
      </c>
      <c r="C272" s="50">
        <v>3</v>
      </c>
      <c r="D272" s="60">
        <v>34</v>
      </c>
      <c r="E272" s="51"/>
      <c r="F272" s="51"/>
      <c r="G272" s="51">
        <v>1</v>
      </c>
      <c r="H272" s="51"/>
      <c r="I272" s="53">
        <f t="shared" ref="I272:I289" si="10">IF(A272&lt;&gt;0,(B272-(B271-D271))/(A272-A271),"")</f>
        <v>17.25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24</v>
      </c>
      <c r="B273" s="60">
        <v>197</v>
      </c>
      <c r="C273" s="50">
        <v>4</v>
      </c>
      <c r="D273" s="60">
        <v>43</v>
      </c>
      <c r="E273" s="51"/>
      <c r="F273" s="51">
        <v>0.2</v>
      </c>
      <c r="G273" s="51">
        <v>0.8</v>
      </c>
      <c r="H273" s="51"/>
      <c r="I273" s="53">
        <f t="shared" si="10"/>
        <v>20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28</v>
      </c>
      <c r="B274" s="60">
        <v>233</v>
      </c>
      <c r="C274" s="50">
        <v>5</v>
      </c>
      <c r="D274" s="60">
        <v>41</v>
      </c>
      <c r="E274" s="51"/>
      <c r="F274" s="51">
        <v>0.2</v>
      </c>
      <c r="G274" s="51">
        <v>0.8</v>
      </c>
      <c r="H274" s="51"/>
      <c r="I274" s="53">
        <f t="shared" si="10"/>
        <v>19.75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34</v>
      </c>
      <c r="B275" s="60">
        <v>304</v>
      </c>
      <c r="C275" s="50">
        <v>6</v>
      </c>
      <c r="D275" s="60">
        <v>60</v>
      </c>
      <c r="E275" s="63"/>
      <c r="F275" s="63"/>
      <c r="G275" s="63"/>
      <c r="H275" s="63"/>
      <c r="I275" s="53">
        <f t="shared" si="10"/>
        <v>18.666666666666668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40</v>
      </c>
      <c r="B276" s="60">
        <v>333</v>
      </c>
      <c r="C276" s="50">
        <v>7</v>
      </c>
      <c r="D276" s="60">
        <v>34</v>
      </c>
      <c r="E276" s="63"/>
      <c r="F276" s="63"/>
      <c r="G276" s="63"/>
      <c r="H276" s="63"/>
      <c r="I276" s="53">
        <f t="shared" si="10"/>
        <v>14.833333333333334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46</v>
      </c>
      <c r="B277" s="55">
        <v>365</v>
      </c>
      <c r="C277" s="55">
        <v>8</v>
      </c>
      <c r="D277" s="55">
        <v>21</v>
      </c>
      <c r="E277" s="63"/>
      <c r="F277" s="63"/>
      <c r="G277" s="63"/>
      <c r="H277" s="63"/>
      <c r="I277" s="53">
        <f t="shared" si="10"/>
        <v>11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54</v>
      </c>
      <c r="B278" s="55">
        <v>402</v>
      </c>
      <c r="C278" s="55">
        <v>9</v>
      </c>
      <c r="D278" s="55">
        <v>17</v>
      </c>
      <c r="E278" s="63"/>
      <c r="F278" s="63"/>
      <c r="G278" s="63"/>
      <c r="H278" s="63"/>
      <c r="I278" s="53">
        <f t="shared" si="10"/>
        <v>7.25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>
        <v>62</v>
      </c>
      <c r="B279" s="55">
        <v>409</v>
      </c>
      <c r="C279" s="55"/>
      <c r="D279" s="55">
        <v>409</v>
      </c>
      <c r="E279" s="63"/>
      <c r="F279" s="63"/>
      <c r="G279" s="63"/>
      <c r="H279" s="63"/>
      <c r="I279" s="53">
        <f t="shared" si="10"/>
        <v>3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5546875" style="4" customWidth="1"/>
    <col min="6" max="7" width="11.44140625" style="4"/>
    <col min="8" max="8" width="10.7773437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77734375" style="4" bestFit="1" customWidth="1"/>
    <col min="25" max="25" width="14.5546875" style="4" bestFit="1" customWidth="1"/>
    <col min="26" max="26" width="12.44140625" style="4" bestFit="1" customWidth="1"/>
    <col min="27" max="27" width="9.7773437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21875" style="4" bestFit="1" customWidth="1"/>
    <col min="45" max="45" width="11.77734375" style="4" bestFit="1" customWidth="1"/>
    <col min="46" max="46" width="8.44140625" style="4" bestFit="1" customWidth="1"/>
    <col min="47" max="47" width="9.44140625" style="4" bestFit="1" customWidth="1"/>
    <col min="48" max="48" width="9.7773437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2187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21875" style="4" bestFit="1" customWidth="1"/>
    <col min="66" max="66" width="11.77734375" style="4" bestFit="1" customWidth="1"/>
    <col min="67" max="67" width="8.44140625" style="4" bestFit="1" customWidth="1"/>
    <col min="68" max="68" width="9.44140625" style="4" bestFit="1" customWidth="1"/>
    <col min="69" max="69" width="9.7773437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777343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21875" style="4" bestFit="1" customWidth="1"/>
    <col min="87" max="87" width="11.77734375" style="4" bestFit="1" customWidth="1"/>
    <col min="88" max="88" width="8.44140625" style="4" bestFit="1" customWidth="1"/>
    <col min="89" max="89" width="9.44140625" style="4" bestFit="1" customWidth="1"/>
    <col min="90" max="90" width="9.7773437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21875" style="4" bestFit="1" customWidth="1"/>
    <col min="108" max="108" width="11.77734375" style="4" bestFit="1" customWidth="1"/>
    <col min="109" max="109" width="8.44140625" style="4" bestFit="1" customWidth="1"/>
    <col min="110" max="110" width="9.44140625" style="4" bestFit="1" customWidth="1"/>
    <col min="111" max="111" width="9.7773437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2187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21875" style="4" bestFit="1" customWidth="1"/>
    <col min="129" max="129" width="11.77734375" style="4" bestFit="1" customWidth="1"/>
    <col min="130" max="130" width="8.44140625" style="4" bestFit="1" customWidth="1"/>
    <col min="131" max="131" width="9.44140625" style="4" bestFit="1" customWidth="1"/>
    <col min="132" max="132" width="9.7773437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21875" style="4" bestFit="1" customWidth="1"/>
    <col min="150" max="150" width="11.77734375" style="4" bestFit="1" customWidth="1"/>
    <col min="151" max="151" width="8.44140625" style="4" bestFit="1" customWidth="1"/>
    <col min="152" max="152" width="9.44140625" style="4" bestFit="1" customWidth="1"/>
    <col min="153" max="153" width="9.7773437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21875" style="4" bestFit="1" customWidth="1"/>
    <col min="171" max="171" width="11.77734375" style="4" bestFit="1" customWidth="1"/>
    <col min="172" max="172" width="8.21875" style="4" bestFit="1" customWidth="1"/>
    <col min="173" max="173" width="9.44140625" style="4" bestFit="1" customWidth="1"/>
    <col min="174" max="174" width="9.7773437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2187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7773437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2187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21875" style="4" bestFit="1" customWidth="1"/>
    <col min="213" max="213" width="11.77734375" style="4" bestFit="1" customWidth="1"/>
    <col min="214" max="214" width="8.44140625" style="4" bestFit="1" customWidth="1"/>
    <col min="215" max="215" width="9.44140625" style="4" bestFit="1" customWidth="1"/>
    <col min="216" max="216" width="9.7773437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rouge d'Amérique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Merisier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Hêtre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Douglas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Mélèze hybride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Sapin de Nordmann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Cèdre de l'Atlas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Pin laricio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Pin maritime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248.50221719467663</v>
      </c>
      <c r="T3" s="59">
        <f>IF('Données projet'!E9&gt;30,$R$33-$H$33,LOOKUP('Données projet'!$E$9,$A$3:$A$203,R3:R203)-LOOKUP('Données projet'!$E$9,$A$3:$A$203,$H$3:$H$203))</f>
        <v>366.09064580347183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263.22346936777603</v>
      </c>
      <c r="AO3" s="59">
        <f>IF('Données projet'!E10&gt;30,$AM$33-$H$33,LOOKUP('Données projet'!$E$10,$A$3:$A$203,AM3:AM203)-LOOKUP('Données projet'!$E$10,$A$3:$A$203,$H$3:$H$203))</f>
        <v>217.14714468707939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219.22204054948094</v>
      </c>
      <c r="BJ3" s="59">
        <f>IF('Données projet'!E11&gt;30,$BH$33-$H$33,LOOKUP('Données projet'!$E$11,$A$3:$A$203,BH3:BH203)-LOOKUP('Données projet'!$E$11,$A$3:$A$203,$H$3:$H$203))</f>
        <v>222.41711966122034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237.27357081252273</v>
      </c>
      <c r="CE3" s="59">
        <f>IF('Données projet'!E12&gt;30,$CC$33-$H$33,LOOKUP('Données projet'!$E$12,$A$3:$A$203,CC3:CC203)-LOOKUP('Données projet'!$E$12,$A$3:$A$203,$H$3:$H$203))</f>
        <v>68.768479693848576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474.03051418249999</v>
      </c>
      <c r="CZ3" s="59">
        <f>IF('Données projet'!E13&gt;30,$CX$33-$H$33,LOOKUP('Données projet'!$E$13,$A$3:$A$203,CX3:CX203)-LOOKUP('Données projet'!$E$13,$A$3:$A$203,$H$3:$H$203))</f>
        <v>649.52271992719091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164.0740581424559</v>
      </c>
      <c r="DU3" s="59">
        <f>IF('Données projet'!E14&gt;30,$DS$33-$H$33,LOOKUP('Données projet'!$E$14,$A$3:$A$203,DS3:DS203)-LOOKUP('Données projet'!$E$14,$A$3:$A$203,$H$3:$H$203))</f>
        <v>280.99861170359793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312.1172301514103</v>
      </c>
      <c r="EP3" s="59">
        <f>IF('Données projet'!E15&gt;30,$EN$33-$H$33,LOOKUP('Données projet'!$E$15,$A$3:$A$203,EN3:EN203)-LOOKUP('Données projet'!$E$15,$A$3:$A$203,$H$3:$H$203))</f>
        <v>369.85500533493212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87.187251664304199</v>
      </c>
      <c r="FK3" s="59">
        <f>IF('Données projet'!E16&gt;30,$FI$33-$H$33,LOOKUP('Données projet'!$E$16,$A$3:$A$203,FI3:FI203)-LOOKUP('Données projet'!$E$16,$A$3:$A$203,$H$3:$H$203))</f>
        <v>148.84938257884147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282.94722676586207</v>
      </c>
      <c r="GF3" s="59">
        <f>IF('Données projet'!E17&gt;30,$GD$33-$H$33,LOOKUP('Données projet'!$E$17,$A$3:$A$203,GD3:GD203)-LOOKUP('Données projet'!$E$17,$A$3:$A$203,$H$3:$H$203))</f>
        <v>310.63647941571298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255.54398581450459</v>
      </c>
      <c r="HA3" s="59">
        <f>IF('Données projet'!E18&gt;30,$GY$33-$H$33,LOOKUP('Données projet'!$E$18,$A$3:$A$203,GY3:GY203)-LOOKUP('Données projet'!$E$18,$A$3:$A$203,$H$3:$H$203))</f>
        <v>276.52622328061204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7.1333333333333337</v>
      </c>
      <c r="N4" s="13">
        <f>IF('Données projet'!$A$36&gt;35,N3+M4-V3,IF(A4&lt;'Données projet'!$A$36,$K$205^A4,IF(A4='Données projet'!$A$36,'Données projet'!$B$36,N3+M4-V3)))</f>
        <v>1.3655017210306359</v>
      </c>
      <c r="O4" s="13">
        <f>N4*VLOOKUP('Données projet'!$B$9,Paramètres!$A$1:$I$89,3,0)*VLOOKUP('Données projet'!$B$9,Paramètres!$A$1:$I$89,5,0)</f>
        <v>1.1929023034923638</v>
      </c>
      <c r="P4" s="13">
        <f>EXP(-1.0587+0.8836*LN(O4)+0.284)</f>
        <v>0.53856749022761552</v>
      </c>
      <c r="Q4" s="20">
        <f t="shared" ref="Q4:Q34" si="2">(O4+P4)*0.475*44/12</f>
        <v>3.015643224062297</v>
      </c>
      <c r="R4" s="59">
        <f t="shared" si="0"/>
        <v>260.90453211295113</v>
      </c>
      <c r="S4" s="59">
        <f ca="1">AVERAGE(OFFSET($R$3,0,0,'Données projet'!$E$9+1,1))-AVERAGE(OFFSET($H$3,0,0,'Données projet'!$E$9+1,1))</f>
        <v>248.50221719467663</v>
      </c>
      <c r="T4" s="59">
        <f>$T$3</f>
        <v>366.09064580347183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1.1212920291467359</v>
      </c>
      <c r="AK4" s="13">
        <f>EXP(-1.0587+0.8836*LN(AJ4)+0.284)</f>
        <v>0.50989827066551541</v>
      </c>
      <c r="AL4" s="20">
        <f t="shared" ref="AL4:AL67" si="4">(AJ4+AK4)*0.475*44/12</f>
        <v>2.8409897721730037</v>
      </c>
      <c r="AM4" s="59">
        <f t="shared" ref="AM4:AM67" si="5">AL4+(AD4+AE4)*44/12</f>
        <v>260.72987866106189</v>
      </c>
      <c r="AN4" s="59">
        <f ca="1">AVERAGE(OFFSET($AM$3,0,0,'Données projet'!$E$10+1,1))-AVERAGE(OFFSET($H$3,0,0,'Données projet'!$E$10+1,1))</f>
        <v>263.22346936777603</v>
      </c>
      <c r="AO4" s="59">
        <f>$AO$3</f>
        <v>217.14714468707939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2.6666666666666665</v>
      </c>
      <c r="BD4" s="12">
        <f>IF('Données projet'!$A$88&gt;35,BD3+BC4-BL3,IF(A4&lt;'Données projet'!$A$88,$BA$205^A4,IF(A4='Données projet'!$A$88,'Données projet'!$B$88,BD3+BC4-BL3)))</f>
        <v>1.2788040393997409</v>
      </c>
      <c r="BE4" s="13">
        <f>BD4*VLOOKUP('Données projet'!$B$11,Paramètres!$A$1:$I$89,3,0)*VLOOKUP('Données projet'!$B$11,Paramètres!$A$1:$I$89,5,0)</f>
        <v>0.99746715073179792</v>
      </c>
      <c r="BF4" s="13">
        <f>EXP(-1.0587+0.8836*LN(BE4)+0.284)</f>
        <v>0.45981048445793882</v>
      </c>
      <c r="BG4" s="20">
        <f t="shared" ref="BG4:BG67" si="7">(BE4+BF4)*0.475*44/12</f>
        <v>2.5380918812887914</v>
      </c>
      <c r="BH4" s="59">
        <f t="shared" ref="BH4:BH67" si="8">BG4+(AY4+AZ4)*44/12</f>
        <v>260.42698077017764</v>
      </c>
      <c r="BI4" s="59">
        <f ca="1">AVERAGE(OFFSET($BH$3,0,0,'Données projet'!$E$11+1,1))-AVERAGE(OFFSET($H$3,0,0,'Données projet'!$E$11+1,1))</f>
        <v>219.22204054948094</v>
      </c>
      <c r="BJ4" s="59">
        <f>$BJ$3</f>
        <v>222.41711966122034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1.6</v>
      </c>
      <c r="BY4" s="12">
        <f>IF('Données projet'!$A$114&gt;35,BY3+BX4-CG3,IF(A4&lt;'Données projet'!$A$114,$BV$205^A4,IF(A4='Données projet'!$A$114,'Données projet'!$B$114,BY3+BX4-CG3)))</f>
        <v>1.1377356710190607</v>
      </c>
      <c r="BZ4" s="13">
        <f>BY4*VLOOKUP('Données projet'!$B$12,Paramètres!$A$1:$I$89,3,0)*VLOOKUP('Données projet'!$B$12,Paramètres!$A$1:$I$89,5,0)</f>
        <v>0.97617720573435429</v>
      </c>
      <c r="CA4" s="13">
        <f>EXP(-1.0587+0.8836*LN(BZ4)+0.284)</f>
        <v>0.45112780040896616</v>
      </c>
      <c r="CB4" s="20">
        <f t="shared" ref="CB4:CB67" si="10">(BZ4+CA4)*0.475*44/12</f>
        <v>2.4858895523662832</v>
      </c>
      <c r="CC4" s="59">
        <f t="shared" ref="CC4:CC67" si="11">CB4+(BT4+BU4)*44/12</f>
        <v>260.37477844125516</v>
      </c>
      <c r="CD4" s="59">
        <f ca="1">AVERAGE(OFFSET($CC$3,0,0,'Données projet'!$E$12+1,1))-AVERAGE(OFFSET($H$3,0,0,'Données projet'!$E$12+1,1))</f>
        <v>237.27357081252273</v>
      </c>
      <c r="CE4" s="59">
        <f>$CE$3</f>
        <v>68.768479693848576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12.6</v>
      </c>
      <c r="CT4" s="12">
        <f>IF('Données projet'!$A$140&gt;35,CT3+CS4-DB3,IF(A4&lt;'Données projet'!$A$140,$CQ$205^A4,IF(A4='Données projet'!$A$140,'Données projet'!$B$140,CT3+CS4-DB3)))</f>
        <v>1.418286993802653</v>
      </c>
      <c r="CU4" s="17">
        <f>CT4*VLOOKUP('Données projet'!$B$13,Paramètres!$A$1:$I$89,3,0)*VLOOKUP('Données projet'!$B$13,Paramètres!$A$1:$I$89,5,0)</f>
        <v>0.79282242953568305</v>
      </c>
      <c r="CV4" s="13">
        <f>EXP(-1.0587+0.8836*LN(CU4)+0.284)</f>
        <v>0.37537376382346138</v>
      </c>
      <c r="CW4" s="20">
        <f t="shared" ref="CW4:CW67" si="13">(CU4+CV4)*0.475*44/12</f>
        <v>2.0346083701005098</v>
      </c>
      <c r="CX4" s="59">
        <f t="shared" ref="CX4:CX67" si="14">CW4+(CO4+CP4)*44/12</f>
        <v>259.92349725898936</v>
      </c>
      <c r="CY4" s="59">
        <f ca="1">AVERAGE(OFFSET($CX$3,0,0,'Données projet'!$E$13+1,1))-AVERAGE(OFFSET($H$3,0,0,'Données projet'!$E$13+1,1))</f>
        <v>474.03051418249999</v>
      </c>
      <c r="CZ4" s="59">
        <f>$CZ$3</f>
        <v>649.52271992719091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9.6666666666666661</v>
      </c>
      <c r="DO4" s="12">
        <f>IF('Données projet'!$A$166&gt;35,DO3+DN4-DW3,IF(A4&lt;'Données projet'!$A$166,$DL$205^A4,IF(A4='Données projet'!$A$166,'Données projet'!$B$166,DO3+DN4-DW3)))</f>
        <v>1.4860662319460807</v>
      </c>
      <c r="DP4" s="17">
        <f>DO4*VLOOKUP('Données projet'!$B$14,Paramètres!$A$1:$I$89,3,0)*VLOOKUP('Données projet'!$B$14,Paramètres!$A$1:$I$89,5,0)</f>
        <v>0.81139216264255998</v>
      </c>
      <c r="DQ4" s="13">
        <f>EXP(-1.0587+0.8836*LN(DP4)+0.284)</f>
        <v>0.38313198283208655</v>
      </c>
      <c r="DR4" s="20">
        <f t="shared" ref="DR4:DR67" si="16">(DP4+DQ4)*0.475*44/12</f>
        <v>2.0804628867016759</v>
      </c>
      <c r="DS4" s="59">
        <f t="shared" ref="DS4:DS67" si="17">DR4+(DJ4+DK4)*44/12</f>
        <v>259.96935177559055</v>
      </c>
      <c r="DT4" s="59">
        <f ca="1">AVERAGE(OFFSET($DS$3,0,0,'Données projet'!$E$14+1,1))-AVERAGE(OFFSET($H$3,0,0,'Données projet'!$E$14+1,1))</f>
        <v>164.0740581424559</v>
      </c>
      <c r="DU4" s="59">
        <f>$DU$3</f>
        <v>280.99861170359793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3.7333333333333334</v>
      </c>
      <c r="EJ4" s="12">
        <f>IF('Données projet'!$A$192&gt;35,EJ3+EI4-ER3,IF(A4&lt;'Données projet'!$A$192,$EG$205^A4,IF(A4='Données projet'!$A$192,'Données projet'!$B$192,EJ3+EI4-ER3)))</f>
        <v>1.3078136577370625</v>
      </c>
      <c r="EK4" s="17">
        <f>EJ4*VLOOKUP('Données projet'!$B$15,Paramètres!$A$1:$I$89,3,0)*VLOOKUP('Données projet'!$B$15,Paramètres!$A$1:$I$89,5,0)</f>
        <v>0.62905836937152704</v>
      </c>
      <c r="EL4" s="13">
        <f>EXP(-1.0587+0.8836*LN(EK4)+0.284)</f>
        <v>0.30596756041015177</v>
      </c>
      <c r="EM4" s="20">
        <f t="shared" ref="EM4:EM67" si="19">(EK4+EL4)*0.475*44/12</f>
        <v>1.6285034943697572</v>
      </c>
      <c r="EN4" s="59">
        <f t="shared" ref="EN4:EN67" si="20">EM4+(EE4+EF4)*44/12</f>
        <v>259.5173923832586</v>
      </c>
      <c r="EO4" s="59">
        <f ca="1">AVERAGE(OFFSET($EN$3,0,0,'Données projet'!$E$15+1,1))-AVERAGE(OFFSET($H$3,0,0,'Données projet'!$E$15+1,1))</f>
        <v>312.1172301514103</v>
      </c>
      <c r="EP4" s="59">
        <f>$EP$3</f>
        <v>369.85500533493212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7.9</v>
      </c>
      <c r="FE4" s="12">
        <f>IF('Données projet'!$A$218&gt;35,FE3+FD4-FM3,IF(A4&lt;'Données projet'!$A$218,$FB$205^A4,IF(A4='Données projet'!$A$218,'Données projet'!$B$218,FE3+FD4-FM3)))</f>
        <v>1.2880503926580862</v>
      </c>
      <c r="FF4" s="17">
        <f>FE4*VLOOKUP('Données projet'!$B$16,Paramètres!$A$1:$I$89,3,0)*VLOOKUP('Données projet'!$B$16,Paramètres!$A$1:$I$89,5,0)</f>
        <v>0.60280758376398436</v>
      </c>
      <c r="FG4" s="13">
        <f>EXP(-1.0587+0.8836*LN(FF4)+0.284)</f>
        <v>0.29465781953181042</v>
      </c>
      <c r="FH4" s="20">
        <f t="shared" ref="FH4:FH67" si="22">(FF4+FG4)*0.475*44/12</f>
        <v>1.5630855774068424</v>
      </c>
      <c r="FI4" s="59">
        <f t="shared" ref="FI4:FI67" si="23">FH4+(EZ4+FA4)*44/12</f>
        <v>259.45197446629572</v>
      </c>
      <c r="FJ4" s="59">
        <f ca="1">AVERAGE(OFFSET($FI$3,0,0,'Données projet'!$E$16+1,1))-AVERAGE(OFFSET($H$3,0,0,'Données projet'!$E$16+1,1))</f>
        <v>87.187251664304199</v>
      </c>
      <c r="FK4" s="59">
        <f>$FK$3</f>
        <v>148.84938257884147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6.9411764705882355</v>
      </c>
      <c r="FZ4" s="12">
        <f>IF('Données projet'!$A$244&gt;35,FZ3+FY4-GH3,IF(A4&lt;'Données projet'!$A$244,$FW$205^A4,IF(A4='Données projet'!$A$244,'Données projet'!$B$244,FZ3+FY4-GH3)))</f>
        <v>1.3239616704988877</v>
      </c>
      <c r="GA4" s="17">
        <f>FZ4*VLOOKUP('Données projet'!$B$17,Paramètres!$A$1:$I$89,3,0)*VLOOKUP('Données projet'!$B$17,Paramètres!$A$1:$I$89,5,0)</f>
        <v>0.79172907895833489</v>
      </c>
      <c r="GB4" s="13">
        <f>EXP(-1.0587+0.8836*LN(GA4)+0.284)</f>
        <v>0.37491631974909195</v>
      </c>
      <c r="GC4" s="20">
        <f t="shared" ref="GC4:GC67" si="25">(GA4+GB4)*0.475*44/12</f>
        <v>2.031907402748768</v>
      </c>
      <c r="GD4" s="59">
        <f t="shared" ref="GD4:GD67" si="26">GC4+(FU4+FV4)*44/12</f>
        <v>259.9207962916376</v>
      </c>
      <c r="GE4" s="59">
        <f ca="1">AVERAGE(OFFSET($GD$3,0,0,'Données projet'!$E$17+1,1))-AVERAGE(OFFSET($H$3,0,0,'Données projet'!$E$17+1,1))</f>
        <v>282.94722676586207</v>
      </c>
      <c r="GF4" s="59">
        <f>$GF$3</f>
        <v>310.63647941571298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3.8333333333333335</v>
      </c>
      <c r="GU4" s="12">
        <f>IF('Données projet'!$A$270&gt;35,GU3+GT4-HC3,IF(A4&lt;'Données projet'!$A$270,$GR$205^A4,IF(A4='Données projet'!$A$270,'Données projet'!$B$270,GU3+GT4-HC3)))</f>
        <v>1.3758248603770518</v>
      </c>
      <c r="GV4" s="17">
        <f>GU4*VLOOKUP('Données projet'!$B$18,Paramètres!$A$1:$I$89,3,0)*VLOOKUP('Données projet'!$B$18,Paramètres!$A$1:$I$89,5,0)</f>
        <v>0.82274326650547702</v>
      </c>
      <c r="GW4" s="13">
        <f>EXP(-1.0587+0.8836*LN(GV4)+0.284)</f>
        <v>0.3878641435528864</v>
      </c>
      <c r="GX4" s="20">
        <f t="shared" ref="GX4:GX67" si="28">(GV4+GW4)*0.475*44/12</f>
        <v>2.108474572518316</v>
      </c>
      <c r="GY4" s="59">
        <f t="shared" ref="GY4:GY67" si="29">GX4+(GP4+GQ4)*44/12</f>
        <v>259.99736346140719</v>
      </c>
      <c r="GZ4" s="59">
        <f ca="1">AVERAGE(OFFSET($GY$3,0,0,'Données projet'!$E$18+1,1))-AVERAGE(OFFSET($H$3,0,0,'Données projet'!$E$18+1,1))</f>
        <v>255.54398581450459</v>
      </c>
      <c r="HA4" s="59">
        <f>$HA$3</f>
        <v>276.52622328061204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7.1333333333333337</v>
      </c>
      <c r="N5" s="13">
        <f>IF('Données projet'!$A$36&gt;35,N4+M5-V4,IF(A5&lt;'Données projet'!$A$36,$K$205^A5,IF(A5='Données projet'!$A$36,'Données projet'!$B$36,N4+M5-V4)))</f>
        <v>1.8645949501376287</v>
      </c>
      <c r="O5" s="13">
        <f>N5*VLOOKUP('Données projet'!$B$9,Paramètres!$A$1:$I$89,3,0)*VLOOKUP('Données projet'!$B$9,Paramètres!$A$1:$I$89,5,0)</f>
        <v>1.6289101484402326</v>
      </c>
      <c r="P5" s="13">
        <f t="shared" ref="P5:P68" si="33">EXP(-1.0587+0.8836*LN(O5)+0.284)</f>
        <v>0.70922554238821334</v>
      </c>
      <c r="Q5" s="20">
        <f t="shared" si="2"/>
        <v>4.0722529948595438</v>
      </c>
      <c r="R5" s="59">
        <f t="shared" si="0"/>
        <v>263.18336410597067</v>
      </c>
      <c r="S5" s="59">
        <f ca="1">AVERAGE(OFFSET($R$3,0,0,'Données projet'!$E$9+1,1))-AVERAGE(OFFSET($H$3,0,0,'Données projet'!$E$9+1,1))</f>
        <v>248.50221719467663</v>
      </c>
      <c r="T5" s="59">
        <f t="shared" ref="T5:T68" si="34">$T$3</f>
        <v>366.09064580347183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1.3895842336737447</v>
      </c>
      <c r="AK5" s="13">
        <f t="shared" ref="AK5:AK68" si="35">EXP(-1.0587+0.8836*LN(AJ5)+0.284)</f>
        <v>0.61631841327304715</v>
      </c>
      <c r="AL5" s="20">
        <f t="shared" si="4"/>
        <v>3.4936137767656628</v>
      </c>
      <c r="AM5" s="59">
        <f t="shared" si="5"/>
        <v>262.60472488787678</v>
      </c>
      <c r="AN5" s="59">
        <f ca="1">AVERAGE(OFFSET($AM$3,0,0,'Données projet'!$E$10+1,1))-AVERAGE(OFFSET($H$3,0,0,'Données projet'!$E$10+1,1))</f>
        <v>263.22346936777603</v>
      </c>
      <c r="AO5" s="59">
        <f t="shared" ref="AO5:AO68" si="36">$AO$3</f>
        <v>217.14714468707939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2.6666666666666665</v>
      </c>
      <c r="BD5" s="12">
        <f>IF('Données projet'!$A$88&gt;35,BD4+BC5-BL4,IF(A5&lt;'Données projet'!$A$88,$BA$205^A5,IF(A5='Données projet'!$A$88,'Données projet'!$B$88,BD4+BC5-BL4)))</f>
        <v>1.6353397711850939</v>
      </c>
      <c r="BE5" s="13">
        <f>BD5*VLOOKUP('Données projet'!$B$11,Paramètres!$A$1:$I$89,3,0)*VLOOKUP('Données projet'!$B$11,Paramètres!$A$1:$I$89,5,0)</f>
        <v>1.2755650215243732</v>
      </c>
      <c r="BF5" s="13">
        <f t="shared" ref="BF5:BF68" si="37">EXP(-1.0587+0.8836*LN(BE5)+0.284)</f>
        <v>0.57141400910743001</v>
      </c>
      <c r="BG5" s="20">
        <f t="shared" si="7"/>
        <v>3.2168218116837237</v>
      </c>
      <c r="BH5" s="59">
        <f t="shared" si="8"/>
        <v>262.32793292279484</v>
      </c>
      <c r="BI5" s="59">
        <f ca="1">AVERAGE(OFFSET($BH$3,0,0,'Données projet'!$E$11+1,1))-AVERAGE(OFFSET($H$3,0,0,'Données projet'!$E$11+1,1))</f>
        <v>219.22204054948094</v>
      </c>
      <c r="BJ5" s="59">
        <f t="shared" ref="BJ5:BJ68" si="38">$BJ$3</f>
        <v>222.41711966122034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1.6</v>
      </c>
      <c r="BY5" s="12">
        <f>IF('Données projet'!$A$114&gt;35,BY4+BX5-CG4,IF(A5&lt;'Données projet'!$A$114,$BV$205^A5,IF(A5='Données projet'!$A$114,'Données projet'!$B$114,BY4+BX5-CG4)))</f>
        <v>1.2944424571091924</v>
      </c>
      <c r="BZ5" s="13">
        <f>BY5*VLOOKUP('Données projet'!$B$12,Paramètres!$A$1:$I$89,3,0)*VLOOKUP('Données projet'!$B$12,Paramètres!$A$1:$I$89,5,0)</f>
        <v>1.1106316281996871</v>
      </c>
      <c r="CA5" s="13">
        <f t="shared" ref="CA5:CA68" si="39">EXP(-1.0587+0.8836*LN(BZ5)+0.284)</f>
        <v>0.50561243867021655</v>
      </c>
      <c r="CB5" s="20">
        <f t="shared" si="10"/>
        <v>2.8149584164650818</v>
      </c>
      <c r="CC5" s="59">
        <f t="shared" si="11"/>
        <v>261.9260695275762</v>
      </c>
      <c r="CD5" s="59">
        <f ca="1">AVERAGE(OFFSET($CC$3,0,0,'Données projet'!$E$12+1,1))-AVERAGE(OFFSET($H$3,0,0,'Données projet'!$E$12+1,1))</f>
        <v>237.27357081252273</v>
      </c>
      <c r="CE5" s="59">
        <f t="shared" ref="CE5:CE68" si="40">$CE$3</f>
        <v>68.768479693848576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12.6</v>
      </c>
      <c r="CT5" s="12">
        <f>IF('Données projet'!$A$140&gt;35,CT4+CS5-DB4,IF(A5&lt;'Données projet'!$A$140,$CQ$205^A5,IF(A5='Données projet'!$A$140,'Données projet'!$B$140,CT4+CS5-DB4)))</f>
        <v>2.0115379967897669</v>
      </c>
      <c r="CU5" s="17">
        <f>CT5*VLOOKUP('Données projet'!$B$13,Paramètres!$A$1:$I$89,3,0)*VLOOKUP('Données projet'!$B$13,Paramètres!$A$1:$I$89,5,0)</f>
        <v>1.1244497402054798</v>
      </c>
      <c r="CV5" s="13">
        <f t="shared" ref="CV5:CV68" si="41">EXP(-1.0587+0.8836*LN(CU5)+0.284)</f>
        <v>0.51116686213755136</v>
      </c>
      <c r="CW5" s="20">
        <f t="shared" si="13"/>
        <v>2.848698915747446</v>
      </c>
      <c r="CX5" s="59">
        <f t="shared" si="14"/>
        <v>261.95981002685858</v>
      </c>
      <c r="CY5" s="59">
        <f ca="1">AVERAGE(OFFSET($CX$3,0,0,'Données projet'!$E$13+1,1))-AVERAGE(OFFSET($H$3,0,0,'Données projet'!$E$13+1,1))</f>
        <v>474.03051418249999</v>
      </c>
      <c r="CZ5" s="59">
        <f t="shared" ref="CZ5:CZ68" si="42">$CZ$3</f>
        <v>649.52271992719091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9.6666666666666661</v>
      </c>
      <c r="DO5" s="12">
        <f>IF('Données projet'!$A$166&gt;35,DO4+DN5-DW4,IF(A5&lt;'Données projet'!$A$166,$DL$205^A5,IF(A5='Données projet'!$A$166,'Données projet'!$B$166,DO4+DN5-DW4)))</f>
        <v>2.2083928457304225</v>
      </c>
      <c r="DP5" s="17">
        <f>DO5*VLOOKUP('Données projet'!$B$14,Paramètres!$A$1:$I$89,3,0)*VLOOKUP('Données projet'!$B$14,Paramètres!$A$1:$I$89,5,0)</f>
        <v>1.2057824937688106</v>
      </c>
      <c r="DQ5" s="13">
        <f t="shared" ref="DQ5:DQ68" si="43">EXP(-1.0587+0.8836*LN(DP5)+0.284)</f>
        <v>0.54370250071771287</v>
      </c>
      <c r="DR5" s="20">
        <f t="shared" si="16"/>
        <v>3.0470196987306952</v>
      </c>
      <c r="DS5" s="59">
        <f t="shared" si="17"/>
        <v>262.15813080984185</v>
      </c>
      <c r="DT5" s="59">
        <f ca="1">AVERAGE(OFFSET($DS$3,0,0,'Données projet'!$E$14+1,1))-AVERAGE(OFFSET($H$3,0,0,'Données projet'!$E$14+1,1))</f>
        <v>164.0740581424559</v>
      </c>
      <c r="DU5" s="59">
        <f t="shared" ref="DU5:DU68" si="44">$DU$3</f>
        <v>280.99861170359793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3.7333333333333334</v>
      </c>
      <c r="EJ5" s="12">
        <f>IF('Données projet'!$A$192&gt;35,EJ4+EI5-ER4,IF(A5&lt;'Données projet'!$A$192,$EG$205^A5,IF(A5='Données projet'!$A$192,'Données projet'!$B$192,EJ4+EI5-ER4)))</f>
        <v>1.7103765633635943</v>
      </c>
      <c r="EK5" s="17">
        <f>EJ5*VLOOKUP('Données projet'!$B$15,Paramètres!$A$1:$I$89,3,0)*VLOOKUP('Données projet'!$B$15,Paramètres!$A$1:$I$89,5,0)</f>
        <v>0.82269112697788893</v>
      </c>
      <c r="EL5" s="13">
        <f t="shared" ref="EL5:EL68" si="45">EXP(-1.0587+0.8836*LN(EK5)+0.284)</f>
        <v>0.38784242455930162</v>
      </c>
      <c r="EM5" s="20">
        <f t="shared" si="19"/>
        <v>2.10834593559394</v>
      </c>
      <c r="EN5" s="59">
        <f t="shared" si="20"/>
        <v>261.21945704670509</v>
      </c>
      <c r="EO5" s="59">
        <f ca="1">AVERAGE(OFFSET($EN$3,0,0,'Données projet'!$E$15+1,1))-AVERAGE(OFFSET($H$3,0,0,'Données projet'!$E$15+1,1))</f>
        <v>312.1172301514103</v>
      </c>
      <c r="EP5" s="59">
        <f t="shared" ref="EP5:EP68" si="46">$EP$3</f>
        <v>369.85500533493212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7.9</v>
      </c>
      <c r="FE5" s="12">
        <f>IF('Données projet'!$A$218&gt;35,FE4+FD5-FM4,IF(A5&lt;'Données projet'!$A$218,$FB$205^A5,IF(A5='Données projet'!$A$218,'Données projet'!$B$218,FE4+FD5-FM4)))</f>
        <v>1.6590738140266501</v>
      </c>
      <c r="FF5" s="17">
        <f>FE5*VLOOKUP('Données projet'!$B$16,Paramètres!$A$1:$I$89,3,0)*VLOOKUP('Données projet'!$B$16,Paramètres!$A$1:$I$89,5,0)</f>
        <v>0.77644654496447219</v>
      </c>
      <c r="FG5" s="13">
        <f t="shared" ref="FG5:FG68" si="47">EXP(-1.0587+0.8836*LN(FF5)+0.284)</f>
        <v>0.36851455096495994</v>
      </c>
      <c r="FH5" s="20">
        <f t="shared" si="22"/>
        <v>1.9941405754104276</v>
      </c>
      <c r="FI5" s="59">
        <f t="shared" si="23"/>
        <v>261.10525168652157</v>
      </c>
      <c r="FJ5" s="59">
        <f ca="1">AVERAGE(OFFSET($FI$3,0,0,'Données projet'!$E$16+1,1))-AVERAGE(OFFSET($H$3,0,0,'Données projet'!$E$16+1,1))</f>
        <v>87.187251664304199</v>
      </c>
      <c r="FK5" s="59">
        <f t="shared" ref="FK5:FK68" si="48">$FK$3</f>
        <v>148.84938257884147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6.9411764705882355</v>
      </c>
      <c r="FZ5" s="12">
        <f>IF('Données projet'!$A$244&gt;35,FZ4+FY5-GH4,IF(A5&lt;'Données projet'!$A$244,$FW$205^A5,IF(A5='Données projet'!$A$244,'Données projet'!$B$244,FZ4+FY5-GH4)))</f>
        <v>1.7528745049502052</v>
      </c>
      <c r="GA5" s="17">
        <f>FZ5*VLOOKUP('Données projet'!$B$17,Paramètres!$A$1:$I$89,3,0)*VLOOKUP('Données projet'!$B$17,Paramètres!$A$1:$I$89,5,0)</f>
        <v>1.0482189539602227</v>
      </c>
      <c r="GB5" s="13">
        <f t="shared" ref="GB5:GB68" si="49">EXP(-1.0587+0.8836*LN(GA5)+0.284)</f>
        <v>0.48042263342477459</v>
      </c>
      <c r="GC5" s="20">
        <f t="shared" si="25"/>
        <v>2.6623840980288702</v>
      </c>
      <c r="GD5" s="59">
        <f t="shared" si="26"/>
        <v>261.77349520914004</v>
      </c>
      <c r="GE5" s="59">
        <f ca="1">AVERAGE(OFFSET($GD$3,0,0,'Données projet'!$E$17+1,1))-AVERAGE(OFFSET($H$3,0,0,'Données projet'!$E$17+1,1))</f>
        <v>282.94722676586207</v>
      </c>
      <c r="GF5" s="59">
        <f t="shared" ref="GF5:GF68" si="50">$GF$3</f>
        <v>310.63647941571298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3.8333333333333335</v>
      </c>
      <c r="GU5" s="12">
        <f>IF('Données projet'!$A$270&gt;35,GU4+GT5-HC4,IF(A5&lt;'Données projet'!$A$270,$GR$205^A5,IF(A5='Données projet'!$A$270,'Données projet'!$B$270,GU4+GT5-HC4)))</f>
        <v>1.892894046431534</v>
      </c>
      <c r="GV5" s="17">
        <f>GU5*VLOOKUP('Données projet'!$B$18,Paramètres!$A$1:$I$89,3,0)*VLOOKUP('Données projet'!$B$18,Paramètres!$A$1:$I$89,5,0)</f>
        <v>1.1319506397660575</v>
      </c>
      <c r="GW5" s="13">
        <f t="shared" ref="GW5:GW68" si="51">EXP(-1.0587+0.8836*LN(GV5)+0.284)</f>
        <v>0.51417864374064992</v>
      </c>
      <c r="GX5" s="20">
        <f t="shared" si="28"/>
        <v>2.8670085021075149</v>
      </c>
      <c r="GY5" s="59">
        <f t="shared" si="29"/>
        <v>261.97811961321867</v>
      </c>
      <c r="GZ5" s="59">
        <f ca="1">AVERAGE(OFFSET($GY$3,0,0,'Données projet'!$E$18+1,1))-AVERAGE(OFFSET($H$3,0,0,'Données projet'!$E$18+1,1))</f>
        <v>255.54398581450459</v>
      </c>
      <c r="HA5" s="59">
        <f t="shared" ref="HA5:HA68" si="52">$HA$3</f>
        <v>276.52622328061204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7.1333333333333337</v>
      </c>
      <c r="N6" s="13">
        <f>IF('Données projet'!$A$36&gt;35,N5+M6-V5,IF(A6&lt;'Données projet'!$A$36,$K$205^A6,IF(A6='Données projet'!$A$36,'Données projet'!$B$36,N5+M6-V5)))</f>
        <v>2.5461076134379645</v>
      </c>
      <c r="O6" s="13">
        <f>N6*VLOOKUP('Données projet'!$B$9,Paramètres!$A$1:$I$89,3,0)*VLOOKUP('Données projet'!$B$9,Paramètres!$A$1:$I$89,5,0)</f>
        <v>2.2242796110994063</v>
      </c>
      <c r="P6" s="13">
        <f t="shared" si="33"/>
        <v>0.93396069963909534</v>
      </c>
      <c r="Q6" s="20">
        <f t="shared" si="2"/>
        <v>5.5006018745362235</v>
      </c>
      <c r="R6" s="59">
        <f t="shared" si="0"/>
        <v>265.83393520786956</v>
      </c>
      <c r="S6" s="59">
        <f ca="1">AVERAGE(OFFSET($R$3,0,0,'Données projet'!$E$9+1,1))-AVERAGE(OFFSET($H$3,0,0,'Données projet'!$E$9+1,1))</f>
        <v>248.50221719467663</v>
      </c>
      <c r="T6" s="59">
        <f t="shared" si="34"/>
        <v>366.09064580347183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1.7220708720671365</v>
      </c>
      <c r="AK6" s="13">
        <f t="shared" si="35"/>
        <v>0.74494935243383209</v>
      </c>
      <c r="AL6" s="20">
        <f t="shared" si="4"/>
        <v>4.2967268910058536</v>
      </c>
      <c r="AM6" s="59">
        <f t="shared" si="5"/>
        <v>264.63006022433916</v>
      </c>
      <c r="AN6" s="59">
        <f ca="1">AVERAGE(OFFSET($AM$3,0,0,'Données projet'!$E$10+1,1))-AVERAGE(OFFSET($H$3,0,0,'Données projet'!$E$10+1,1))</f>
        <v>263.22346936777603</v>
      </c>
      <c r="AO6" s="59">
        <f t="shared" si="36"/>
        <v>217.14714468707939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2.6666666666666665</v>
      </c>
      <c r="BD6" s="12">
        <f>IF('Données projet'!$A$88&gt;35,BD5+BC6-BL5,IF(A6&lt;'Données projet'!$A$88,$BA$205^A6,IF(A6='Données projet'!$A$88,'Données projet'!$B$88,BD5+BC6-BL5)))</f>
        <v>2.0912791051825459</v>
      </c>
      <c r="BE6" s="13">
        <f>BD6*VLOOKUP('Données projet'!$B$11,Paramètres!$A$1:$I$89,3,0)*VLOOKUP('Données projet'!$B$11,Paramètres!$A$1:$I$89,5,0)</f>
        <v>1.6311977020423858</v>
      </c>
      <c r="BF6" s="13">
        <f t="shared" si="37"/>
        <v>0.71010553443370616</v>
      </c>
      <c r="BG6" s="20">
        <f t="shared" si="7"/>
        <v>4.0777698035291934</v>
      </c>
      <c r="BH6" s="59">
        <f t="shared" si="8"/>
        <v>264.41110313686249</v>
      </c>
      <c r="BI6" s="59">
        <f ca="1">AVERAGE(OFFSET($BH$3,0,0,'Données projet'!$E$11+1,1))-AVERAGE(OFFSET($H$3,0,0,'Données projet'!$E$11+1,1))</f>
        <v>219.22204054948094</v>
      </c>
      <c r="BJ6" s="59">
        <f t="shared" si="38"/>
        <v>222.41711966122034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1.6</v>
      </c>
      <c r="BY6" s="12">
        <f>IF('Données projet'!$A$114&gt;35,BY5+BX6-CG5,IF(A6&lt;'Données projet'!$A$114,$BV$205^A6,IF(A6='Données projet'!$A$114,'Données projet'!$B$114,BY5+BX6-CG5)))</f>
        <v>1.4727333575346886</v>
      </c>
      <c r="BZ6" s="13">
        <f>BY6*VLOOKUP('Données projet'!$B$12,Paramètres!$A$1:$I$89,3,0)*VLOOKUP('Données projet'!$B$12,Paramètres!$A$1:$I$89,5,0)</f>
        <v>1.263605220764763</v>
      </c>
      <c r="CA6" s="13">
        <f t="shared" si="39"/>
        <v>0.56667742024830126</v>
      </c>
      <c r="CB6" s="20">
        <f t="shared" si="10"/>
        <v>3.187742266431087</v>
      </c>
      <c r="CC6" s="59">
        <f t="shared" si="11"/>
        <v>263.5210755997644</v>
      </c>
      <c r="CD6" s="59">
        <f ca="1">AVERAGE(OFFSET($CC$3,0,0,'Données projet'!$E$12+1,1))-AVERAGE(OFFSET($H$3,0,0,'Données projet'!$E$12+1,1))</f>
        <v>237.27357081252273</v>
      </c>
      <c r="CE6" s="59">
        <f t="shared" si="40"/>
        <v>68.768479693848576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12.6</v>
      </c>
      <c r="CT6" s="12">
        <f>IF('Données projet'!$A$140&gt;35,CT5+CS6-DB5,IF(A6&lt;'Données projet'!$A$140,$CQ$205^A6,IF(A6='Données projet'!$A$140,'Données projet'!$B$140,CT5+CS6-DB5)))</f>
        <v>2.8529381783867689</v>
      </c>
      <c r="CU6" s="17">
        <f>CT6*VLOOKUP('Données projet'!$B$13,Paramètres!$A$1:$I$89,3,0)*VLOOKUP('Données projet'!$B$13,Paramètres!$A$1:$I$89,5,0)</f>
        <v>1.5947924417182038</v>
      </c>
      <c r="CV6" s="13">
        <f t="shared" si="41"/>
        <v>0.69608370677295384</v>
      </c>
      <c r="CW6" s="20">
        <f t="shared" si="13"/>
        <v>3.9899426252887658</v>
      </c>
      <c r="CX6" s="59">
        <f t="shared" si="14"/>
        <v>264.32327595862211</v>
      </c>
      <c r="CY6" s="59">
        <f ca="1">AVERAGE(OFFSET($CX$3,0,0,'Données projet'!$E$13+1,1))-AVERAGE(OFFSET($H$3,0,0,'Données projet'!$E$13+1,1))</f>
        <v>474.03051418249999</v>
      </c>
      <c r="CZ6" s="59">
        <f t="shared" si="42"/>
        <v>649.52271992719091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9.6666666666666661</v>
      </c>
      <c r="DO6" s="12">
        <f>IF('Données projet'!$A$166&gt;35,DO5+DN6-DW5,IF(A6&lt;'Données projet'!$A$166,$DL$205^A6,IF(A6='Données projet'!$A$166,'Données projet'!$B$166,DO5+DN6-DW5)))</f>
        <v>3.2818180349112911</v>
      </c>
      <c r="DP6" s="17">
        <f>DO6*VLOOKUP('Données projet'!$B$14,Paramètres!$A$1:$I$89,3,0)*VLOOKUP('Données projet'!$B$14,Paramètres!$A$1:$I$89,5,0)</f>
        <v>1.7918726470615651</v>
      </c>
      <c r="DQ6" s="13">
        <f t="shared" si="43"/>
        <v>0.77156808236563035</v>
      </c>
      <c r="DR6" s="20">
        <f t="shared" si="16"/>
        <v>4.4646592704190313</v>
      </c>
      <c r="DS6" s="59">
        <f t="shared" si="17"/>
        <v>264.79799260375233</v>
      </c>
      <c r="DT6" s="59">
        <f ca="1">AVERAGE(OFFSET($DS$3,0,0,'Données projet'!$E$14+1,1))-AVERAGE(OFFSET($H$3,0,0,'Données projet'!$E$14+1,1))</f>
        <v>164.0740581424559</v>
      </c>
      <c r="DU6" s="59">
        <f t="shared" si="44"/>
        <v>280.99861170359793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3.7333333333333334</v>
      </c>
      <c r="EJ6" s="12">
        <f>IF('Données projet'!$A$192&gt;35,EJ5+EI6-ER5,IF(A6&lt;'Données projet'!$A$192,$EG$205^A6,IF(A6='Données projet'!$A$192,'Données projet'!$B$192,EJ5+EI6-ER5)))</f>
        <v>2.2368538294402889</v>
      </c>
      <c r="EK6" s="17">
        <f>EJ6*VLOOKUP('Données projet'!$B$15,Paramètres!$A$1:$I$89,3,0)*VLOOKUP('Données projet'!$B$15,Paramètres!$A$1:$I$89,5,0)</f>
        <v>1.0759266919607788</v>
      </c>
      <c r="EL6" s="13">
        <f t="shared" si="45"/>
        <v>0.49162645244612219</v>
      </c>
      <c r="EM6" s="20">
        <f t="shared" si="19"/>
        <v>2.7301550598420192</v>
      </c>
      <c r="EN6" s="59">
        <f t="shared" si="20"/>
        <v>263.06348839317536</v>
      </c>
      <c r="EO6" s="59">
        <f ca="1">AVERAGE(OFFSET($EN$3,0,0,'Données projet'!$E$15+1,1))-AVERAGE(OFFSET($H$3,0,0,'Données projet'!$E$15+1,1))</f>
        <v>312.1172301514103</v>
      </c>
      <c r="EP6" s="59">
        <f t="shared" si="46"/>
        <v>369.85500533493212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7.9</v>
      </c>
      <c r="FE6" s="12">
        <f>IF('Données projet'!$A$218&gt;35,FE5+FD6-FM5,IF(A6&lt;'Données projet'!$A$218,$FB$205^A6,IF(A6='Données projet'!$A$218,'Données projet'!$B$218,FE5+FD6-FM5)))</f>
        <v>2.1369706776057753</v>
      </c>
      <c r="FF6" s="17">
        <f>FE6*VLOOKUP('Données projet'!$B$16,Paramètres!$A$1:$I$89,3,0)*VLOOKUP('Données projet'!$B$16,Paramètres!$A$1:$I$89,5,0)</f>
        <v>1.0001022771195029</v>
      </c>
      <c r="FG6" s="13">
        <f t="shared" si="47"/>
        <v>0.46088365986243646</v>
      </c>
      <c r="FH6" s="20">
        <f t="shared" si="22"/>
        <v>2.5445505069102112</v>
      </c>
      <c r="FI6" s="59">
        <f t="shared" si="23"/>
        <v>262.8778838402435</v>
      </c>
      <c r="FJ6" s="59">
        <f ca="1">AVERAGE(OFFSET($FI$3,0,0,'Données projet'!$E$16+1,1))-AVERAGE(OFFSET($H$3,0,0,'Données projet'!$E$16+1,1))</f>
        <v>87.187251664304199</v>
      </c>
      <c r="FK6" s="59">
        <f t="shared" si="48"/>
        <v>148.84938257884147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6.9411764705882355</v>
      </c>
      <c r="FZ6" s="12">
        <f>IF('Données projet'!$A$244&gt;35,FZ5+FY6-GH5,IF(A6&lt;'Données projet'!$A$244,$FW$205^A6,IF(A6='Données projet'!$A$244,'Données projet'!$B$244,FZ5+FY6-GH5)))</f>
        <v>2.3207386577487843</v>
      </c>
      <c r="GA6" s="17">
        <f>FZ6*VLOOKUP('Données projet'!$B$17,Paramètres!$A$1:$I$89,3,0)*VLOOKUP('Données projet'!$B$17,Paramètres!$A$1:$I$89,5,0)</f>
        <v>1.3878017173337731</v>
      </c>
      <c r="GB6" s="13">
        <f t="shared" si="49"/>
        <v>0.61561979180116611</v>
      </c>
      <c r="GC6" s="20">
        <f t="shared" si="25"/>
        <v>3.4892924617433518</v>
      </c>
      <c r="GD6" s="59">
        <f t="shared" si="26"/>
        <v>263.82262579507665</v>
      </c>
      <c r="GE6" s="59">
        <f ca="1">AVERAGE(OFFSET($GD$3,0,0,'Données projet'!$E$17+1,1))-AVERAGE(OFFSET($H$3,0,0,'Données projet'!$E$17+1,1))</f>
        <v>282.94722676586207</v>
      </c>
      <c r="GF6" s="59">
        <f t="shared" si="50"/>
        <v>310.63647941571298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3.8333333333333335</v>
      </c>
      <c r="GU6" s="12">
        <f>IF('Données projet'!$A$270&gt;35,GU5+GT6-HC5,IF(A6&lt;'Données projet'!$A$270,$GR$205^A6,IF(A6='Données projet'!$A$270,'Données projet'!$B$270,GU5+GT6-HC5)))</f>
        <v>2.6042906871402178</v>
      </c>
      <c r="GV6" s="17">
        <f>GU6*VLOOKUP('Données projet'!$B$18,Paramètres!$A$1:$I$89,3,0)*VLOOKUP('Données projet'!$B$18,Paramètres!$A$1:$I$89,5,0)</f>
        <v>1.5573658309098504</v>
      </c>
      <c r="GW6" s="13">
        <f t="shared" si="51"/>
        <v>0.68162959137501489</v>
      </c>
      <c r="GX6" s="20">
        <f t="shared" si="28"/>
        <v>3.8995836938128075</v>
      </c>
      <c r="GY6" s="59">
        <f t="shared" si="29"/>
        <v>264.23291702714613</v>
      </c>
      <c r="GZ6" s="59">
        <f ca="1">AVERAGE(OFFSET($GY$3,0,0,'Données projet'!$E$18+1,1))-AVERAGE(OFFSET($H$3,0,0,'Données projet'!$E$18+1,1))</f>
        <v>255.54398581450459</v>
      </c>
      <c r="HA6" s="59">
        <f t="shared" si="52"/>
        <v>276.52622328061204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7.1333333333333337</v>
      </c>
      <c r="N7" s="13">
        <f>IF('Données projet'!$A$36&gt;35,N6+M7-V6,IF(A7&lt;'Données projet'!$A$36,$K$205^A7,IF(A7='Données projet'!$A$36,'Données projet'!$B$36,N6+M7-V6)))</f>
        <v>3.4767143280787458</v>
      </c>
      <c r="O7" s="13">
        <f>N7*VLOOKUP('Données projet'!$B$9,Paramètres!$A$1:$I$89,3,0)*VLOOKUP('Données projet'!$B$9,Paramètres!$A$1:$I$89,5,0)</f>
        <v>3.0372576370095925</v>
      </c>
      <c r="P7" s="13">
        <f t="shared" si="33"/>
        <v>1.2299085923119242</v>
      </c>
      <c r="Q7" s="20">
        <f t="shared" si="2"/>
        <v>7.4319811827349751</v>
      </c>
      <c r="R7" s="59">
        <f t="shared" si="0"/>
        <v>268.98753673829054</v>
      </c>
      <c r="S7" s="59">
        <f ca="1">AVERAGE(OFFSET($R$3,0,0,'Données projet'!$E$9+1,1))-AVERAGE(OFFSET($H$3,0,0,'Données projet'!$E$9+1,1))</f>
        <v>248.50221719467663</v>
      </c>
      <c r="T7" s="59">
        <f t="shared" si="34"/>
        <v>366.09064580347183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2.1341117843442179</v>
      </c>
      <c r="AK7" s="13">
        <f t="shared" si="35"/>
        <v>0.90042667189585779</v>
      </c>
      <c r="AL7" s="20">
        <f t="shared" si="4"/>
        <v>5.2851544779514645</v>
      </c>
      <c r="AM7" s="59">
        <f t="shared" si="5"/>
        <v>266.84071003350698</v>
      </c>
      <c r="AN7" s="59">
        <f ca="1">AVERAGE(OFFSET($AM$3,0,0,'Données projet'!$E$10+1,1))-AVERAGE(OFFSET($H$3,0,0,'Données projet'!$E$10+1,1))</f>
        <v>263.22346936777603</v>
      </c>
      <c r="AO7" s="59">
        <f t="shared" si="36"/>
        <v>217.14714468707939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2.6666666666666665</v>
      </c>
      <c r="BD7" s="12">
        <f>IF('Données projet'!$A$88&gt;35,BD6+BC7-BL6,IF(A7&lt;'Données projet'!$A$88,$BA$205^A7,IF(A7='Données projet'!$A$88,'Données projet'!$B$88,BD6+BC7-BL6)))</f>
        <v>2.6743361672197152</v>
      </c>
      <c r="BE7" s="13">
        <f>BD7*VLOOKUP('Données projet'!$B$11,Paramètres!$A$1:$I$89,3,0)*VLOOKUP('Données projet'!$B$11,Paramètres!$A$1:$I$89,5,0)</f>
        <v>2.0859822104313781</v>
      </c>
      <c r="BF7" s="13">
        <f t="shared" si="37"/>
        <v>0.88245976121767966</v>
      </c>
      <c r="BG7" s="20">
        <f t="shared" si="7"/>
        <v>5.1700364339554419</v>
      </c>
      <c r="BH7" s="59">
        <f t="shared" si="8"/>
        <v>266.72559198951097</v>
      </c>
      <c r="BI7" s="59">
        <f ca="1">AVERAGE(OFFSET($BH$3,0,0,'Données projet'!$E$11+1,1))-AVERAGE(OFFSET($H$3,0,0,'Données projet'!$E$11+1,1))</f>
        <v>219.22204054948094</v>
      </c>
      <c r="BJ7" s="59">
        <f t="shared" si="38"/>
        <v>222.41711966122034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1.6</v>
      </c>
      <c r="BY7" s="12">
        <f>IF('Données projet'!$A$114&gt;35,BY6+BX7-CG6,IF(A7&lt;'Données projet'!$A$114,$BV$205^A7,IF(A7='Données projet'!$A$114,'Données projet'!$B$114,BY6+BX7-CG6)))</f>
        <v>1.6755812747668832</v>
      </c>
      <c r="BZ7" s="13">
        <f>BY7*VLOOKUP('Données projet'!$B$12,Paramètres!$A$1:$I$89,3,0)*VLOOKUP('Données projet'!$B$12,Paramètres!$A$1:$I$89,5,0)</f>
        <v>1.4376487337499859</v>
      </c>
      <c r="CA7" s="13">
        <f t="shared" si="39"/>
        <v>0.63511748141291502</v>
      </c>
      <c r="CB7" s="20">
        <f t="shared" si="10"/>
        <v>3.6100678247420519</v>
      </c>
      <c r="CC7" s="59">
        <f t="shared" si="11"/>
        <v>265.16562338029757</v>
      </c>
      <c r="CD7" s="59">
        <f ca="1">AVERAGE(OFFSET($CC$3,0,0,'Données projet'!$E$12+1,1))-AVERAGE(OFFSET($H$3,0,0,'Données projet'!$E$12+1,1))</f>
        <v>237.27357081252273</v>
      </c>
      <c r="CE7" s="59">
        <f t="shared" si="40"/>
        <v>68.768479693848576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12.6</v>
      </c>
      <c r="CT7" s="12">
        <f>IF('Données projet'!$A$140&gt;35,CT6+CS7-DB6,IF(A7&lt;'Données projet'!$A$140,$CQ$205^A7,IF(A7='Données projet'!$A$140,'Données projet'!$B$140,CT6+CS7-DB6)))</f>
        <v>4.046285112528988</v>
      </c>
      <c r="CU7" s="17">
        <f>CT7*VLOOKUP('Données projet'!$B$13,Paramètres!$A$1:$I$89,3,0)*VLOOKUP('Données projet'!$B$13,Paramètres!$A$1:$I$89,5,0)</f>
        <v>2.2618733779037044</v>
      </c>
      <c r="CV7" s="13">
        <f t="shared" si="41"/>
        <v>0.94789502748398335</v>
      </c>
      <c r="CW7" s="20">
        <f t="shared" si="13"/>
        <v>5.5903466393835552</v>
      </c>
      <c r="CX7" s="59">
        <f t="shared" si="14"/>
        <v>267.14590219493908</v>
      </c>
      <c r="CY7" s="59">
        <f ca="1">AVERAGE(OFFSET($CX$3,0,0,'Données projet'!$E$13+1,1))-AVERAGE(OFFSET($H$3,0,0,'Données projet'!$E$13+1,1))</f>
        <v>474.03051418249999</v>
      </c>
      <c r="CZ7" s="59">
        <f t="shared" si="42"/>
        <v>649.52271992719091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9.6666666666666661</v>
      </c>
      <c r="DO7" s="12">
        <f>IF('Données projet'!$A$166&gt;35,DO6+DN7-DW6,IF(A7&lt;'Données projet'!$A$166,$DL$205^A7,IF(A7='Données projet'!$A$166,'Données projet'!$B$166,DO6+DN7-DW6)))</f>
        <v>4.8769989610733138</v>
      </c>
      <c r="DP7" s="17">
        <f>DO7*VLOOKUP('Données projet'!$B$14,Paramètres!$A$1:$I$89,3,0)*VLOOKUP('Données projet'!$B$14,Paramètres!$A$1:$I$89,5,0)</f>
        <v>2.6628414327460295</v>
      </c>
      <c r="DQ7" s="13">
        <f t="shared" si="43"/>
        <v>1.0949320721157787</v>
      </c>
      <c r="DR7" s="20">
        <f t="shared" si="16"/>
        <v>6.5447888543009825</v>
      </c>
      <c r="DS7" s="59">
        <f t="shared" si="17"/>
        <v>268.10034440985652</v>
      </c>
      <c r="DT7" s="59">
        <f ca="1">AVERAGE(OFFSET($DS$3,0,0,'Données projet'!$E$14+1,1))-AVERAGE(OFFSET($H$3,0,0,'Données projet'!$E$14+1,1))</f>
        <v>164.0740581424559</v>
      </c>
      <c r="DU7" s="59">
        <f t="shared" si="44"/>
        <v>280.99861170359793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3.7333333333333334</v>
      </c>
      <c r="EJ7" s="12">
        <f>IF('Données projet'!$A$192&gt;35,EJ6+EI7-ER6,IF(A7&lt;'Données projet'!$A$192,$EG$205^A7,IF(A7='Données projet'!$A$192,'Données projet'!$B$192,EJ6+EI7-ER6)))</f>
        <v>2.9253879885034593</v>
      </c>
      <c r="EK7" s="17">
        <f>EJ7*VLOOKUP('Données projet'!$B$15,Paramètres!$A$1:$I$89,3,0)*VLOOKUP('Données projet'!$B$15,Paramètres!$A$1:$I$89,5,0)</f>
        <v>1.4071116224701639</v>
      </c>
      <c r="EL7" s="13">
        <f t="shared" si="45"/>
        <v>0.62318238913495549</v>
      </c>
      <c r="EM7" s="20">
        <f t="shared" si="19"/>
        <v>3.5360954035455823</v>
      </c>
      <c r="EN7" s="59">
        <f t="shared" si="20"/>
        <v>265.09165095910112</v>
      </c>
      <c r="EO7" s="59">
        <f ca="1">AVERAGE(OFFSET($EN$3,0,0,'Données projet'!$E$15+1,1))-AVERAGE(OFFSET($H$3,0,0,'Données projet'!$E$15+1,1))</f>
        <v>312.1172301514103</v>
      </c>
      <c r="EP7" s="59">
        <f t="shared" si="46"/>
        <v>369.85500533493212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7.9</v>
      </c>
      <c r="FE7" s="12">
        <f>IF('Données projet'!$A$218&gt;35,FE6+FD7-FM6,IF(A7&lt;'Données projet'!$A$218,$FB$205^A7,IF(A7='Données projet'!$A$218,'Données projet'!$B$218,FE6+FD7-FM6)))</f>
        <v>2.7525259203889356</v>
      </c>
      <c r="FF7" s="17">
        <f>FE7*VLOOKUP('Données projet'!$B$16,Paramètres!$A$1:$I$89,3,0)*VLOOKUP('Données projet'!$B$16,Paramètres!$A$1:$I$89,5,0)</f>
        <v>1.2881821307420218</v>
      </c>
      <c r="FG7" s="13">
        <f t="shared" si="47"/>
        <v>0.57640532069082717</v>
      </c>
      <c r="FH7" s="20">
        <f t="shared" si="22"/>
        <v>3.2474898112455457</v>
      </c>
      <c r="FI7" s="59">
        <f t="shared" si="23"/>
        <v>264.80304536680109</v>
      </c>
      <c r="FJ7" s="59">
        <f ca="1">AVERAGE(OFFSET($FI$3,0,0,'Données projet'!$E$16+1,1))-AVERAGE(OFFSET($H$3,0,0,'Données projet'!$E$16+1,1))</f>
        <v>87.187251664304199</v>
      </c>
      <c r="FK7" s="59">
        <f t="shared" si="48"/>
        <v>148.84938257884147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6.9411764705882355</v>
      </c>
      <c r="FZ7" s="12">
        <f>IF('Données projet'!$A$244&gt;35,FZ6+FY7-GH6,IF(A7&lt;'Données projet'!$A$244,$FW$205^A7,IF(A7='Données projet'!$A$244,'Données projet'!$B$244,FZ6+FY7-GH6)))</f>
        <v>3.0725690301044271</v>
      </c>
      <c r="GA7" s="17">
        <f>FZ7*VLOOKUP('Données projet'!$B$17,Paramètres!$A$1:$I$89,3,0)*VLOOKUP('Données projet'!$B$17,Paramètres!$A$1:$I$89,5,0)</f>
        <v>1.8373962800024475</v>
      </c>
      <c r="GB7" s="13">
        <f t="shared" si="49"/>
        <v>0.78886318355909346</v>
      </c>
      <c r="GC7" s="20">
        <f t="shared" si="25"/>
        <v>4.5740685657030165</v>
      </c>
      <c r="GD7" s="59">
        <f t="shared" si="26"/>
        <v>266.12962412125859</v>
      </c>
      <c r="GE7" s="59">
        <f ca="1">AVERAGE(OFFSET($GD$3,0,0,'Données projet'!$E$17+1,1))-AVERAGE(OFFSET($H$3,0,0,'Données projet'!$E$17+1,1))</f>
        <v>282.94722676586207</v>
      </c>
      <c r="GF7" s="59">
        <f t="shared" si="50"/>
        <v>310.63647941571298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3.8333333333333335</v>
      </c>
      <c r="GU7" s="12">
        <f>IF('Données projet'!$A$270&gt;35,GU6+GT7-HC6,IF(A7&lt;'Données projet'!$A$270,$GR$205^A7,IF(A7='Données projet'!$A$270,'Données projet'!$B$270,GU6+GT7-HC6)))</f>
        <v>3.5830478710159466</v>
      </c>
      <c r="GV7" s="17">
        <f>GU7*VLOOKUP('Données projet'!$B$18,Paramètres!$A$1:$I$89,3,0)*VLOOKUP('Données projet'!$B$18,Paramètres!$A$1:$I$89,5,0)</f>
        <v>2.1426626268675362</v>
      </c>
      <c r="GW7" s="13">
        <f t="shared" si="51"/>
        <v>0.9036137643873482</v>
      </c>
      <c r="GX7" s="20">
        <f t="shared" si="28"/>
        <v>5.3055980481022571</v>
      </c>
      <c r="GY7" s="59">
        <f t="shared" si="29"/>
        <v>266.86115360365778</v>
      </c>
      <c r="GZ7" s="59">
        <f ca="1">AVERAGE(OFFSET($GY$3,0,0,'Données projet'!$E$18+1,1))-AVERAGE(OFFSET($H$3,0,0,'Données projet'!$E$18+1,1))</f>
        <v>255.54398581450459</v>
      </c>
      <c r="HA7" s="59">
        <f t="shared" si="52"/>
        <v>276.52622328061204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7.1333333333333337</v>
      </c>
      <c r="N8" s="13">
        <f>IF('Données projet'!$A$36&gt;35,N7+M8-V7,IF(A8&lt;'Données projet'!$A$36,$K$205^A8,IF(A8='Données projet'!$A$36,'Données projet'!$B$36,N7+M8-V7)))</f>
        <v>4.7474593985233984</v>
      </c>
      <c r="O8" s="13">
        <f>N8*VLOOKUP('Données projet'!$B$9,Paramètres!$A$1:$I$89,3,0)*VLOOKUP('Données projet'!$B$9,Paramètres!$A$1:$I$89,5,0)</f>
        <v>4.1473805305500413</v>
      </c>
      <c r="P8" s="13">
        <f t="shared" si="33"/>
        <v>1.6196346870133109</v>
      </c>
      <c r="Q8" s="20">
        <f t="shared" si="2"/>
        <v>10.044218170589504</v>
      </c>
      <c r="R8" s="59">
        <f t="shared" si="0"/>
        <v>272.82199594836726</v>
      </c>
      <c r="S8" s="59">
        <f ca="1">AVERAGE(OFFSET($R$3,0,0,'Données projet'!$E$9+1,1))-AVERAGE(OFFSET($H$3,0,0,'Données projet'!$E$9+1,1))</f>
        <v>248.50221719467663</v>
      </c>
      <c r="T8" s="59">
        <f t="shared" si="34"/>
        <v>366.09064580347183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2.6447419684939089</v>
      </c>
      <c r="AK8" s="13">
        <f t="shared" si="35"/>
        <v>1.0883534414958294</v>
      </c>
      <c r="AL8" s="20">
        <f t="shared" si="4"/>
        <v>6.5018078390654601</v>
      </c>
      <c r="AM8" s="59">
        <f t="shared" si="5"/>
        <v>269.27958561684324</v>
      </c>
      <c r="AN8" s="59">
        <f ca="1">AVERAGE(OFFSET($AM$3,0,0,'Données projet'!$E$10+1,1))-AVERAGE(OFFSET($H$3,0,0,'Données projet'!$E$10+1,1))</f>
        <v>263.22346936777603</v>
      </c>
      <c r="AO8" s="59">
        <f t="shared" si="36"/>
        <v>217.14714468707939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2.6666666666666665</v>
      </c>
      <c r="BD8" s="12">
        <f>IF('Données projet'!$A$88&gt;35,BD7+BC8-BL7,IF(A8&lt;'Données projet'!$A$88,$BA$205^A8,IF(A8='Données projet'!$A$88,'Données projet'!$B$88,BD7+BC8-BL7)))</f>
        <v>3.4199518933533928</v>
      </c>
      <c r="BE8" s="13">
        <f>BD8*VLOOKUP('Données projet'!$B$11,Paramètres!$A$1:$I$89,3,0)*VLOOKUP('Données projet'!$B$11,Paramètres!$A$1:$I$89,5,0)</f>
        <v>2.6675624768156463</v>
      </c>
      <c r="BF8" s="13">
        <f t="shared" si="37"/>
        <v>1.0966471776471767</v>
      </c>
      <c r="BG8" s="20">
        <f t="shared" si="7"/>
        <v>6.5559984815227494</v>
      </c>
      <c r="BH8" s="59">
        <f t="shared" si="8"/>
        <v>269.33377625930052</v>
      </c>
      <c r="BI8" s="59">
        <f ca="1">AVERAGE(OFFSET($BH$3,0,0,'Données projet'!$E$11+1,1))-AVERAGE(OFFSET($H$3,0,0,'Données projet'!$E$11+1,1))</f>
        <v>219.22204054948094</v>
      </c>
      <c r="BJ8" s="59">
        <f t="shared" si="38"/>
        <v>222.41711966122034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1.6</v>
      </c>
      <c r="BY8" s="12">
        <f>IF('Données projet'!$A$114&gt;35,BY7+BX8-CG7,IF(A8&lt;'Données projet'!$A$114,$BV$205^A8,IF(A8='Données projet'!$A$114,'Données projet'!$B$114,BY7+BX8-CG7)))</f>
        <v>1.906368585993873</v>
      </c>
      <c r="BZ8" s="13">
        <f>BY8*VLOOKUP('Données projet'!$B$12,Paramètres!$A$1:$I$89,3,0)*VLOOKUP('Données projet'!$B$12,Paramètres!$A$1:$I$89,5,0)</f>
        <v>1.6356642467827434</v>
      </c>
      <c r="CA8" s="13">
        <f t="shared" si="39"/>
        <v>0.71182334213976228</v>
      </c>
      <c r="CB8" s="20">
        <f t="shared" si="10"/>
        <v>4.0885408840400297</v>
      </c>
      <c r="CC8" s="59">
        <f t="shared" si="11"/>
        <v>266.86631866181779</v>
      </c>
      <c r="CD8" s="59">
        <f ca="1">AVERAGE(OFFSET($CC$3,0,0,'Données projet'!$E$12+1,1))-AVERAGE(OFFSET($H$3,0,0,'Données projet'!$E$12+1,1))</f>
        <v>237.27357081252273</v>
      </c>
      <c r="CE8" s="59">
        <f t="shared" si="40"/>
        <v>68.768479693848576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12.6</v>
      </c>
      <c r="CT8" s="12">
        <f>IF('Données projet'!$A$140&gt;35,CT7+CS8-DB7,IF(A8&lt;'Données projet'!$A$140,$CQ$205^A8,IF(A8='Données projet'!$A$140,'Données projet'!$B$140,CT7+CS8-DB7)))</f>
        <v>5.7387935483171679</v>
      </c>
      <c r="CU8" s="17">
        <f>CT8*VLOOKUP('Données projet'!$B$13,Paramètres!$A$1:$I$89,3,0)*VLOOKUP('Données projet'!$B$13,Paramètres!$A$1:$I$89,5,0)</f>
        <v>3.2079855935092971</v>
      </c>
      <c r="CV8" s="13">
        <f t="shared" si="41"/>
        <v>1.2908001931180566</v>
      </c>
      <c r="CW8" s="20">
        <f t="shared" si="13"/>
        <v>7.83538524504264</v>
      </c>
      <c r="CX8" s="59">
        <f t="shared" si="14"/>
        <v>270.6131630228204</v>
      </c>
      <c r="CY8" s="59">
        <f ca="1">AVERAGE(OFFSET($CX$3,0,0,'Données projet'!$E$13+1,1))-AVERAGE(OFFSET($H$3,0,0,'Données projet'!$E$13+1,1))</f>
        <v>474.03051418249999</v>
      </c>
      <c r="CZ8" s="59">
        <f t="shared" si="42"/>
        <v>649.52271992719091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9.6666666666666661</v>
      </c>
      <c r="DO8" s="12">
        <f>IF('Données projet'!$A$166&gt;35,DO7+DN8-DW7,IF(A8&lt;'Données projet'!$A$166,$DL$205^A8,IF(A8='Données projet'!$A$166,'Données projet'!$B$166,DO7+DN8-DW7)))</f>
        <v>7.2475434692871694</v>
      </c>
      <c r="DP8" s="17">
        <f>DO8*VLOOKUP('Données projet'!$B$14,Paramètres!$A$1:$I$89,3,0)*VLOOKUP('Données projet'!$B$14,Paramètres!$A$1:$I$89,5,0)</f>
        <v>3.9571587342307946</v>
      </c>
      <c r="DQ8" s="13">
        <f t="shared" si="43"/>
        <v>1.5538178288453746</v>
      </c>
      <c r="DR8" s="20">
        <f t="shared" si="16"/>
        <v>9.5982841806909942</v>
      </c>
      <c r="DS8" s="59">
        <f t="shared" si="17"/>
        <v>272.37606195846877</v>
      </c>
      <c r="DT8" s="59">
        <f ca="1">AVERAGE(OFFSET($DS$3,0,0,'Données projet'!$E$14+1,1))-AVERAGE(OFFSET($H$3,0,0,'Données projet'!$E$14+1,1))</f>
        <v>164.0740581424559</v>
      </c>
      <c r="DU8" s="59">
        <f t="shared" si="44"/>
        <v>280.99861170359793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3.7333333333333334</v>
      </c>
      <c r="EJ8" s="12">
        <f>IF('Données projet'!$A$192&gt;35,EJ7+EI8-ER7,IF(A8&lt;'Données projet'!$A$192,$EG$205^A8,IF(A8='Données projet'!$A$192,'Données projet'!$B$192,EJ7+EI8-ER7)))</f>
        <v>3.8258623655447765</v>
      </c>
      <c r="EK8" s="17">
        <f>EJ8*VLOOKUP('Données projet'!$B$15,Paramètres!$A$1:$I$89,3,0)*VLOOKUP('Données projet'!$B$15,Paramètres!$A$1:$I$89,5,0)</f>
        <v>1.8402397978270375</v>
      </c>
      <c r="EL8" s="13">
        <f t="shared" si="45"/>
        <v>0.78994181089251181</v>
      </c>
      <c r="EM8" s="20">
        <f t="shared" si="19"/>
        <v>4.5808996351865483</v>
      </c>
      <c r="EN8" s="59">
        <f t="shared" si="20"/>
        <v>267.35867741296431</v>
      </c>
      <c r="EO8" s="59">
        <f ca="1">AVERAGE(OFFSET($EN$3,0,0,'Données projet'!$E$15+1,1))-AVERAGE(OFFSET($H$3,0,0,'Données projet'!$E$15+1,1))</f>
        <v>312.1172301514103</v>
      </c>
      <c r="EP8" s="59">
        <f t="shared" si="46"/>
        <v>369.85500533493212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7.9</v>
      </c>
      <c r="FE8" s="12">
        <f>IF('Données projet'!$A$218&gt;35,FE7+FD8-FM7,IF(A8&lt;'Données projet'!$A$218,$FB$205^A8,IF(A8='Données projet'!$A$218,'Données projet'!$B$218,FE7+FD8-FM7)))</f>
        <v>3.5453920925585285</v>
      </c>
      <c r="FF8" s="17">
        <f>FE8*VLOOKUP('Données projet'!$B$16,Paramètres!$A$1:$I$89,3,0)*VLOOKUP('Données projet'!$B$16,Paramètres!$A$1:$I$89,5,0)</f>
        <v>1.6592434993173915</v>
      </c>
      <c r="FG8" s="13">
        <f t="shared" si="47"/>
        <v>0.72088277944126433</v>
      </c>
      <c r="FH8" s="20">
        <f t="shared" si="22"/>
        <v>4.1453866021713255</v>
      </c>
      <c r="FI8" s="59">
        <f t="shared" si="23"/>
        <v>266.92316437994907</v>
      </c>
      <c r="FJ8" s="59">
        <f ca="1">AVERAGE(OFFSET($FI$3,0,0,'Données projet'!$E$16+1,1))-AVERAGE(OFFSET($H$3,0,0,'Données projet'!$E$16+1,1))</f>
        <v>87.187251664304199</v>
      </c>
      <c r="FK8" s="59">
        <f t="shared" si="48"/>
        <v>148.84938257884147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6.9411764705882355</v>
      </c>
      <c r="FZ8" s="12">
        <f>IF('Données projet'!$A$244&gt;35,FZ7+FY8-GH7,IF(A8&lt;'Données projet'!$A$244,$FW$205^A8,IF(A8='Données projet'!$A$244,'Données projet'!$B$244,FZ7+FY8-GH7)))</f>
        <v>4.0679636258202043</v>
      </c>
      <c r="GA8" s="17">
        <f>FZ8*VLOOKUP('Données projet'!$B$17,Paramètres!$A$1:$I$89,3,0)*VLOOKUP('Données projet'!$B$17,Paramètres!$A$1:$I$89,5,0)</f>
        <v>2.4326422482404824</v>
      </c>
      <c r="GB8" s="13">
        <f t="shared" si="49"/>
        <v>1.0108595120931088</v>
      </c>
      <c r="GC8" s="20">
        <f t="shared" si="25"/>
        <v>5.9974322325810041</v>
      </c>
      <c r="GD8" s="59">
        <f t="shared" si="26"/>
        <v>268.77521001035876</v>
      </c>
      <c r="GE8" s="59">
        <f ca="1">AVERAGE(OFFSET($GD$3,0,0,'Données projet'!$E$17+1,1))-AVERAGE(OFFSET($H$3,0,0,'Données projet'!$E$17+1,1))</f>
        <v>282.94722676586207</v>
      </c>
      <c r="GF8" s="59">
        <f t="shared" si="50"/>
        <v>310.63647941571298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3.8333333333333335</v>
      </c>
      <c r="GU8" s="12">
        <f>IF('Données projet'!$A$270&gt;35,GU7+GT8-HC7,IF(A8&lt;'Données projet'!$A$270,$GR$205^A8,IF(A8='Données projet'!$A$270,'Données projet'!$B$270,GU7+GT8-HC7)))</f>
        <v>4.9296463368648071</v>
      </c>
      <c r="GV8" s="17">
        <f>GU8*VLOOKUP('Données projet'!$B$18,Paramètres!$A$1:$I$89,3,0)*VLOOKUP('Données projet'!$B$18,Paramètres!$A$1:$I$89,5,0)</f>
        <v>2.9479285094451551</v>
      </c>
      <c r="GW8" s="13">
        <f t="shared" si="51"/>
        <v>1.1978908273966751</v>
      </c>
      <c r="GX8" s="20">
        <f t="shared" si="28"/>
        <v>7.2206353449995211</v>
      </c>
      <c r="GY8" s="59">
        <f t="shared" si="29"/>
        <v>269.99841312277727</v>
      </c>
      <c r="GZ8" s="59">
        <f ca="1">AVERAGE(OFFSET($GY$3,0,0,'Données projet'!$E$18+1,1))-AVERAGE(OFFSET($H$3,0,0,'Données projet'!$E$18+1,1))</f>
        <v>255.54398581450459</v>
      </c>
      <c r="HA8" s="59">
        <f t="shared" si="52"/>
        <v>276.52622328061204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7.1333333333333337</v>
      </c>
      <c r="N9" s="13">
        <f>IF('Données projet'!$A$36&gt;35,N8+M9-V8,IF(A9&lt;'Données projet'!$A$36,$K$205^A9,IF(A9='Données projet'!$A$36,'Données projet'!$B$36,N8+M9-V8)))</f>
        <v>6.4826639792067677</v>
      </c>
      <c r="O9" s="13">
        <f>N9*VLOOKUP('Données projet'!$B$9,Paramètres!$A$1:$I$89,3,0)*VLOOKUP('Données projet'!$B$9,Paramètres!$A$1:$I$89,5,0)</f>
        <v>5.6632552522350332</v>
      </c>
      <c r="P9" s="13">
        <f t="shared" si="33"/>
        <v>2.1328548607386395</v>
      </c>
      <c r="Q9" s="20">
        <f t="shared" si="2"/>
        <v>13.578225113429147</v>
      </c>
      <c r="R9" s="59">
        <f t="shared" si="0"/>
        <v>277.57822511342914</v>
      </c>
      <c r="S9" s="59">
        <f ca="1">AVERAGE(OFFSET($R$3,0,0,'Données projet'!$E$9+1,1))-AVERAGE(OFFSET($H$3,0,0,'Données projet'!$E$9+1,1))</f>
        <v>248.50221719467663</v>
      </c>
      <c r="T9" s="59">
        <f t="shared" si="34"/>
        <v>366.09064580347183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3.2775509376901719</v>
      </c>
      <c r="AK9" s="13">
        <f t="shared" si="35"/>
        <v>1.315502139804245</v>
      </c>
      <c r="AL9" s="20">
        <f t="shared" si="4"/>
        <v>7.9995674433027766</v>
      </c>
      <c r="AM9" s="59">
        <f t="shared" si="5"/>
        <v>271.99956744330279</v>
      </c>
      <c r="AN9" s="59">
        <f ca="1">AVERAGE(OFFSET($AM$3,0,0,'Données projet'!$E$10+1,1))-AVERAGE(OFFSET($H$3,0,0,'Données projet'!$E$10+1,1))</f>
        <v>263.22346936777603</v>
      </c>
      <c r="AO9" s="59">
        <f t="shared" si="36"/>
        <v>217.14714468707939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2.6666666666666665</v>
      </c>
      <c r="BD9" s="12">
        <f>IF('Données projet'!$A$88&gt;35,BD8+BC9-BL8,IF(A9&lt;'Données projet'!$A$88,$BA$205^A9,IF(A9='Données projet'!$A$88,'Données projet'!$B$88,BD8+BC9-BL8)))</f>
        <v>4.3734482957731098</v>
      </c>
      <c r="BE9" s="13">
        <f>BD9*VLOOKUP('Données projet'!$B$11,Paramètres!$A$1:$I$89,3,0)*VLOOKUP('Données projet'!$B$11,Paramètres!$A$1:$I$89,5,0)</f>
        <v>3.4112896707030256</v>
      </c>
      <c r="BF9" s="13">
        <f t="shared" si="37"/>
        <v>1.3628213830192535</v>
      </c>
      <c r="BG9" s="20">
        <f t="shared" si="7"/>
        <v>8.3149100852329703</v>
      </c>
      <c r="BH9" s="59">
        <f t="shared" si="8"/>
        <v>272.31491008523295</v>
      </c>
      <c r="BI9" s="59">
        <f ca="1">AVERAGE(OFFSET($BH$3,0,0,'Données projet'!$E$11+1,1))-AVERAGE(OFFSET($H$3,0,0,'Données projet'!$E$11+1,1))</f>
        <v>219.22204054948094</v>
      </c>
      <c r="BJ9" s="59">
        <f t="shared" si="38"/>
        <v>222.41711966122034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1.6</v>
      </c>
      <c r="BY9" s="12">
        <f>IF('Données projet'!$A$114&gt;35,BY8+BX9-CG8,IF(A9&lt;'Données projet'!$A$114,$BV$205^A9,IF(A9='Données projet'!$A$114,'Données projet'!$B$114,BY8+BX9-CG8)))</f>
        <v>2.1689435423953971</v>
      </c>
      <c r="BZ9" s="13">
        <f>BY9*VLOOKUP('Données projet'!$B$12,Paramètres!$A$1:$I$89,3,0)*VLOOKUP('Données projet'!$B$12,Paramètres!$A$1:$I$89,5,0)</f>
        <v>1.8609535593752509</v>
      </c>
      <c r="CA9" s="13">
        <f t="shared" si="39"/>
        <v>0.79779329847417657</v>
      </c>
      <c r="CB9" s="20">
        <f t="shared" si="10"/>
        <v>4.6306507774210859</v>
      </c>
      <c r="CC9" s="59">
        <f t="shared" si="11"/>
        <v>268.63065077742107</v>
      </c>
      <c r="CD9" s="59">
        <f ca="1">AVERAGE(OFFSET($CC$3,0,0,'Données projet'!$E$12+1,1))-AVERAGE(OFFSET($H$3,0,0,'Données projet'!$E$12+1,1))</f>
        <v>237.27357081252273</v>
      </c>
      <c r="CE9" s="59">
        <f t="shared" si="40"/>
        <v>68.768479693848576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12.6</v>
      </c>
      <c r="CT9" s="12">
        <f>IF('Données projet'!$A$140&gt;35,CT8+CS9-DB8,IF(A9&lt;'Données projet'!$A$140,$CQ$205^A9,IF(A9='Données projet'!$A$140,'Données projet'!$B$140,CT8+CS9-DB8)))</f>
        <v>8.1392562496968175</v>
      </c>
      <c r="CU9" s="17">
        <f>CT9*VLOOKUP('Données projet'!$B$13,Paramètres!$A$1:$I$89,3,0)*VLOOKUP('Données projet'!$B$13,Paramètres!$A$1:$I$89,5,0)</f>
        <v>4.5498442435805213</v>
      </c>
      <c r="CV9" s="13">
        <f t="shared" si="41"/>
        <v>1.7577527998813831</v>
      </c>
      <c r="CW9" s="20">
        <f t="shared" si="13"/>
        <v>10.985731517362817</v>
      </c>
      <c r="CX9" s="59">
        <f t="shared" si="14"/>
        <v>274.98573151736281</v>
      </c>
      <c r="CY9" s="59">
        <f ca="1">AVERAGE(OFFSET($CX$3,0,0,'Données projet'!$E$13+1,1))-AVERAGE(OFFSET($H$3,0,0,'Données projet'!$E$13+1,1))</f>
        <v>474.03051418249999</v>
      </c>
      <c r="CZ9" s="59">
        <f t="shared" si="42"/>
        <v>649.52271992719091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9.6666666666666661</v>
      </c>
      <c r="DO9" s="12">
        <f>IF('Données projet'!$A$166&gt;35,DO8+DN9-DW8,IF(A9&lt;'Données projet'!$A$166,$DL$205^A9,IF(A9='Données projet'!$A$166,'Données projet'!$B$166,DO8+DN9-DW8)))</f>
        <v>10.770329614269009</v>
      </c>
      <c r="DP9" s="17">
        <f>DO9*VLOOKUP('Données projet'!$B$14,Paramètres!$A$1:$I$89,3,0)*VLOOKUP('Données projet'!$B$14,Paramètres!$A$1:$I$89,5,0)</f>
        <v>5.8805999693908788</v>
      </c>
      <c r="DQ9" s="13">
        <f t="shared" si="43"/>
        <v>2.2050224910961043</v>
      </c>
      <c r="DR9" s="20">
        <f t="shared" si="16"/>
        <v>14.082459118681493</v>
      </c>
      <c r="DS9" s="59">
        <f t="shared" si="17"/>
        <v>278.08245911868147</v>
      </c>
      <c r="DT9" s="59">
        <f ca="1">AVERAGE(OFFSET($DS$3,0,0,'Données projet'!$E$14+1,1))-AVERAGE(OFFSET($H$3,0,0,'Données projet'!$E$14+1,1))</f>
        <v>164.0740581424559</v>
      </c>
      <c r="DU9" s="59">
        <f t="shared" si="44"/>
        <v>280.99861170359793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3.7333333333333334</v>
      </c>
      <c r="EJ9" s="12">
        <f>IF('Données projet'!$A$192&gt;35,EJ8+EI9-ER8,IF(A9&lt;'Données projet'!$A$192,$EG$205^A9,IF(A9='Données projet'!$A$192,'Données projet'!$B$192,EJ8+EI9-ER8)))</f>
        <v>5.0035150542816851</v>
      </c>
      <c r="EK9" s="17">
        <f>EJ9*VLOOKUP('Données projet'!$B$15,Paramètres!$A$1:$I$89,3,0)*VLOOKUP('Données projet'!$B$15,Paramètres!$A$1:$I$89,5,0)</f>
        <v>2.4066907411094909</v>
      </c>
      <c r="EL9" s="13">
        <f t="shared" si="45"/>
        <v>1.001324933880644</v>
      </c>
      <c r="EM9" s="20">
        <f t="shared" si="19"/>
        <v>5.9356273006078171</v>
      </c>
      <c r="EN9" s="59">
        <f t="shared" si="20"/>
        <v>269.93562730060779</v>
      </c>
      <c r="EO9" s="59">
        <f ca="1">AVERAGE(OFFSET($EN$3,0,0,'Données projet'!$E$15+1,1))-AVERAGE(OFFSET($H$3,0,0,'Données projet'!$E$15+1,1))</f>
        <v>312.1172301514103</v>
      </c>
      <c r="EP9" s="59">
        <f t="shared" si="46"/>
        <v>369.85500533493212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7.9</v>
      </c>
      <c r="FE9" s="12">
        <f>IF('Données projet'!$A$218&gt;35,FE8+FD9-FM8,IF(A9&lt;'Données projet'!$A$218,$FB$205^A9,IF(A9='Données projet'!$A$218,'Données projet'!$B$218,FE8+FD9-FM8)))</f>
        <v>4.566643676946887</v>
      </c>
      <c r="FF9" s="17">
        <f>FE9*VLOOKUP('Données projet'!$B$16,Paramètres!$A$1:$I$89,3,0)*VLOOKUP('Données projet'!$B$16,Paramètres!$A$1:$I$89,5,0)</f>
        <v>2.1371892408111433</v>
      </c>
      <c r="FG9" s="13">
        <f t="shared" si="47"/>
        <v>0.9015738804633705</v>
      </c>
      <c r="FH9" s="20">
        <f t="shared" si="22"/>
        <v>5.292512436219778</v>
      </c>
      <c r="FI9" s="59">
        <f t="shared" si="23"/>
        <v>269.29251243621979</v>
      </c>
      <c r="FJ9" s="59">
        <f ca="1">AVERAGE(OFFSET($FI$3,0,0,'Données projet'!$E$16+1,1))-AVERAGE(OFFSET($H$3,0,0,'Données projet'!$E$16+1,1))</f>
        <v>87.187251664304199</v>
      </c>
      <c r="FK9" s="59">
        <f t="shared" si="48"/>
        <v>148.84938257884147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6.9411764705882355</v>
      </c>
      <c r="FZ9" s="12">
        <f>IF('Données projet'!$A$244&gt;35,FZ8+FY9-GH8,IF(A9&lt;'Données projet'!$A$244,$FW$205^A9,IF(A9='Données projet'!$A$244,'Données projet'!$B$244,FZ8+FY9-GH8)))</f>
        <v>5.38582791756963</v>
      </c>
      <c r="GA9" s="17">
        <f>FZ9*VLOOKUP('Données projet'!$B$17,Paramètres!$A$1:$I$89,3,0)*VLOOKUP('Données projet'!$B$17,Paramètres!$A$1:$I$89,5,0)</f>
        <v>3.2207250947066388</v>
      </c>
      <c r="GB9" s="13">
        <f t="shared" si="49"/>
        <v>1.2953284859599137</v>
      </c>
      <c r="GC9" s="20">
        <f t="shared" si="25"/>
        <v>7.8654599863275783</v>
      </c>
      <c r="GD9" s="59">
        <f t="shared" si="26"/>
        <v>271.86545998632755</v>
      </c>
      <c r="GE9" s="59">
        <f ca="1">AVERAGE(OFFSET($GD$3,0,0,'Données projet'!$E$17+1,1))-AVERAGE(OFFSET($H$3,0,0,'Données projet'!$E$17+1,1))</f>
        <v>282.94722676586207</v>
      </c>
      <c r="GF9" s="59">
        <f t="shared" si="50"/>
        <v>310.63647941571298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3.8333333333333335</v>
      </c>
      <c r="GU9" s="12">
        <f>IF('Données projet'!$A$270&gt;35,GU8+GT9-HC8,IF(A9&lt;'Données projet'!$A$270,$GR$205^A9,IF(A9='Données projet'!$A$270,'Données projet'!$B$270,GU8+GT9-HC8)))</f>
        <v>6.7823299831252681</v>
      </c>
      <c r="GV9" s="17">
        <f>GU9*VLOOKUP('Données projet'!$B$18,Paramètres!$A$1:$I$89,3,0)*VLOOKUP('Données projet'!$B$18,Paramètres!$A$1:$I$89,5,0)</f>
        <v>4.0558333299089107</v>
      </c>
      <c r="GW9" s="13">
        <f t="shared" si="51"/>
        <v>1.5880041793453468</v>
      </c>
      <c r="GX9" s="20">
        <f t="shared" si="28"/>
        <v>9.8296836619511652</v>
      </c>
      <c r="GY9" s="59">
        <f t="shared" si="29"/>
        <v>273.82968366195115</v>
      </c>
      <c r="GZ9" s="59">
        <f ca="1">AVERAGE(OFFSET($GY$3,0,0,'Données projet'!$E$18+1,1))-AVERAGE(OFFSET($H$3,0,0,'Données projet'!$E$18+1,1))</f>
        <v>255.54398581450459</v>
      </c>
      <c r="HA9" s="59">
        <f t="shared" si="52"/>
        <v>276.52622328061204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7.1333333333333337</v>
      </c>
      <c r="N10" s="13">
        <f>IF('Données projet'!$A$36&gt;35,N9+M10-V9,IF(A10&lt;'Données projet'!$A$36,$K$205^A10,IF(A10='Données projet'!$A$36,'Données projet'!$B$36,N9+M10-V9)))</f>
        <v>8.8520888204701524</v>
      </c>
      <c r="O10" s="13">
        <f>N10*VLOOKUP('Données projet'!$B$9,Paramètres!$A$1:$I$89,3,0)*VLOOKUP('Données projet'!$B$9,Paramètres!$A$1:$I$89,5,0)</f>
        <v>7.7331847935627263</v>
      </c>
      <c r="P10" s="13">
        <f t="shared" si="33"/>
        <v>2.8087011802427866</v>
      </c>
      <c r="Q10" s="20">
        <f t="shared" si="2"/>
        <v>18.360451404377937</v>
      </c>
      <c r="R10" s="59">
        <f t="shared" si="0"/>
        <v>283.58267362660018</v>
      </c>
      <c r="S10" s="59">
        <f ca="1">AVERAGE(OFFSET($R$3,0,0,'Données projet'!$E$9+1,1))-AVERAGE(OFFSET($H$3,0,0,'Données projet'!$E$9+1,1))</f>
        <v>248.50221719467663</v>
      </c>
      <c r="T10" s="59">
        <f t="shared" si="34"/>
        <v>366.09064580347183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4.0617724818240486</v>
      </c>
      <c r="AK10" s="13">
        <f t="shared" si="35"/>
        <v>1.590058719758437</v>
      </c>
      <c r="AL10" s="20">
        <f t="shared" si="4"/>
        <v>9.8436060094228282</v>
      </c>
      <c r="AM10" s="59">
        <f t="shared" si="5"/>
        <v>275.06582823164507</v>
      </c>
      <c r="AN10" s="59">
        <f ca="1">AVERAGE(OFFSET($AM$3,0,0,'Données projet'!$E$10+1,1))-AVERAGE(OFFSET($H$3,0,0,'Données projet'!$E$10+1,1))</f>
        <v>263.22346936777603</v>
      </c>
      <c r="AO10" s="59">
        <f t="shared" si="36"/>
        <v>217.14714468707939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2.6666666666666665</v>
      </c>
      <c r="BD10" s="12">
        <f>IF('Données projet'!$A$88&gt;35,BD9+BC10-BL9,IF(A10&lt;'Données projet'!$A$88,$BA$205^A10,IF(A10='Données projet'!$A$88,'Données projet'!$B$88,BD9+BC10-BL9)))</f>
        <v>5.5927833467405659</v>
      </c>
      <c r="BE10" s="13">
        <f>BD10*VLOOKUP('Données projet'!$B$11,Paramètres!$A$1:$I$89,3,0)*VLOOKUP('Données projet'!$B$11,Paramètres!$A$1:$I$89,5,0)</f>
        <v>4.3623710104576414</v>
      </c>
      <c r="BF10" s="13">
        <f t="shared" si="37"/>
        <v>1.6936004212396314</v>
      </c>
      <c r="BG10" s="20">
        <f t="shared" si="7"/>
        <v>10.54748357687275</v>
      </c>
      <c r="BH10" s="59">
        <f t="shared" si="8"/>
        <v>275.76970579909499</v>
      </c>
      <c r="BI10" s="59">
        <f ca="1">AVERAGE(OFFSET($BH$3,0,0,'Données projet'!$E$11+1,1))-AVERAGE(OFFSET($H$3,0,0,'Données projet'!$E$11+1,1))</f>
        <v>219.22204054948094</v>
      </c>
      <c r="BJ10" s="59">
        <f t="shared" si="38"/>
        <v>222.41711966122034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1.6</v>
      </c>
      <c r="BY10" s="12">
        <f>IF('Données projet'!$A$114&gt;35,BY9+BX10-CG9,IF(A10&lt;'Données projet'!$A$114,$BV$205^A10,IF(A10='Données projet'!$A$114,'Données projet'!$B$114,BY9+BX10-CG9)))</f>
        <v>2.4676844366096855</v>
      </c>
      <c r="BZ10" s="13">
        <f>BY10*VLOOKUP('Données projet'!$B$12,Paramètres!$A$1:$I$89,3,0)*VLOOKUP('Données projet'!$B$12,Paramètres!$A$1:$I$89,5,0)</f>
        <v>2.1172732466111102</v>
      </c>
      <c r="CA10" s="13">
        <f t="shared" si="39"/>
        <v>0.89414621495418556</v>
      </c>
      <c r="CB10" s="20">
        <f t="shared" si="10"/>
        <v>5.2448888955595576</v>
      </c>
      <c r="CC10" s="59">
        <f t="shared" si="11"/>
        <v>270.46711111778177</v>
      </c>
      <c r="CD10" s="59">
        <f ca="1">AVERAGE(OFFSET($CC$3,0,0,'Données projet'!$E$12+1,1))-AVERAGE(OFFSET($H$3,0,0,'Données projet'!$E$12+1,1))</f>
        <v>237.27357081252273</v>
      </c>
      <c r="CE10" s="59">
        <f t="shared" si="40"/>
        <v>68.768479693848576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12.6</v>
      </c>
      <c r="CT10" s="12">
        <f>IF('Données projet'!$A$140&gt;35,CT9+CS10-DB9,IF(A10&lt;'Données projet'!$A$140,$CQ$205^A10,IF(A10='Données projet'!$A$140,'Données projet'!$B$140,CT9+CS10-DB9)))</f>
        <v>11.543801278171953</v>
      </c>
      <c r="CU10" s="17">
        <f>CT10*VLOOKUP('Données projet'!$B$13,Paramètres!$A$1:$I$89,3,0)*VLOOKUP('Données projet'!$B$13,Paramètres!$A$1:$I$89,5,0)</f>
        <v>6.4529849144981215</v>
      </c>
      <c r="CV10" s="13">
        <f t="shared" si="41"/>
        <v>2.3936275513155714</v>
      </c>
      <c r="CW10" s="20">
        <f t="shared" si="13"/>
        <v>15.407850044625512</v>
      </c>
      <c r="CX10" s="59">
        <f t="shared" si="14"/>
        <v>280.63007226684772</v>
      </c>
      <c r="CY10" s="59">
        <f ca="1">AVERAGE(OFFSET($CX$3,0,0,'Données projet'!$E$13+1,1))-AVERAGE(OFFSET($H$3,0,0,'Données projet'!$E$13+1,1))</f>
        <v>474.03051418249999</v>
      </c>
      <c r="CZ10" s="59">
        <f t="shared" si="42"/>
        <v>649.52271992719091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9.6666666666666661</v>
      </c>
      <c r="DO10" s="12">
        <f>IF('Données projet'!$A$166&gt;35,DO9+DN10-DW9,IF(A10&lt;'Données projet'!$A$166,$DL$205^A10,IF(A10='Données projet'!$A$166,'Données projet'!$B$166,DO9+DN10-DW9)))</f>
        <v>16.005423146694032</v>
      </c>
      <c r="DP10" s="17">
        <f>DO10*VLOOKUP('Données projet'!$B$14,Paramètres!$A$1:$I$89,3,0)*VLOOKUP('Données projet'!$B$14,Paramètres!$A$1:$I$89,5,0)</f>
        <v>8.7389610380949421</v>
      </c>
      <c r="DQ10" s="13">
        <f t="shared" si="43"/>
        <v>3.1291468639233355</v>
      </c>
      <c r="DR10" s="20">
        <f t="shared" si="16"/>
        <v>20.6702879293485</v>
      </c>
      <c r="DS10" s="59">
        <f t="shared" si="17"/>
        <v>285.89251015157072</v>
      </c>
      <c r="DT10" s="59">
        <f ca="1">AVERAGE(OFFSET($DS$3,0,0,'Données projet'!$E$14+1,1))-AVERAGE(OFFSET($H$3,0,0,'Données projet'!$E$14+1,1))</f>
        <v>164.0740581424559</v>
      </c>
      <c r="DU10" s="59">
        <f t="shared" si="44"/>
        <v>280.99861170359793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3.7333333333333334</v>
      </c>
      <c r="EJ10" s="12">
        <f>IF('Données projet'!$A$192&gt;35,EJ9+EI10-ER9,IF(A10&lt;'Données projet'!$A$192,$EG$205^A10,IF(A10='Données projet'!$A$192,'Données projet'!$B$192,EJ9+EI10-ER9)))</f>
        <v>6.5436653246825864</v>
      </c>
      <c r="EK10" s="17">
        <f>EJ10*VLOOKUP('Données projet'!$B$15,Paramètres!$A$1:$I$89,3,0)*VLOOKUP('Données projet'!$B$15,Paramètres!$A$1:$I$89,5,0)</f>
        <v>3.1475030211723238</v>
      </c>
      <c r="EL10" s="13">
        <f t="shared" si="45"/>
        <v>1.2692727608356806</v>
      </c>
      <c r="EM10" s="20">
        <f t="shared" si="19"/>
        <v>7.692551153663941</v>
      </c>
      <c r="EN10" s="59">
        <f t="shared" si="20"/>
        <v>272.91477337588617</v>
      </c>
      <c r="EO10" s="59">
        <f ca="1">AVERAGE(OFFSET($EN$3,0,0,'Données projet'!$E$15+1,1))-AVERAGE(OFFSET($H$3,0,0,'Données projet'!$E$15+1,1))</f>
        <v>312.1172301514103</v>
      </c>
      <c r="EP10" s="59">
        <f t="shared" si="46"/>
        <v>369.85500533493212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7.9</v>
      </c>
      <c r="FE10" s="12">
        <f>IF('Données projet'!$A$218&gt;35,FE9+FD10-FM9,IF(A10&lt;'Données projet'!$A$218,$FB$205^A10,IF(A10='Données projet'!$A$218,'Données projet'!$B$218,FE9+FD10-FM9)))</f>
        <v>5.8820671812210037</v>
      </c>
      <c r="FF10" s="17">
        <f>FE10*VLOOKUP('Données projet'!$B$16,Paramètres!$A$1:$I$89,3,0)*VLOOKUP('Données projet'!$B$16,Paramètres!$A$1:$I$89,5,0)</f>
        <v>2.7528074408114294</v>
      </c>
      <c r="FG10" s="13">
        <f t="shared" si="47"/>
        <v>1.1275556652411438</v>
      </c>
      <c r="FH10" s="20">
        <f t="shared" si="22"/>
        <v>6.7582990763748976</v>
      </c>
      <c r="FI10" s="59">
        <f t="shared" si="23"/>
        <v>271.98052129859713</v>
      </c>
      <c r="FJ10" s="59">
        <f ca="1">AVERAGE(OFFSET($FI$3,0,0,'Données projet'!$E$16+1,1))-AVERAGE(OFFSET($H$3,0,0,'Données projet'!$E$16+1,1))</f>
        <v>87.187251664304199</v>
      </c>
      <c r="FK10" s="59">
        <f t="shared" si="48"/>
        <v>148.84938257884147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6.9411764705882355</v>
      </c>
      <c r="FZ10" s="12">
        <f>IF('Données projet'!$A$244&gt;35,FZ9+FY10-GH9,IF(A10&lt;'Données projet'!$A$244,$FW$205^A10,IF(A10='Données projet'!$A$244,'Données projet'!$B$244,FZ9+FY10-GH9)))</f>
        <v>7.130629726765032</v>
      </c>
      <c r="GA10" s="17">
        <f>FZ10*VLOOKUP('Données projet'!$B$17,Paramètres!$A$1:$I$89,3,0)*VLOOKUP('Données projet'!$B$17,Paramètres!$A$1:$I$89,5,0)</f>
        <v>4.26411657660549</v>
      </c>
      <c r="GB10" s="13">
        <f t="shared" si="49"/>
        <v>1.6598507175986843</v>
      </c>
      <c r="GC10" s="20">
        <f t="shared" si="25"/>
        <v>10.317576370738935</v>
      </c>
      <c r="GD10" s="59">
        <f t="shared" si="26"/>
        <v>275.53979859296118</v>
      </c>
      <c r="GE10" s="59">
        <f ca="1">AVERAGE(OFFSET($GD$3,0,0,'Données projet'!$E$17+1,1))-AVERAGE(OFFSET($H$3,0,0,'Données projet'!$E$17+1,1))</f>
        <v>282.94722676586207</v>
      </c>
      <c r="GF10" s="59">
        <f t="shared" si="50"/>
        <v>310.63647941571298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3.8333333333333335</v>
      </c>
      <c r="GU10" s="12">
        <f>IF('Données projet'!$A$270&gt;35,GU9+GT10-HC9,IF(A10&lt;'Données projet'!$A$270,$GR$205^A10,IF(A10='Données projet'!$A$270,'Données projet'!$B$270,GU9+GT10-HC9)))</f>
        <v>9.3312982020644135</v>
      </c>
      <c r="GV10" s="17">
        <f>GU10*VLOOKUP('Données projet'!$B$18,Paramètres!$A$1:$I$89,3,0)*VLOOKUP('Données projet'!$B$18,Paramètres!$A$1:$I$89,5,0)</f>
        <v>5.5801163248345196</v>
      </c>
      <c r="GW10" s="13">
        <f t="shared" si="51"/>
        <v>2.1051645241317321</v>
      </c>
      <c r="GX10" s="20">
        <f t="shared" si="28"/>
        <v>13.38519747861622</v>
      </c>
      <c r="GY10" s="59">
        <f t="shared" si="29"/>
        <v>278.60741970083848</v>
      </c>
      <c r="GZ10" s="59">
        <f ca="1">AVERAGE(OFFSET($GY$3,0,0,'Données projet'!$E$18+1,1))-AVERAGE(OFFSET($H$3,0,0,'Données projet'!$E$18+1,1))</f>
        <v>255.54398581450459</v>
      </c>
      <c r="HA10" s="59">
        <f t="shared" si="52"/>
        <v>276.52622328061204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7.1333333333333337</v>
      </c>
      <c r="N11" s="13">
        <f>IF('Données projet'!$A$36&gt;35,N10+M11-V10,IF(A11&lt;'Données projet'!$A$36,$K$205^A11,IF(A11='Données projet'!$A$36,'Données projet'!$B$36,N10+M11-V10)))</f>
        <v>12.087542519068045</v>
      </c>
      <c r="O11" s="13">
        <f>N11*VLOOKUP('Données projet'!$B$9,Paramètres!$A$1:$I$89,3,0)*VLOOKUP('Données projet'!$B$9,Paramètres!$A$1:$I$89,5,0)</f>
        <v>10.559677144657845</v>
      </c>
      <c r="P11" s="13">
        <f t="shared" si="33"/>
        <v>3.6987056480557761</v>
      </c>
      <c r="Q11" s="20">
        <f t="shared" si="2"/>
        <v>24.83335003064289</v>
      </c>
      <c r="R11" s="59">
        <f t="shared" si="0"/>
        <v>291.27779447508738</v>
      </c>
      <c r="S11" s="59">
        <f ca="1">AVERAGE(OFFSET($R$3,0,0,'Données projet'!$E$9+1,1))-AVERAGE(OFFSET($H$3,0,0,'Données projet'!$E$9+1,1))</f>
        <v>248.50221719467663</v>
      </c>
      <c r="T11" s="59">
        <f t="shared" si="34"/>
        <v>366.09064580347183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5.0336351769196082</v>
      </c>
      <c r="AK11" s="13">
        <f t="shared" si="35"/>
        <v>1.9219176128866391</v>
      </c>
      <c r="AL11" s="20">
        <f t="shared" si="4"/>
        <v>12.11425444224588</v>
      </c>
      <c r="AM11" s="59">
        <f t="shared" si="5"/>
        <v>278.55869888669031</v>
      </c>
      <c r="AN11" s="59">
        <f ca="1">AVERAGE(OFFSET($AM$3,0,0,'Données projet'!$E$10+1,1))-AVERAGE(OFFSET($H$3,0,0,'Données projet'!$E$10+1,1))</f>
        <v>263.22346936777603</v>
      </c>
      <c r="AO11" s="59">
        <f t="shared" si="36"/>
        <v>217.14714468707939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2.6666666666666665</v>
      </c>
      <c r="BD11" s="12">
        <f>IF('Données projet'!$A$88&gt;35,BD10+BC11-BL10,IF(A11&lt;'Données projet'!$A$88,$BA$205^A11,IF(A11='Données projet'!$A$88,'Données projet'!$B$88,BD10+BC11-BL10)))</f>
        <v>7.1520739352994367</v>
      </c>
      <c r="BE11" s="13">
        <f>BD11*VLOOKUP('Données projet'!$B$11,Paramètres!$A$1:$I$89,3,0)*VLOOKUP('Données projet'!$B$11,Paramètres!$A$1:$I$89,5,0)</f>
        <v>5.5786176695335605</v>
      </c>
      <c r="BF11" s="13">
        <f t="shared" si="37"/>
        <v>2.1046649418345189</v>
      </c>
      <c r="BG11" s="20">
        <f t="shared" si="7"/>
        <v>13.381717214799407</v>
      </c>
      <c r="BH11" s="59">
        <f t="shared" si="8"/>
        <v>279.82616165924384</v>
      </c>
      <c r="BI11" s="59">
        <f ca="1">AVERAGE(OFFSET($BH$3,0,0,'Données projet'!$E$11+1,1))-AVERAGE(OFFSET($H$3,0,0,'Données projet'!$E$11+1,1))</f>
        <v>219.22204054948094</v>
      </c>
      <c r="BJ11" s="59">
        <f t="shared" si="38"/>
        <v>222.41711966122034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1.6</v>
      </c>
      <c r="BY11" s="12">
        <f>IF('Données projet'!$A$114&gt;35,BY10+BX11-CG10,IF(A11&lt;'Données projet'!$A$114,$BV$205^A11,IF(A11='Données projet'!$A$114,'Données projet'!$B$114,BY10+BX11-CG10)))</f>
        <v>2.8075726083494135</v>
      </c>
      <c r="BZ11" s="13">
        <f>BY11*VLOOKUP('Données projet'!$B$12,Paramètres!$A$1:$I$89,3,0)*VLOOKUP('Données projet'!$B$12,Paramètres!$A$1:$I$89,5,0)</f>
        <v>2.4088972979637968</v>
      </c>
      <c r="CA11" s="13">
        <f t="shared" si="39"/>
        <v>1.0021360861842026</v>
      </c>
      <c r="CB11" s="20">
        <f t="shared" si="10"/>
        <v>5.9408831440577652</v>
      </c>
      <c r="CC11" s="59">
        <f t="shared" si="11"/>
        <v>272.38532758850221</v>
      </c>
      <c r="CD11" s="59">
        <f ca="1">AVERAGE(OFFSET($CC$3,0,0,'Données projet'!$E$12+1,1))-AVERAGE(OFFSET($H$3,0,0,'Données projet'!$E$12+1,1))</f>
        <v>237.27357081252273</v>
      </c>
      <c r="CE11" s="59">
        <f t="shared" si="40"/>
        <v>68.768479693848576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12.6</v>
      </c>
      <c r="CT11" s="12">
        <f>IF('Données projet'!$A$140&gt;35,CT10+CS11-DB10,IF(A11&lt;'Données projet'!$A$140,$CQ$205^A11,IF(A11='Données projet'!$A$140,'Données projet'!$B$140,CT10+CS11-DB10)))</f>
        <v>16.372423211873727</v>
      </c>
      <c r="CU11" s="17">
        <f>CT11*VLOOKUP('Données projet'!$B$13,Paramètres!$A$1:$I$89,3,0)*VLOOKUP('Données projet'!$B$13,Paramètres!$A$1:$I$89,5,0)</f>
        <v>9.1521845754374134</v>
      </c>
      <c r="CV11" s="13">
        <f t="shared" si="41"/>
        <v>3.2595327709354898</v>
      </c>
      <c r="CW11" s="20">
        <f t="shared" si="13"/>
        <v>21.617074378266139</v>
      </c>
      <c r="CX11" s="59">
        <f t="shared" si="14"/>
        <v>288.06151882271058</v>
      </c>
      <c r="CY11" s="59">
        <f ca="1">AVERAGE(OFFSET($CX$3,0,0,'Données projet'!$E$13+1,1))-AVERAGE(OFFSET($H$3,0,0,'Données projet'!$E$13+1,1))</f>
        <v>474.03051418249999</v>
      </c>
      <c r="CZ11" s="59">
        <f t="shared" si="42"/>
        <v>649.52271992719091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9.6666666666666661</v>
      </c>
      <c r="DO11" s="12">
        <f>IF('Données projet'!$A$166&gt;35,DO10+DN11-DW10,IF(A11&lt;'Données projet'!$A$166,$DL$205^A11,IF(A11='Données projet'!$A$166,'Données projet'!$B$166,DO10+DN11-DW10)))</f>
        <v>23.785118866310182</v>
      </c>
      <c r="DP11" s="17">
        <f>DO11*VLOOKUP('Données projet'!$B$14,Paramètres!$A$1:$I$89,3,0)*VLOOKUP('Données projet'!$B$14,Paramètres!$A$1:$I$89,5,0)</f>
        <v>12.98667490100536</v>
      </c>
      <c r="DQ11" s="13">
        <f t="shared" si="43"/>
        <v>4.4405715295601897</v>
      </c>
      <c r="DR11" s="20">
        <f t="shared" si="16"/>
        <v>30.352454199901668</v>
      </c>
      <c r="DS11" s="59">
        <f t="shared" si="17"/>
        <v>296.79689864434613</v>
      </c>
      <c r="DT11" s="59">
        <f ca="1">AVERAGE(OFFSET($DS$3,0,0,'Données projet'!$E$14+1,1))-AVERAGE(OFFSET($H$3,0,0,'Données projet'!$E$14+1,1))</f>
        <v>164.0740581424559</v>
      </c>
      <c r="DU11" s="59">
        <f t="shared" si="44"/>
        <v>280.99861170359793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3.7333333333333334</v>
      </c>
      <c r="EJ11" s="12">
        <f>IF('Données projet'!$A$192&gt;35,EJ10+EI11-ER10,IF(A11&lt;'Données projet'!$A$192,$EG$205^A11,IF(A11='Données projet'!$A$192,'Données projet'!$B$192,EJ10+EI11-ER10)))</f>
        <v>8.5578948832803157</v>
      </c>
      <c r="EK11" s="17">
        <f>EJ11*VLOOKUP('Données projet'!$B$15,Paramètres!$A$1:$I$89,3,0)*VLOOKUP('Données projet'!$B$15,Paramètres!$A$1:$I$89,5,0)</f>
        <v>4.1163474388578321</v>
      </c>
      <c r="EL11" s="13">
        <f t="shared" si="45"/>
        <v>1.6089216266250148</v>
      </c>
      <c r="EM11" s="20">
        <f t="shared" si="19"/>
        <v>9.9715102890492897</v>
      </c>
      <c r="EN11" s="59">
        <f t="shared" si="20"/>
        <v>276.41595473349372</v>
      </c>
      <c r="EO11" s="59">
        <f ca="1">AVERAGE(OFFSET($EN$3,0,0,'Données projet'!$E$15+1,1))-AVERAGE(OFFSET($H$3,0,0,'Données projet'!$E$15+1,1))</f>
        <v>312.1172301514103</v>
      </c>
      <c r="EP11" s="59">
        <f t="shared" si="46"/>
        <v>369.85500533493212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7.9</v>
      </c>
      <c r="FE11" s="12">
        <f>IF('Données projet'!$A$218&gt;35,FE10+FD11-FM10,IF(A11&lt;'Données projet'!$A$218,$FB$205^A11,IF(A11='Données projet'!$A$218,'Données projet'!$B$218,FE10+FD11-FM10)))</f>
        <v>7.5763989424129567</v>
      </c>
      <c r="FF11" s="17">
        <f>FE11*VLOOKUP('Données projet'!$B$16,Paramètres!$A$1:$I$89,3,0)*VLOOKUP('Données projet'!$B$16,Paramètres!$A$1:$I$89,5,0)</f>
        <v>3.5457547050492639</v>
      </c>
      <c r="FG11" s="13">
        <f t="shared" si="47"/>
        <v>1.4101803587787649</v>
      </c>
      <c r="FH11" s="20">
        <f t="shared" si="22"/>
        <v>8.631586902833817</v>
      </c>
      <c r="FI11" s="59">
        <f t="shared" si="23"/>
        <v>275.07603134727827</v>
      </c>
      <c r="FJ11" s="59">
        <f ca="1">AVERAGE(OFFSET($FI$3,0,0,'Données projet'!$E$16+1,1))-AVERAGE(OFFSET($H$3,0,0,'Données projet'!$E$16+1,1))</f>
        <v>87.187251664304199</v>
      </c>
      <c r="FK11" s="59">
        <f t="shared" si="48"/>
        <v>148.84938257884147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6.9411764705882355</v>
      </c>
      <c r="FZ11" s="12">
        <f>IF('Données projet'!$A$244&gt;35,FZ10+FY11-GH10,IF(A11&lt;'Données projet'!$A$244,$FW$205^A11,IF(A11='Données projet'!$A$244,'Données projet'!$B$244,FZ10+FY11-GH10)))</f>
        <v>9.4406804447568593</v>
      </c>
      <c r="GA11" s="17">
        <f>FZ11*VLOOKUP('Données projet'!$B$17,Paramètres!$A$1:$I$89,3,0)*VLOOKUP('Données projet'!$B$17,Paramètres!$A$1:$I$89,5,0)</f>
        <v>5.6455269059646023</v>
      </c>
      <c r="GB11" s="13">
        <f t="shared" si="49"/>
        <v>2.1269542317454508</v>
      </c>
      <c r="GC11" s="20">
        <f t="shared" si="25"/>
        <v>13.53707131484501</v>
      </c>
      <c r="GD11" s="59">
        <f t="shared" si="26"/>
        <v>279.98151575928949</v>
      </c>
      <c r="GE11" s="59">
        <f ca="1">AVERAGE(OFFSET($GD$3,0,0,'Données projet'!$E$17+1,1))-AVERAGE(OFFSET($H$3,0,0,'Données projet'!$E$17+1,1))</f>
        <v>282.94722676586207</v>
      </c>
      <c r="GF11" s="59">
        <f t="shared" si="50"/>
        <v>310.63647941571298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3.8333333333333335</v>
      </c>
      <c r="GU11" s="12">
        <f>IF('Données projet'!$A$270&gt;35,GU10+GT11-HC10,IF(A11&lt;'Données projet'!$A$270,$GR$205^A11,IF(A11='Données projet'!$A$270,'Données projet'!$B$270,GU10+GT11-HC10)))</f>
        <v>12.838232045991907</v>
      </c>
      <c r="GV11" s="17">
        <f>GU11*VLOOKUP('Données projet'!$B$18,Paramètres!$A$1:$I$89,3,0)*VLOOKUP('Données projet'!$B$18,Paramètres!$A$1:$I$89,5,0)</f>
        <v>7.6772627635031609</v>
      </c>
      <c r="GW11" s="13">
        <f t="shared" si="51"/>
        <v>2.7907468577883434</v>
      </c>
      <c r="GX11" s="20">
        <f t="shared" si="28"/>
        <v>18.23178342374937</v>
      </c>
      <c r="GY11" s="59">
        <f t="shared" si="29"/>
        <v>284.67622786819385</v>
      </c>
      <c r="GZ11" s="59">
        <f ca="1">AVERAGE(OFFSET($GY$3,0,0,'Données projet'!$E$18+1,1))-AVERAGE(OFFSET($H$3,0,0,'Données projet'!$E$18+1,1))</f>
        <v>255.54398581450459</v>
      </c>
      <c r="HA11" s="59">
        <f t="shared" si="52"/>
        <v>276.52622328061204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7.1333333333333337</v>
      </c>
      <c r="N12" s="13">
        <f>IF('Données projet'!$A$36&gt;35,N11+M12-V11,IF(A12&lt;'Données projet'!$A$36,$K$205^A12,IF(A12='Données projet'!$A$36,'Données projet'!$B$36,N11+M12-V11)))</f>
        <v>16.505560112818404</v>
      </c>
      <c r="O12" s="13">
        <f>N12*VLOOKUP('Données projet'!$B$9,Paramètres!$A$1:$I$89,3,0)*VLOOKUP('Données projet'!$B$9,Paramètres!$A$1:$I$89,5,0)</f>
        <v>14.419257314558161</v>
      </c>
      <c r="P12" s="13">
        <f t="shared" si="33"/>
        <v>4.870729420129039</v>
      </c>
      <c r="Q12" s="20">
        <f t="shared" si="2"/>
        <v>33.596726896246878</v>
      </c>
      <c r="R12" s="59">
        <f t="shared" si="0"/>
        <v>301.26339356291356</v>
      </c>
      <c r="S12" s="59">
        <f ca="1">AVERAGE(OFFSET($R$3,0,0,'Données projet'!$E$9+1,1))-AVERAGE(OFFSET($H$3,0,0,'Données projet'!$E$9+1,1))</f>
        <v>248.50221719467663</v>
      </c>
      <c r="T12" s="59">
        <f t="shared" si="34"/>
        <v>366.09064580347183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6.2380360317336141</v>
      </c>
      <c r="AK12" s="13">
        <f t="shared" si="35"/>
        <v>2.3230383034439352</v>
      </c>
      <c r="AL12" s="20">
        <f t="shared" si="4"/>
        <v>14.910537800434229</v>
      </c>
      <c r="AM12" s="59">
        <f t="shared" si="5"/>
        <v>282.5772044671009</v>
      </c>
      <c r="AN12" s="59">
        <f ca="1">AVERAGE(OFFSET($AM$3,0,0,'Données projet'!$E$10+1,1))-AVERAGE(OFFSET($H$3,0,0,'Données projet'!$E$10+1,1))</f>
        <v>263.22346936777603</v>
      </c>
      <c r="AO12" s="59">
        <f t="shared" si="36"/>
        <v>217.14714468707939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2.6666666666666665</v>
      </c>
      <c r="BD12" s="12">
        <f>IF('Données projet'!$A$88&gt;35,BD11+BC12-BL11,IF(A12&lt;'Données projet'!$A$88,$BA$205^A12,IF(A12='Données projet'!$A$88,'Données projet'!$B$88,BD11+BC12-BL11)))</f>
        <v>9.1461010385465205</v>
      </c>
      <c r="BE12" s="13">
        <f>BD12*VLOOKUP('Données projet'!$B$11,Paramètres!$A$1:$I$89,3,0)*VLOOKUP('Données projet'!$B$11,Paramètres!$A$1:$I$89,5,0)</f>
        <v>7.1339588100662858</v>
      </c>
      <c r="BF12" s="13">
        <f t="shared" si="37"/>
        <v>2.6155015444227643</v>
      </c>
      <c r="BG12" s="20">
        <f t="shared" si="7"/>
        <v>16.980310117401761</v>
      </c>
      <c r="BH12" s="59">
        <f t="shared" si="8"/>
        <v>284.64697678406844</v>
      </c>
      <c r="BI12" s="59">
        <f ca="1">AVERAGE(OFFSET($BH$3,0,0,'Données projet'!$E$11+1,1))-AVERAGE(OFFSET($H$3,0,0,'Données projet'!$E$11+1,1))</f>
        <v>219.22204054948094</v>
      </c>
      <c r="BJ12" s="59">
        <f t="shared" si="38"/>
        <v>222.41711966122034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1.6</v>
      </c>
      <c r="BY12" s="12">
        <f>IF('Données projet'!$A$114&gt;35,BY11+BX12-CG11,IF(A12&lt;'Données projet'!$A$114,$BV$205^A12,IF(A12='Données projet'!$A$114,'Données projet'!$B$114,BY11+BX12-CG11)))</f>
        <v>3.1942755054951544</v>
      </c>
      <c r="BZ12" s="13">
        <f>BY12*VLOOKUP('Données projet'!$B$12,Paramètres!$A$1:$I$89,3,0)*VLOOKUP('Données projet'!$B$12,Paramètres!$A$1:$I$89,5,0)</f>
        <v>2.740688383714843</v>
      </c>
      <c r="CA12" s="13">
        <f t="shared" si="39"/>
        <v>1.1231683570723934</v>
      </c>
      <c r="CB12" s="20">
        <f t="shared" si="10"/>
        <v>6.7295504902044359</v>
      </c>
      <c r="CC12" s="59">
        <f t="shared" si="11"/>
        <v>274.3962171568711</v>
      </c>
      <c r="CD12" s="59">
        <f ca="1">AVERAGE(OFFSET($CC$3,0,0,'Données projet'!$E$12+1,1))-AVERAGE(OFFSET($H$3,0,0,'Données projet'!$E$12+1,1))</f>
        <v>237.27357081252273</v>
      </c>
      <c r="CE12" s="59">
        <f t="shared" si="40"/>
        <v>68.768479693848576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12.6</v>
      </c>
      <c r="CT12" s="12">
        <f>IF('Données projet'!$A$140&gt;35,CT11+CS12-DB11,IF(A12&lt;'Données projet'!$A$140,$CQ$205^A12,IF(A12='Données projet'!$A$140,'Données projet'!$B$140,CT11+CS12-DB11)))</f>
        <v>23.220794898433166</v>
      </c>
      <c r="CU12" s="17">
        <f>CT12*VLOOKUP('Données projet'!$B$13,Paramètres!$A$1:$I$89,3,0)*VLOOKUP('Données projet'!$B$13,Paramètres!$A$1:$I$89,5,0)</f>
        <v>12.98042434822414</v>
      </c>
      <c r="CV12" s="13">
        <f t="shared" si="41"/>
        <v>4.4386829851465368</v>
      </c>
      <c r="CW12" s="20">
        <f t="shared" si="13"/>
        <v>30.338278605620587</v>
      </c>
      <c r="CX12" s="59">
        <f t="shared" si="14"/>
        <v>298.00494527228727</v>
      </c>
      <c r="CY12" s="59">
        <f ca="1">AVERAGE(OFFSET($CX$3,0,0,'Données projet'!$E$13+1,1))-AVERAGE(OFFSET($H$3,0,0,'Données projet'!$E$13+1,1))</f>
        <v>474.03051418249999</v>
      </c>
      <c r="CZ12" s="59">
        <f t="shared" si="42"/>
        <v>649.52271992719091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9.6666666666666661</v>
      </c>
      <c r="DO12" s="12">
        <f>IF('Données projet'!$A$166&gt;35,DO11+DN12-DW11,IF(A12&lt;'Données projet'!$A$166,$DL$205^A12,IF(A12='Données projet'!$A$166,'Données projet'!$B$166,DO11+DN12-DW11)))</f>
        <v>35.346261970047209</v>
      </c>
      <c r="DP12" s="17">
        <f>DO12*VLOOKUP('Données projet'!$B$14,Paramètres!$A$1:$I$89,3,0)*VLOOKUP('Données projet'!$B$14,Paramètres!$A$1:$I$89,5,0)</f>
        <v>19.299059035645776</v>
      </c>
      <c r="DQ12" s="13">
        <f t="shared" si="43"/>
        <v>6.301613943558138</v>
      </c>
      <c r="DR12" s="20">
        <f t="shared" si="16"/>
        <v>44.587838772113486</v>
      </c>
      <c r="DS12" s="59">
        <f t="shared" si="17"/>
        <v>312.25450543878014</v>
      </c>
      <c r="DT12" s="59">
        <f ca="1">AVERAGE(OFFSET($DS$3,0,0,'Données projet'!$E$14+1,1))-AVERAGE(OFFSET($H$3,0,0,'Données projet'!$E$14+1,1))</f>
        <v>164.0740581424559</v>
      </c>
      <c r="DU12" s="59">
        <f t="shared" si="44"/>
        <v>280.99861170359793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3.7333333333333334</v>
      </c>
      <c r="EJ12" s="12">
        <f>IF('Données projet'!$A$192&gt;35,EJ11+EI12-ER11,IF(A12&lt;'Données projet'!$A$192,$EG$205^A12,IF(A12='Données projet'!$A$192,'Données projet'!$B$192,EJ11+EI12-ER11)))</f>
        <v>11.192131809832121</v>
      </c>
      <c r="EK12" s="17">
        <f>EJ12*VLOOKUP('Données projet'!$B$15,Paramètres!$A$1:$I$89,3,0)*VLOOKUP('Données projet'!$B$15,Paramètres!$A$1:$I$89,5,0)</f>
        <v>5.3834154005292509</v>
      </c>
      <c r="EL12" s="13">
        <f t="shared" si="45"/>
        <v>2.0394582476640779</v>
      </c>
      <c r="EM12" s="20">
        <f t="shared" si="19"/>
        <v>12.928171603936716</v>
      </c>
      <c r="EN12" s="59">
        <f t="shared" si="20"/>
        <v>280.59483827060342</v>
      </c>
      <c r="EO12" s="59">
        <f ca="1">AVERAGE(OFFSET($EN$3,0,0,'Données projet'!$E$15+1,1))-AVERAGE(OFFSET($H$3,0,0,'Données projet'!$E$15+1,1))</f>
        <v>312.1172301514103</v>
      </c>
      <c r="EP12" s="59">
        <f t="shared" si="46"/>
        <v>369.85500533493212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7.9</v>
      </c>
      <c r="FE12" s="12">
        <f>IF('Données projet'!$A$218&gt;35,FE11+FD12-FM11,IF(A12&lt;'Données projet'!$A$218,$FB$205^A12,IF(A12='Données projet'!$A$218,'Données projet'!$B$218,FE11+FD12-FM11)))</f>
        <v>9.7587836327093171</v>
      </c>
      <c r="FF12" s="17">
        <f>FE12*VLOOKUP('Données projet'!$B$16,Paramètres!$A$1:$I$89,3,0)*VLOOKUP('Données projet'!$B$16,Paramètres!$A$1:$I$89,5,0)</f>
        <v>4.5671107401079603</v>
      </c>
      <c r="FG12" s="13">
        <f t="shared" si="47"/>
        <v>1.763645650133036</v>
      </c>
      <c r="FH12" s="20">
        <f t="shared" si="22"/>
        <v>11.026067379669733</v>
      </c>
      <c r="FI12" s="59">
        <f t="shared" si="23"/>
        <v>278.6927340463364</v>
      </c>
      <c r="FJ12" s="59">
        <f ca="1">AVERAGE(OFFSET($FI$3,0,0,'Données projet'!$E$16+1,1))-AVERAGE(OFFSET($H$3,0,0,'Données projet'!$E$16+1,1))</f>
        <v>87.187251664304199</v>
      </c>
      <c r="FK12" s="59">
        <f t="shared" si="48"/>
        <v>148.84938257884147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6.9411764705882355</v>
      </c>
      <c r="FZ12" s="12">
        <f>IF('Données projet'!$A$244&gt;35,FZ11+FY12-GH11,IF(A12&lt;'Données projet'!$A$244,$FW$205^A12,IF(A12='Données projet'!$A$244,'Données projet'!$B$244,FZ11+FY12-GH11)))</f>
        <v>12.499099052286473</v>
      </c>
      <c r="GA12" s="17">
        <f>FZ12*VLOOKUP('Données projet'!$B$17,Paramètres!$A$1:$I$89,3,0)*VLOOKUP('Données projet'!$B$17,Paramètres!$A$1:$I$89,5,0)</f>
        <v>7.474461233267311</v>
      </c>
      <c r="GB12" s="13">
        <f t="shared" si="49"/>
        <v>2.7255067314033421</v>
      </c>
      <c r="GC12" s="20">
        <f t="shared" si="25"/>
        <v>17.764944205134721</v>
      </c>
      <c r="GD12" s="59">
        <f t="shared" si="26"/>
        <v>285.43161087180141</v>
      </c>
      <c r="GE12" s="59">
        <f ca="1">AVERAGE(OFFSET($GD$3,0,0,'Données projet'!$E$17+1,1))-AVERAGE(OFFSET($H$3,0,0,'Données projet'!$E$17+1,1))</f>
        <v>282.94722676586207</v>
      </c>
      <c r="GF12" s="59">
        <f t="shared" si="50"/>
        <v>310.63647941571298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3.8333333333333335</v>
      </c>
      <c r="GU12" s="12">
        <f>IF('Données projet'!$A$270&gt;35,GU11+GT12-HC11,IF(A12&lt;'Données projet'!$A$270,$GR$205^A12,IF(A12='Données projet'!$A$270,'Données projet'!$B$270,GU11+GT12-HC11)))</f>
        <v>17.663158812165008</v>
      </c>
      <c r="GV12" s="17">
        <f>GU12*VLOOKUP('Données projet'!$B$18,Paramètres!$A$1:$I$89,3,0)*VLOOKUP('Données projet'!$B$18,Paramètres!$A$1:$I$89,5,0)</f>
        <v>10.562568969674675</v>
      </c>
      <c r="GW12" s="13">
        <f t="shared" si="51"/>
        <v>3.6996006416494942</v>
      </c>
      <c r="GX12" s="20">
        <f t="shared" si="28"/>
        <v>24.839945406389592</v>
      </c>
      <c r="GY12" s="59">
        <f t="shared" si="29"/>
        <v>292.50661207305626</v>
      </c>
      <c r="GZ12" s="59">
        <f ca="1">AVERAGE(OFFSET($GY$3,0,0,'Données projet'!$E$18+1,1))-AVERAGE(OFFSET($H$3,0,0,'Données projet'!$E$18+1,1))</f>
        <v>255.54398581450459</v>
      </c>
      <c r="HA12" s="59">
        <f t="shared" si="52"/>
        <v>276.52622328061204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7.1333333333333337</v>
      </c>
      <c r="N13" s="13">
        <f>IF('Données projet'!$A$36&gt;35,N12+M13-V12,IF(A13&lt;'Données projet'!$A$36,$K$205^A13,IF(A13='Données projet'!$A$36,'Données projet'!$B$36,N12+M13-V12)))</f>
        <v>22.538370740628146</v>
      </c>
      <c r="O13" s="13">
        <f>N13*VLOOKUP('Données projet'!$B$9,Paramètres!$A$1:$I$89,3,0)*VLOOKUP('Données projet'!$B$9,Paramètres!$A$1:$I$89,5,0)</f>
        <v>19.689520679012752</v>
      </c>
      <c r="P13" s="13">
        <f t="shared" si="33"/>
        <v>6.414137090520053</v>
      </c>
      <c r="Q13" s="20">
        <f t="shared" si="2"/>
        <v>45.463870615269634</v>
      </c>
      <c r="R13" s="59">
        <f t="shared" si="0"/>
        <v>314.35275950415848</v>
      </c>
      <c r="S13" s="59">
        <f ca="1">AVERAGE(OFFSET($R$3,0,0,'Données projet'!$E$9+1,1))-AVERAGE(OFFSET($H$3,0,0,'Données projet'!$E$9+1,1))</f>
        <v>248.50221719467663</v>
      </c>
      <c r="T13" s="59">
        <f t="shared" si="34"/>
        <v>366.09064580347183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7.7306145887633031</v>
      </c>
      <c r="AK13" s="13">
        <f t="shared" si="35"/>
        <v>2.8078763226288115</v>
      </c>
      <c r="AL13" s="20">
        <f t="shared" si="4"/>
        <v>18.354538337341264</v>
      </c>
      <c r="AM13" s="59">
        <f t="shared" si="5"/>
        <v>287.2434272262301</v>
      </c>
      <c r="AN13" s="59">
        <f ca="1">AVERAGE(OFFSET($AM$3,0,0,'Données projet'!$E$10+1,1))-AVERAGE(OFFSET($H$3,0,0,'Données projet'!$E$10+1,1))</f>
        <v>263.22346936777603</v>
      </c>
      <c r="AO13" s="59">
        <f t="shared" si="36"/>
        <v>217.14714468707939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2.6666666666666665</v>
      </c>
      <c r="BD13" s="12">
        <f>IF('Données projet'!$A$88&gt;35,BD12+BC13-BL12,IF(A13&lt;'Données projet'!$A$88,$BA$205^A13,IF(A13='Données projet'!$A$88,'Données projet'!$B$88,BD12+BC13-BL12)))</f>
        <v>11.696070952851455</v>
      </c>
      <c r="BE13" s="13">
        <f>BD13*VLOOKUP('Données projet'!$B$11,Paramètres!$A$1:$I$89,3,0)*VLOOKUP('Données projet'!$B$11,Paramètres!$A$1:$I$89,5,0)</f>
        <v>9.1229353432241354</v>
      </c>
      <c r="BF13" s="13">
        <f t="shared" si="37"/>
        <v>3.2503265450485803</v>
      </c>
      <c r="BG13" s="20">
        <f t="shared" si="7"/>
        <v>21.550097788741649</v>
      </c>
      <c r="BH13" s="59">
        <f t="shared" si="8"/>
        <v>290.43898667763051</v>
      </c>
      <c r="BI13" s="59">
        <f ca="1">AVERAGE(OFFSET($BH$3,0,0,'Données projet'!$E$11+1,1))-AVERAGE(OFFSET($H$3,0,0,'Données projet'!$E$11+1,1))</f>
        <v>219.22204054948094</v>
      </c>
      <c r="BJ13" s="59">
        <f t="shared" si="38"/>
        <v>222.41711966122034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1.6</v>
      </c>
      <c r="BY13" s="12">
        <f>IF('Données projet'!$A$114&gt;35,BY12+BX13-CG12,IF(A13&lt;'Données projet'!$A$114,$BV$205^A13,IF(A13='Données projet'!$A$114,'Données projet'!$B$114,BY12+BX13-CG12)))</f>
        <v>3.6342411856642789</v>
      </c>
      <c r="BZ13" s="13">
        <f>BY13*VLOOKUP('Données projet'!$B$12,Paramètres!$A$1:$I$89,3,0)*VLOOKUP('Données projet'!$B$12,Paramètres!$A$1:$I$89,5,0)</f>
        <v>3.1181789372999518</v>
      </c>
      <c r="CA13" s="13">
        <f t="shared" si="39"/>
        <v>1.2588182141330666</v>
      </c>
      <c r="CB13" s="20">
        <f t="shared" si="10"/>
        <v>7.6232700387458392</v>
      </c>
      <c r="CC13" s="59">
        <f t="shared" si="11"/>
        <v>276.51215892763469</v>
      </c>
      <c r="CD13" s="59">
        <f ca="1">AVERAGE(OFFSET($CC$3,0,0,'Données projet'!$E$12+1,1))-AVERAGE(OFFSET($H$3,0,0,'Données projet'!$E$12+1,1))</f>
        <v>237.27357081252273</v>
      </c>
      <c r="CE13" s="59">
        <f t="shared" si="40"/>
        <v>68.768479693848576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12.6</v>
      </c>
      <c r="CT13" s="12">
        <f>IF('Données projet'!$A$140&gt;35,CT12+CS13-DB12,IF(A13&lt;'Données projet'!$A$140,$CQ$205^A13,IF(A13='Données projet'!$A$140,'Données projet'!$B$140,CT12+CS13-DB12)))</f>
        <v>32.933751390206758</v>
      </c>
      <c r="CU13" s="17">
        <f>CT13*VLOOKUP('Données projet'!$B$13,Paramètres!$A$1:$I$89,3,0)*VLOOKUP('Données projet'!$B$13,Paramètres!$A$1:$I$89,5,0)</f>
        <v>18.409967027125578</v>
      </c>
      <c r="CV13" s="13">
        <f t="shared" si="41"/>
        <v>6.0443959386777069</v>
      </c>
      <c r="CW13" s="20">
        <f t="shared" si="13"/>
        <v>42.591348832107379</v>
      </c>
      <c r="CX13" s="59">
        <f t="shared" si="14"/>
        <v>311.48023772099623</v>
      </c>
      <c r="CY13" s="59">
        <f ca="1">AVERAGE(OFFSET($CX$3,0,0,'Données projet'!$E$13+1,1))-AVERAGE(OFFSET($H$3,0,0,'Données projet'!$E$13+1,1))</f>
        <v>474.03051418249999</v>
      </c>
      <c r="CZ13" s="59">
        <f t="shared" si="42"/>
        <v>649.52271992719091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9.6666666666666661</v>
      </c>
      <c r="DO13" s="12">
        <f>IF('Données projet'!$A$166&gt;35,DO12+DN13-DW12,IF(A13&lt;'Données projet'!$A$166,$DL$205^A13,IF(A13='Données projet'!$A$166,'Données projet'!$B$166,DO12+DN13-DW12)))</f>
        <v>52.526886339207103</v>
      </c>
      <c r="DP13" s="17">
        <f>DO13*VLOOKUP('Données projet'!$B$14,Paramètres!$A$1:$I$89,3,0)*VLOOKUP('Données projet'!$B$14,Paramètres!$A$1:$I$89,5,0)</f>
        <v>28.679679941207077</v>
      </c>
      <c r="DQ13" s="13">
        <f t="shared" si="43"/>
        <v>8.9426187663684367</v>
      </c>
      <c r="DR13" s="20">
        <f t="shared" si="16"/>
        <v>65.525503582360685</v>
      </c>
      <c r="DS13" s="59">
        <f t="shared" si="17"/>
        <v>334.41439247124953</v>
      </c>
      <c r="DT13" s="59">
        <f ca="1">AVERAGE(OFFSET($DS$3,0,0,'Données projet'!$E$14+1,1))-AVERAGE(OFFSET($H$3,0,0,'Données projet'!$E$14+1,1))</f>
        <v>164.0740581424559</v>
      </c>
      <c r="DU13" s="59">
        <f t="shared" si="44"/>
        <v>280.99861170359793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3.7333333333333334</v>
      </c>
      <c r="EJ13" s="12">
        <f>IF('Données projet'!$A$192&gt;35,EJ12+EI13-ER12,IF(A13&lt;'Données projet'!$A$192,$EG$205^A13,IF(A13='Données projet'!$A$192,'Données projet'!$B$192,EJ12+EI13-ER12)))</f>
        <v>14.637222840091875</v>
      </c>
      <c r="EK13" s="17">
        <f>EJ13*VLOOKUP('Données projet'!$B$15,Paramètres!$A$1:$I$89,3,0)*VLOOKUP('Données projet'!$B$15,Paramètres!$A$1:$I$89,5,0)</f>
        <v>7.0405041860841919</v>
      </c>
      <c r="EL13" s="13">
        <f t="shared" si="45"/>
        <v>2.5852035768144002</v>
      </c>
      <c r="EM13" s="20">
        <f t="shared" si="19"/>
        <v>16.764774353715051</v>
      </c>
      <c r="EN13" s="59">
        <f t="shared" si="20"/>
        <v>285.6536632426039</v>
      </c>
      <c r="EO13" s="59">
        <f ca="1">AVERAGE(OFFSET($EN$3,0,0,'Données projet'!$E$15+1,1))-AVERAGE(OFFSET($H$3,0,0,'Données projet'!$E$15+1,1))</f>
        <v>312.1172301514103</v>
      </c>
      <c r="EP13" s="59">
        <f t="shared" si="46"/>
        <v>369.85500533493212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7.9</v>
      </c>
      <c r="FE13" s="12">
        <f>IF('Données projet'!$A$218&gt;35,FE12+FD13-FM12,IF(A13&lt;'Données projet'!$A$218,$FB$205^A13,IF(A13='Données projet'!$A$218,'Données projet'!$B$218,FE12+FD13-FM12)))</f>
        <v>12.569805089976542</v>
      </c>
      <c r="FF13" s="17">
        <f>FE13*VLOOKUP('Données projet'!$B$16,Paramètres!$A$1:$I$89,3,0)*VLOOKUP('Données projet'!$B$16,Paramètres!$A$1:$I$89,5,0)</f>
        <v>5.8826687821090227</v>
      </c>
      <c r="FG13" s="13">
        <f t="shared" si="47"/>
        <v>2.2057079152108381</v>
      </c>
      <c r="FH13" s="20">
        <f t="shared" si="22"/>
        <v>14.087256081165423</v>
      </c>
      <c r="FI13" s="59">
        <f t="shared" si="23"/>
        <v>282.97614497005429</v>
      </c>
      <c r="FJ13" s="59">
        <f ca="1">AVERAGE(OFFSET($FI$3,0,0,'Données projet'!$E$16+1,1))-AVERAGE(OFFSET($H$3,0,0,'Données projet'!$E$16+1,1))</f>
        <v>87.187251664304199</v>
      </c>
      <c r="FK13" s="59">
        <f t="shared" si="48"/>
        <v>148.84938257884147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6.9411764705882355</v>
      </c>
      <c r="FZ13" s="12">
        <f>IF('Données projet'!$A$244&gt;35,FZ12+FY13-GH12,IF(A13&lt;'Données projet'!$A$244,$FW$205^A13,IF(A13='Données projet'!$A$244,'Données projet'!$B$244,FZ12+FY13-GH12)))</f>
        <v>16.548328060996262</v>
      </c>
      <c r="GA13" s="17">
        <f>FZ13*VLOOKUP('Données projet'!$B$17,Paramètres!$A$1:$I$89,3,0)*VLOOKUP('Données projet'!$B$17,Paramètres!$A$1:$I$89,5,0)</f>
        <v>9.8959001804757651</v>
      </c>
      <c r="GB13" s="13">
        <f t="shared" si="49"/>
        <v>3.4924996655094662</v>
      </c>
      <c r="GC13" s="20">
        <f t="shared" si="25"/>
        <v>23.318129731757608</v>
      </c>
      <c r="GD13" s="59">
        <f t="shared" si="26"/>
        <v>292.20701862064647</v>
      </c>
      <c r="GE13" s="59">
        <f ca="1">AVERAGE(OFFSET($GD$3,0,0,'Données projet'!$E$17+1,1))-AVERAGE(OFFSET($H$3,0,0,'Données projet'!$E$17+1,1))</f>
        <v>282.94722676586207</v>
      </c>
      <c r="GF13" s="59">
        <f t="shared" si="50"/>
        <v>310.63647941571298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3.8333333333333335</v>
      </c>
      <c r="GU13" s="12">
        <f>IF('Données projet'!$A$270&gt;35,GU12+GT13-HC12,IF(A13&lt;'Données projet'!$A$270,$GR$205^A13,IF(A13='Données projet'!$A$270,'Données projet'!$B$270,GU12+GT13-HC12)))</f>
        <v>24.301413006564612</v>
      </c>
      <c r="GV13" s="17">
        <f>GU13*VLOOKUP('Données projet'!$B$18,Paramètres!$A$1:$I$89,3,0)*VLOOKUP('Données projet'!$B$18,Paramètres!$A$1:$I$89,5,0)</f>
        <v>14.53224497792564</v>
      </c>
      <c r="GW13" s="13">
        <f t="shared" si="51"/>
        <v>4.9044379892414502</v>
      </c>
      <c r="GX13" s="20">
        <f t="shared" si="28"/>
        <v>33.852222834482681</v>
      </c>
      <c r="GY13" s="59">
        <f t="shared" si="29"/>
        <v>302.74111172337155</v>
      </c>
      <c r="GZ13" s="59">
        <f ca="1">AVERAGE(OFFSET($GY$3,0,0,'Données projet'!$E$18+1,1))-AVERAGE(OFFSET($H$3,0,0,'Données projet'!$E$18+1,1))</f>
        <v>255.54398581450459</v>
      </c>
      <c r="HA13" s="59">
        <f t="shared" si="52"/>
        <v>276.52622328061204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7.1333333333333337</v>
      </c>
      <c r="N14" s="13">
        <f>IF('Données projet'!$A$36&gt;35,N13+M14-V13,IF(A14&lt;'Données projet'!$A$36,$K$205^A14,IF(A14='Données projet'!$A$36,'Données projet'!$B$36,N13+M14-V13)))</f>
        <v>30.776184035554262</v>
      </c>
      <c r="O14" s="13">
        <f>N14*VLOOKUP('Données projet'!$B$9,Paramètres!$A$1:$I$89,3,0)*VLOOKUP('Données projet'!$B$9,Paramètres!$A$1:$I$89,5,0)</f>
        <v>26.886074373460207</v>
      </c>
      <c r="P14" s="13">
        <f t="shared" si="33"/>
        <v>8.4466105725279856</v>
      </c>
      <c r="Q14" s="20">
        <f t="shared" si="2"/>
        <v>61.537759614262761</v>
      </c>
      <c r="R14" s="59">
        <f t="shared" si="0"/>
        <v>331.64887072537391</v>
      </c>
      <c r="S14" s="59">
        <f ca="1">AVERAGE(OFFSET($R$3,0,0,'Données projet'!$E$9+1,1))-AVERAGE(OFFSET($H$3,0,0,'Données projet'!$E$9+1,1))</f>
        <v>248.50221719467663</v>
      </c>
      <c r="T14" s="59">
        <f t="shared" si="34"/>
        <v>366.09064580347183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9.5803232966244067</v>
      </c>
      <c r="AK14" s="13">
        <f t="shared" si="35"/>
        <v>3.3939041949894282</v>
      </c>
      <c r="AL14" s="20">
        <f t="shared" si="4"/>
        <v>22.596779547894098</v>
      </c>
      <c r="AM14" s="59">
        <f t="shared" si="5"/>
        <v>292.70789065900522</v>
      </c>
      <c r="AN14" s="59">
        <f ca="1">AVERAGE(OFFSET($AM$3,0,0,'Données projet'!$E$10+1,1))-AVERAGE(OFFSET($H$3,0,0,'Données projet'!$E$10+1,1))</f>
        <v>263.22346936777603</v>
      </c>
      <c r="AO14" s="59">
        <f t="shared" si="36"/>
        <v>217.14714468707939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2.6666666666666665</v>
      </c>
      <c r="BD14" s="12">
        <f>IF('Données projet'!$A$88&gt;35,BD13+BC14-BL13,IF(A14&lt;'Données projet'!$A$88,$BA$205^A14,IF(A14='Données projet'!$A$88,'Données projet'!$B$88,BD13+BC14-BL13)))</f>
        <v>14.956982779612416</v>
      </c>
      <c r="BE14" s="13">
        <f>BD14*VLOOKUP('Données projet'!$B$11,Paramètres!$A$1:$I$89,3,0)*VLOOKUP('Données projet'!$B$11,Paramètres!$A$1:$I$89,5,0)</f>
        <v>11.666446568097685</v>
      </c>
      <c r="BF14" s="13">
        <f t="shared" si="37"/>
        <v>4.0392339557111736</v>
      </c>
      <c r="BG14" s="20">
        <f t="shared" si="7"/>
        <v>27.354060245633761</v>
      </c>
      <c r="BH14" s="59">
        <f t="shared" si="8"/>
        <v>297.46517135674492</v>
      </c>
      <c r="BI14" s="59">
        <f ca="1">AVERAGE(OFFSET($BH$3,0,0,'Données projet'!$E$11+1,1))-AVERAGE(OFFSET($H$3,0,0,'Données projet'!$E$11+1,1))</f>
        <v>219.22204054948094</v>
      </c>
      <c r="BJ14" s="59">
        <f t="shared" si="38"/>
        <v>222.41711966122034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1.6</v>
      </c>
      <c r="BY14" s="12">
        <f>IF('Données projet'!$A$114&gt;35,BY13+BX14-CG13,IF(A14&lt;'Données projet'!$A$114,$BV$205^A14,IF(A14='Données projet'!$A$114,'Données projet'!$B$114,BY13+BX14-CG13)))</f>
        <v>4.1348058340168548</v>
      </c>
      <c r="BZ14" s="13">
        <f>BY14*VLOOKUP('Données projet'!$B$12,Paramètres!$A$1:$I$89,3,0)*VLOOKUP('Données projet'!$B$12,Paramètres!$A$1:$I$89,5,0)</f>
        <v>3.5476634055864618</v>
      </c>
      <c r="CA14" s="13">
        <f t="shared" si="39"/>
        <v>1.410851085908065</v>
      </c>
      <c r="CB14" s="20">
        <f t="shared" si="10"/>
        <v>8.6360794060196344</v>
      </c>
      <c r="CC14" s="59">
        <f t="shared" si="11"/>
        <v>278.74719051713078</v>
      </c>
      <c r="CD14" s="59">
        <f ca="1">AVERAGE(OFFSET($CC$3,0,0,'Données projet'!$E$12+1,1))-AVERAGE(OFFSET($H$3,0,0,'Données projet'!$E$12+1,1))</f>
        <v>237.27357081252273</v>
      </c>
      <c r="CE14" s="59">
        <f t="shared" si="40"/>
        <v>68.768479693848576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12.6</v>
      </c>
      <c r="CT14" s="12">
        <f>IF('Données projet'!$A$140&gt;35,CT13+CS14-DB13,IF(A14&lt;'Données projet'!$A$140,$CQ$205^A14,IF(A14='Données projet'!$A$140,'Données projet'!$B$140,CT13+CS14-DB13)))</f>
        <v>46.709511253860285</v>
      </c>
      <c r="CU14" s="17">
        <f>CT14*VLOOKUP('Données projet'!$B$13,Paramètres!$A$1:$I$89,3,0)*VLOOKUP('Données projet'!$B$13,Paramètres!$A$1:$I$89,5,0)</f>
        <v>26.110616790907901</v>
      </c>
      <c r="CV14" s="13">
        <f t="shared" si="41"/>
        <v>8.2309825652704038</v>
      </c>
      <c r="CW14" s="20">
        <f t="shared" si="13"/>
        <v>59.811618878677223</v>
      </c>
      <c r="CX14" s="59">
        <f t="shared" si="14"/>
        <v>329.92272998978837</v>
      </c>
      <c r="CY14" s="59">
        <f ca="1">AVERAGE(OFFSET($CX$3,0,0,'Données projet'!$E$13+1,1))-AVERAGE(OFFSET($H$3,0,0,'Données projet'!$E$13+1,1))</f>
        <v>474.03051418249999</v>
      </c>
      <c r="CZ14" s="59">
        <f t="shared" si="42"/>
        <v>649.52271992719091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9.6666666666666661</v>
      </c>
      <c r="DO14" s="12">
        <f>IF('Données projet'!$A$166&gt;35,DO13+DN14-DW13,IF(A14&lt;'Données projet'!$A$166,$DL$205^A14,IF(A14='Données projet'!$A$166,'Données projet'!$B$166,DO13+DN14-DW13)))</f>
        <v>78.058432057965561</v>
      </c>
      <c r="DP14" s="17">
        <f>DO14*VLOOKUP('Données projet'!$B$14,Paramètres!$A$1:$I$89,3,0)*VLOOKUP('Données projet'!$B$14,Paramètres!$A$1:$I$89,5,0)</f>
        <v>42.619903903649202</v>
      </c>
      <c r="DQ14" s="13">
        <f t="shared" si="43"/>
        <v>12.690468047849112</v>
      </c>
      <c r="DR14" s="20">
        <f t="shared" si="16"/>
        <v>96.332231148859549</v>
      </c>
      <c r="DS14" s="59">
        <f t="shared" si="17"/>
        <v>366.44334225997068</v>
      </c>
      <c r="DT14" s="59">
        <f ca="1">AVERAGE(OFFSET($DS$3,0,0,'Données projet'!$E$14+1,1))-AVERAGE(OFFSET($H$3,0,0,'Données projet'!$E$14+1,1))</f>
        <v>164.0740581424559</v>
      </c>
      <c r="DU14" s="59">
        <f t="shared" si="44"/>
        <v>280.99861170359793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3.7333333333333334</v>
      </c>
      <c r="EJ14" s="12">
        <f>IF('Données projet'!$A$192&gt;35,EJ13+EI14-ER13,IF(A14&lt;'Données projet'!$A$192,$EG$205^A14,IF(A14='Données projet'!$A$192,'Données projet'!$B$192,EJ13+EI14-ER13)))</f>
        <v>19.142759941613029</v>
      </c>
      <c r="EK14" s="17">
        <f>EJ14*VLOOKUP('Données projet'!$B$15,Paramètres!$A$1:$I$89,3,0)*VLOOKUP('Données projet'!$B$15,Paramètres!$A$1:$I$89,5,0)</f>
        <v>9.2076675319158667</v>
      </c>
      <c r="EL14" s="13">
        <f t="shared" si="45"/>
        <v>3.2769866905727323</v>
      </c>
      <c r="EM14" s="20">
        <f t="shared" si="19"/>
        <v>21.744106104167642</v>
      </c>
      <c r="EN14" s="59">
        <f t="shared" si="20"/>
        <v>291.8552172152788</v>
      </c>
      <c r="EO14" s="59">
        <f ca="1">AVERAGE(OFFSET($EN$3,0,0,'Données projet'!$E$15+1,1))-AVERAGE(OFFSET($H$3,0,0,'Données projet'!$E$15+1,1))</f>
        <v>312.1172301514103</v>
      </c>
      <c r="EP14" s="59">
        <f t="shared" si="46"/>
        <v>369.85500533493212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7.9</v>
      </c>
      <c r="FE14" s="12">
        <f>IF('Données projet'!$A$218&gt;35,FE13+FD14-FM13,IF(A14&lt;'Données projet'!$A$218,$FB$205^A14,IF(A14='Données projet'!$A$218,'Données projet'!$B$218,FE13+FD14-FM13)))</f>
        <v>16.190542381779895</v>
      </c>
      <c r="FF14" s="17">
        <f>FE14*VLOOKUP('Données projet'!$B$16,Paramètres!$A$1:$I$89,3,0)*VLOOKUP('Données projet'!$B$16,Paramètres!$A$1:$I$89,5,0)</f>
        <v>7.5771738346729904</v>
      </c>
      <c r="FG14" s="13">
        <f t="shared" si="47"/>
        <v>2.7585742106736397</v>
      </c>
      <c r="FH14" s="20">
        <f t="shared" si="22"/>
        <v>18.001427845645381</v>
      </c>
      <c r="FI14" s="59">
        <f t="shared" si="23"/>
        <v>288.11253895675651</v>
      </c>
      <c r="FJ14" s="59">
        <f ca="1">AVERAGE(OFFSET($FI$3,0,0,'Données projet'!$E$16+1,1))-AVERAGE(OFFSET($H$3,0,0,'Données projet'!$E$16+1,1))</f>
        <v>87.187251664304199</v>
      </c>
      <c r="FK14" s="59">
        <f t="shared" si="48"/>
        <v>148.84938257884147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6.9411764705882355</v>
      </c>
      <c r="FZ14" s="12">
        <f>IF('Données projet'!$A$244&gt;35,FZ13+FY14-GH13,IF(A14&lt;'Données projet'!$A$244,$FW$205^A14,IF(A14='Données projet'!$A$244,'Données projet'!$B$244,FZ13+FY14-GH13)))</f>
        <v>21.909352063600231</v>
      </c>
      <c r="GA14" s="17">
        <f>FZ14*VLOOKUP('Données projet'!$B$17,Paramètres!$A$1:$I$89,3,0)*VLOOKUP('Données projet'!$B$17,Paramètres!$A$1:$I$89,5,0)</f>
        <v>13.101792534032938</v>
      </c>
      <c r="GB14" s="13">
        <f t="shared" si="49"/>
        <v>4.4753343563761101</v>
      </c>
      <c r="GC14" s="20">
        <f t="shared" si="25"/>
        <v>30.613496000795752</v>
      </c>
      <c r="GD14" s="59">
        <f t="shared" si="26"/>
        <v>300.72460711190689</v>
      </c>
      <c r="GE14" s="59">
        <f ca="1">AVERAGE(OFFSET($GD$3,0,0,'Données projet'!$E$17+1,1))-AVERAGE(OFFSET($H$3,0,0,'Données projet'!$E$17+1,1))</f>
        <v>282.94722676586207</v>
      </c>
      <c r="GF14" s="59">
        <f t="shared" si="50"/>
        <v>310.63647941571298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3.8333333333333335</v>
      </c>
      <c r="GU14" s="12">
        <f>IF('Données projet'!$A$270&gt;35,GU13+GT14-HC13,IF(A14&lt;'Données projet'!$A$270,$GR$205^A14,IF(A14='Données projet'!$A$270,'Données projet'!$B$270,GU13+GT14-HC13)))</f>
        <v>33.434488156721827</v>
      </c>
      <c r="GV14" s="17">
        <f>GU14*VLOOKUP('Données projet'!$B$18,Paramètres!$A$1:$I$89,3,0)*VLOOKUP('Données projet'!$B$18,Paramètres!$A$1:$I$89,5,0)</f>
        <v>19.993823917719652</v>
      </c>
      <c r="GW14" s="13">
        <f t="shared" si="51"/>
        <v>6.5016509402458835</v>
      </c>
      <c r="GX14" s="20">
        <f t="shared" si="28"/>
        <v>46.146285377623315</v>
      </c>
      <c r="GY14" s="59">
        <f t="shared" si="29"/>
        <v>316.25739648873446</v>
      </c>
      <c r="GZ14" s="59">
        <f ca="1">AVERAGE(OFFSET($GY$3,0,0,'Données projet'!$E$18+1,1))-AVERAGE(OFFSET($H$3,0,0,'Données projet'!$E$18+1,1))</f>
        <v>255.54398581450459</v>
      </c>
      <c r="HA14" s="59">
        <f t="shared" si="52"/>
        <v>276.52622328061204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7.1333333333333337</v>
      </c>
      <c r="N15" s="13">
        <f>IF('Données projet'!$A$36&gt;35,N14+M15-V14,IF(A15&lt;'Données projet'!$A$36,$K$205^A15,IF(A15='Données projet'!$A$36,'Données projet'!$B$36,N14+M15-V14)))</f>
        <v>42.024932267304926</v>
      </c>
      <c r="O15" s="13">
        <f>N15*VLOOKUP('Données projet'!$B$9,Paramètres!$A$1:$I$89,3,0)*VLOOKUP('Données projet'!$B$9,Paramètres!$A$1:$I$89,5,0)</f>
        <v>36.71298082871759</v>
      </c>
      <c r="P15" s="13">
        <f t="shared" si="33"/>
        <v>11.123122121818724</v>
      </c>
      <c r="Q15" s="20">
        <f t="shared" si="2"/>
        <v>83.314545972184078</v>
      </c>
      <c r="R15" s="59">
        <f t="shared" si="0"/>
        <v>354.64787930551739</v>
      </c>
      <c r="S15" s="59">
        <f ca="1">AVERAGE(OFFSET($R$3,0,0,'Données projet'!$E$9+1,1))-AVERAGE(OFFSET($H$3,0,0,'Données projet'!$E$9+1,1))</f>
        <v>248.50221719467663</v>
      </c>
      <c r="T15" s="59">
        <f t="shared" si="34"/>
        <v>366.09064580347183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11.872612896942668</v>
      </c>
      <c r="AK15" s="13">
        <f t="shared" si="35"/>
        <v>4.1022411108131784</v>
      </c>
      <c r="AL15" s="20">
        <f t="shared" si="4"/>
        <v>27.822870730174767</v>
      </c>
      <c r="AM15" s="59">
        <f t="shared" si="5"/>
        <v>299.15620406350808</v>
      </c>
      <c r="AN15" s="59">
        <f ca="1">AVERAGE(OFFSET($AM$3,0,0,'Données projet'!$E$10+1,1))-AVERAGE(OFFSET($H$3,0,0,'Données projet'!$E$10+1,1))</f>
        <v>263.22346936777603</v>
      </c>
      <c r="AO15" s="59">
        <f t="shared" si="36"/>
        <v>217.14714468707939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2.6666666666666665</v>
      </c>
      <c r="BD15" s="12">
        <f>IF('Données projet'!$A$88&gt;35,BD14+BC15-BL14,IF(A15&lt;'Données projet'!$A$88,$BA$205^A15,IF(A15='Données projet'!$A$88,'Données projet'!$B$88,BD14+BC15-BL14)))</f>
        <v>19.127049995800721</v>
      </c>
      <c r="BE15" s="13">
        <f>BD15*VLOOKUP('Données projet'!$B$11,Paramètres!$A$1:$I$89,3,0)*VLOOKUP('Données projet'!$B$11,Paramètres!$A$1:$I$89,5,0)</f>
        <v>14.919098996724562</v>
      </c>
      <c r="BF15" s="13">
        <f t="shared" si="37"/>
        <v>5.019622097301081</v>
      </c>
      <c r="BG15" s="20">
        <f t="shared" si="7"/>
        <v>34.726605905427995</v>
      </c>
      <c r="BH15" s="59">
        <f t="shared" si="8"/>
        <v>306.05993923876133</v>
      </c>
      <c r="BI15" s="59">
        <f ca="1">AVERAGE(OFFSET($BH$3,0,0,'Données projet'!$E$11+1,1))-AVERAGE(OFFSET($H$3,0,0,'Données projet'!$E$11+1,1))</f>
        <v>219.22204054948094</v>
      </c>
      <c r="BJ15" s="59">
        <f t="shared" si="38"/>
        <v>222.41711966122034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1.6</v>
      </c>
      <c r="BY15" s="12">
        <f>IF('Données projet'!$A$114&gt;35,BY14+BX15-CG14,IF(A15&lt;'Données projet'!$A$114,$BV$205^A15,IF(A15='Données projet'!$A$114,'Données projet'!$B$114,BY14+BX15-CG14)))</f>
        <v>4.7043160900986933</v>
      </c>
      <c r="BZ15" s="13">
        <f>BY15*VLOOKUP('Données projet'!$B$12,Paramètres!$A$1:$I$89,3,0)*VLOOKUP('Données projet'!$B$12,Paramètres!$A$1:$I$89,5,0)</f>
        <v>4.0363032053046792</v>
      </c>
      <c r="CA15" s="13">
        <f t="shared" si="39"/>
        <v>1.58124561931192</v>
      </c>
      <c r="CB15" s="20">
        <f t="shared" si="10"/>
        <v>9.7838975362072436</v>
      </c>
      <c r="CC15" s="59">
        <f t="shared" si="11"/>
        <v>281.11723086954055</v>
      </c>
      <c r="CD15" s="59">
        <f ca="1">AVERAGE(OFFSET($CC$3,0,0,'Données projet'!$E$12+1,1))-AVERAGE(OFFSET($H$3,0,0,'Données projet'!$E$12+1,1))</f>
        <v>237.27357081252273</v>
      </c>
      <c r="CE15" s="59">
        <f t="shared" si="40"/>
        <v>68.768479693848576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12.6</v>
      </c>
      <c r="CT15" s="12">
        <f>IF('Données projet'!$A$140&gt;35,CT14+CS15-DB14,IF(A15&lt;'Données projet'!$A$140,$CQ$205^A15,IF(A15='Données projet'!$A$140,'Données projet'!$B$140,CT14+CS15-DB14)))</f>
        <v>66.247492298228693</v>
      </c>
      <c r="CU15" s="17">
        <f>CT15*VLOOKUP('Données projet'!$B$13,Paramètres!$A$1:$I$89,3,0)*VLOOKUP('Données projet'!$B$13,Paramètres!$A$1:$I$89,5,0)</f>
        <v>37.03234819470984</v>
      </c>
      <c r="CV15" s="13">
        <f t="shared" si="41"/>
        <v>11.20857645282026</v>
      </c>
      <c r="CW15" s="20">
        <f t="shared" si="13"/>
        <v>84.019610427781586</v>
      </c>
      <c r="CX15" s="59">
        <f t="shared" si="14"/>
        <v>355.35294376111489</v>
      </c>
      <c r="CY15" s="59">
        <f ca="1">AVERAGE(OFFSET($CX$3,0,0,'Données projet'!$E$13+1,1))-AVERAGE(OFFSET($H$3,0,0,'Données projet'!$E$13+1,1))</f>
        <v>474.03051418249999</v>
      </c>
      <c r="CZ15" s="59">
        <f t="shared" si="42"/>
        <v>649.52271992719091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>
        <f>VLOOKUP(A15,'Données projet'!$A$165:$I$185,2,0)</f>
        <v>116</v>
      </c>
      <c r="DM15" s="12">
        <f>VLOOKUP(A15,'Données projet'!$A$165:$I$185,9,0)</f>
        <v>9.6666666666666661</v>
      </c>
      <c r="DN15" s="12">
        <f t="array" ref="DN15">INDEX(DM:DM,MIN(IF(ISNUMBER(DM15:DM211),ROW(DM15:DM211),"")))</f>
        <v>9.6666666666666661</v>
      </c>
      <c r="DO15" s="12">
        <f>IF('Données projet'!$A$166&gt;35,DO14+DN15-DW14,IF(A15&lt;'Données projet'!$A$166,$DL$205^A15,IF(A15='Données projet'!$A$166,'Données projet'!$B$166,DO14+DN15-DW14)))</f>
        <v>116</v>
      </c>
      <c r="DP15" s="17">
        <f>DO15*VLOOKUP('Données projet'!$B$14,Paramètres!$A$1:$I$89,3,0)*VLOOKUP('Données projet'!$B$14,Paramètres!$A$1:$I$89,5,0)</f>
        <v>63.335999999999999</v>
      </c>
      <c r="DQ15" s="13">
        <f t="shared" si="43"/>
        <v>18.009040022946227</v>
      </c>
      <c r="DR15" s="20">
        <f t="shared" si="16"/>
        <v>141.67594470663133</v>
      </c>
      <c r="DS15" s="59">
        <f t="shared" si="17"/>
        <v>413.00927803996467</v>
      </c>
      <c r="DT15" s="59">
        <f ca="1">AVERAGE(OFFSET($DS$3,0,0,'Données projet'!$E$14+1,1))-AVERAGE(OFFSET($H$3,0,0,'Données projet'!$E$14+1,1))</f>
        <v>164.0740581424559</v>
      </c>
      <c r="DU15" s="59">
        <f t="shared" si="44"/>
        <v>280.99861170359793</v>
      </c>
      <c r="DV15" s="15">
        <f>IF(ISNA(VLOOKUP(A15,'Données projet'!$A$165:$I$185,3,0)),0,VLOOKUP(A15,'Données projet'!$A$165:$I$185,3,0))</f>
        <v>1</v>
      </c>
      <c r="DW15" s="15">
        <f>IF(ISNA(VLOOKUP(A15,'Données projet'!$A$165:$I$185,4,0)),0,VLOOKUP(A15,'Données projet'!$A$165:$I$185,4,0))</f>
        <v>21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3.7333333333333334</v>
      </c>
      <c r="EJ15" s="12">
        <f>IF('Données projet'!$A$192&gt;35,EJ14+EI15-ER14,IF(A15&lt;'Données projet'!$A$192,$EG$205^A15,IF(A15='Données projet'!$A$192,'Données projet'!$B$192,EJ14+EI15-ER14)))</f>
        <v>25.035162898423447</v>
      </c>
      <c r="EK15" s="17">
        <f>EJ15*VLOOKUP('Données projet'!$B$15,Paramètres!$A$1:$I$89,3,0)*VLOOKUP('Données projet'!$B$15,Paramètres!$A$1:$I$89,5,0)</f>
        <v>12.041913354141679</v>
      </c>
      <c r="EL15" s="13">
        <f t="shared" si="45"/>
        <v>4.1538863192443207</v>
      </c>
      <c r="EM15" s="20">
        <f t="shared" si="19"/>
        <v>28.207684431147282</v>
      </c>
      <c r="EN15" s="59">
        <f t="shared" si="20"/>
        <v>299.54101776448061</v>
      </c>
      <c r="EO15" s="59">
        <f ca="1">AVERAGE(OFFSET($EN$3,0,0,'Données projet'!$E$15+1,1))-AVERAGE(OFFSET($H$3,0,0,'Données projet'!$E$15+1,1))</f>
        <v>312.1172301514103</v>
      </c>
      <c r="EP15" s="59">
        <f t="shared" si="46"/>
        <v>369.85500533493212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7.9</v>
      </c>
      <c r="FE15" s="12">
        <f>IF('Données projet'!$A$218&gt;35,FE14+FD15-FM14,IF(A15&lt;'Données projet'!$A$218,$FB$205^A15,IF(A15='Données projet'!$A$218,'Données projet'!$B$218,FE14+FD15-FM14)))</f>
        <v>20.854234472198982</v>
      </c>
      <c r="FF15" s="17">
        <f>FE15*VLOOKUP('Données projet'!$B$16,Paramètres!$A$1:$I$89,3,0)*VLOOKUP('Données projet'!$B$16,Paramètres!$A$1:$I$89,5,0)</f>
        <v>9.7597817329891239</v>
      </c>
      <c r="FG15" s="13">
        <f t="shared" si="47"/>
        <v>3.4500178483814818</v>
      </c>
      <c r="FH15" s="20">
        <f t="shared" si="22"/>
        <v>23.00706760422047</v>
      </c>
      <c r="FI15" s="59">
        <f t="shared" si="23"/>
        <v>294.3404009375538</v>
      </c>
      <c r="FJ15" s="59">
        <f ca="1">AVERAGE(OFFSET($FI$3,0,0,'Données projet'!$E$16+1,1))-AVERAGE(OFFSET($H$3,0,0,'Données projet'!$E$16+1,1))</f>
        <v>87.187251664304199</v>
      </c>
      <c r="FK15" s="59">
        <f t="shared" si="48"/>
        <v>148.84938257884147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6.9411764705882355</v>
      </c>
      <c r="FZ15" s="12">
        <f>IF('Données projet'!$A$244&gt;35,FZ14+FY15-GH14,IF(A15&lt;'Données projet'!$A$244,$FW$205^A15,IF(A15='Données projet'!$A$244,'Données projet'!$B$244,FZ14+FY15-GH14)))</f>
        <v>29.007142357672414</v>
      </c>
      <c r="GA15" s="17">
        <f>FZ15*VLOOKUP('Données projet'!$B$17,Paramètres!$A$1:$I$89,3,0)*VLOOKUP('Données projet'!$B$17,Paramètres!$A$1:$I$89,5,0)</f>
        <v>17.346271129888105</v>
      </c>
      <c r="GB15" s="13">
        <f t="shared" si="49"/>
        <v>5.7347514730366376</v>
      </c>
      <c r="GC15" s="20">
        <f t="shared" si="25"/>
        <v>40.19944770009392</v>
      </c>
      <c r="GD15" s="59">
        <f t="shared" si="26"/>
        <v>311.53278103342723</v>
      </c>
      <c r="GE15" s="59">
        <f ca="1">AVERAGE(OFFSET($GD$3,0,0,'Données projet'!$E$17+1,1))-AVERAGE(OFFSET($H$3,0,0,'Données projet'!$E$17+1,1))</f>
        <v>282.94722676586207</v>
      </c>
      <c r="GF15" s="59">
        <f t="shared" si="50"/>
        <v>310.63647941571298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>
        <f>VLOOKUP(A15,'Données projet'!$A$269:$I$289,2,0)</f>
        <v>46</v>
      </c>
      <c r="GS15" s="12">
        <f>VLOOKUP(A15,'Données projet'!$A$269:$I$289,9,0)</f>
        <v>3.8333333333333335</v>
      </c>
      <c r="GT15" s="12">
        <f t="array" ref="GT15">INDEX(GS:GS,MIN(IF(ISNUMBER(GS15:GS211),ROW(GS15:GS211),"")))</f>
        <v>3.8333333333333335</v>
      </c>
      <c r="GU15" s="12">
        <f>IF('Données projet'!$A$270&gt;35,GU14+GT15-HC14,IF(A15&lt;'Données projet'!$A$270,$GR$205^A15,IF(A15='Données projet'!$A$270,'Données projet'!$B$270,GU14+GT15-HC14)))</f>
        <v>46</v>
      </c>
      <c r="GV15" s="17">
        <f>GU15*VLOOKUP('Données projet'!$B$18,Paramètres!$A$1:$I$89,3,0)*VLOOKUP('Données projet'!$B$18,Paramètres!$A$1:$I$89,5,0)</f>
        <v>27.508000000000003</v>
      </c>
      <c r="GW15" s="13">
        <f t="shared" si="51"/>
        <v>8.619023227845549</v>
      </c>
      <c r="GX15" s="20">
        <f t="shared" si="28"/>
        <v>62.921232121831004</v>
      </c>
      <c r="GY15" s="59">
        <f t="shared" si="29"/>
        <v>334.25456545516431</v>
      </c>
      <c r="GZ15" s="59">
        <f ca="1">AVERAGE(OFFSET($GY$3,0,0,'Données projet'!$E$18+1,1))-AVERAGE(OFFSET($H$3,0,0,'Données projet'!$E$18+1,1))</f>
        <v>255.54398581450459</v>
      </c>
      <c r="HA15" s="59">
        <f t="shared" si="52"/>
        <v>276.52622328061204</v>
      </c>
      <c r="HB15" s="15">
        <f>IF(ISNA(VLOOKUP(A15,'Données projet'!$A$269:$I$289,3,0)),0,VLOOKUP(A15,'Données projet'!$A$269:$I$289,3,0))</f>
        <v>1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7.1333333333333337</v>
      </c>
      <c r="N16" s="13">
        <f>IF('Données projet'!$A$36&gt;35,N15+M16-V15,IF(A16&lt;'Données projet'!$A$36,$K$205^A16,IF(A16='Données projet'!$A$36,'Données projet'!$B$36,N15+M16-V15)))</f>
        <v>57.385117337200782</v>
      </c>
      <c r="O16" s="13">
        <f>N16*VLOOKUP('Données projet'!$B$9,Paramètres!$A$1:$I$89,3,0)*VLOOKUP('Données projet'!$B$9,Paramètres!$A$1:$I$89,5,0)</f>
        <v>50.131638505778611</v>
      </c>
      <c r="P16" s="13">
        <f t="shared" si="33"/>
        <v>14.647750677567194</v>
      </c>
      <c r="Q16" s="20">
        <f t="shared" si="2"/>
        <v>112.82410282766058</v>
      </c>
      <c r="R16" s="59">
        <f t="shared" si="0"/>
        <v>385.37965838321611</v>
      </c>
      <c r="S16" s="59">
        <f ca="1">AVERAGE(OFFSET($R$3,0,0,'Données projet'!$E$9+1,1))-AVERAGE(OFFSET($H$3,0,0,'Données projet'!$E$9+1,1))</f>
        <v>248.50221719467663</v>
      </c>
      <c r="T16" s="59">
        <f t="shared" si="34"/>
        <v>366.09064580347183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14.713379980643843</v>
      </c>
      <c r="AK16" s="13">
        <f t="shared" si="35"/>
        <v>4.9584140165447881</v>
      </c>
      <c r="AL16" s="20">
        <f t="shared" si="4"/>
        <v>34.261707878436859</v>
      </c>
      <c r="AM16" s="59">
        <f t="shared" si="5"/>
        <v>306.81726343399242</v>
      </c>
      <c r="AN16" s="59">
        <f ca="1">AVERAGE(OFFSET($AM$3,0,0,'Données projet'!$E$10+1,1))-AVERAGE(OFFSET($H$3,0,0,'Données projet'!$E$10+1,1))</f>
        <v>263.22346936777603</v>
      </c>
      <c r="AO16" s="59">
        <f t="shared" si="36"/>
        <v>217.14714468707939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2.6666666666666665</v>
      </c>
      <c r="BD16" s="12">
        <f>IF('Données projet'!$A$88&gt;35,BD15+BC16-BL15,IF(A16&lt;'Données projet'!$A$88,$BA$205^A16,IF(A16='Données projet'!$A$88,'Données projet'!$B$88,BD15+BC16-BL15)))</f>
        <v>24.459748796430759</v>
      </c>
      <c r="BE16" s="13">
        <f>BD16*VLOOKUP('Données projet'!$B$11,Paramètres!$A$1:$I$89,3,0)*VLOOKUP('Données projet'!$B$11,Paramètres!$A$1:$I$89,5,0)</f>
        <v>19.078604061215994</v>
      </c>
      <c r="BF16" s="13">
        <f t="shared" si="37"/>
        <v>6.2379664748280286</v>
      </c>
      <c r="BG16" s="20">
        <f t="shared" si="7"/>
        <v>44.093027016943331</v>
      </c>
      <c r="BH16" s="59">
        <f t="shared" si="8"/>
        <v>316.64858257249887</v>
      </c>
      <c r="BI16" s="59">
        <f ca="1">AVERAGE(OFFSET($BH$3,0,0,'Données projet'!$E$11+1,1))-AVERAGE(OFFSET($H$3,0,0,'Données projet'!$E$11+1,1))</f>
        <v>219.22204054948094</v>
      </c>
      <c r="BJ16" s="59">
        <f t="shared" si="38"/>
        <v>222.41711966122034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1.6</v>
      </c>
      <c r="BY16" s="12">
        <f>IF('Données projet'!$A$114&gt;35,BY15+BX16-CG15,IF(A16&lt;'Données projet'!$A$114,$BV$205^A16,IF(A16='Données projet'!$A$114,'Données projet'!$B$114,BY15+BX16-CG15)))</f>
        <v>5.3522682234542014</v>
      </c>
      <c r="BZ16" s="13">
        <f>BY16*VLOOKUP('Données projet'!$B$12,Paramètres!$A$1:$I$89,3,0)*VLOOKUP('Données projet'!$B$12,Paramètres!$A$1:$I$89,5,0)</f>
        <v>4.5922461357237054</v>
      </c>
      <c r="CA16" s="13">
        <f t="shared" si="39"/>
        <v>1.772219430928706</v>
      </c>
      <c r="CB16" s="20">
        <f t="shared" si="10"/>
        <v>11.084777528586281</v>
      </c>
      <c r="CC16" s="59">
        <f t="shared" si="11"/>
        <v>283.64033308414184</v>
      </c>
      <c r="CD16" s="59">
        <f ca="1">AVERAGE(OFFSET($CC$3,0,0,'Données projet'!$E$12+1,1))-AVERAGE(OFFSET($H$3,0,0,'Données projet'!$E$12+1,1))</f>
        <v>237.27357081252273</v>
      </c>
      <c r="CE16" s="59">
        <f t="shared" si="40"/>
        <v>68.768479693848576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12.6</v>
      </c>
      <c r="CT16" s="12">
        <f>IF('Données projet'!$A$140&gt;35,CT15+CS16-DB15,IF(A16&lt;'Données projet'!$A$140,$CQ$205^A16,IF(A16='Données projet'!$A$140,'Données projet'!$B$140,CT15+CS16-DB15)))</f>
        <v>93.957956698619185</v>
      </c>
      <c r="CU16" s="17">
        <f>CT16*VLOOKUP('Données projet'!$B$13,Paramètres!$A$1:$I$89,3,0)*VLOOKUP('Données projet'!$B$13,Paramètres!$A$1:$I$89,5,0)</f>
        <v>52.522497794528128</v>
      </c>
      <c r="CV16" s="13">
        <f t="shared" si="41"/>
        <v>15.263327932294025</v>
      </c>
      <c r="CW16" s="20">
        <f t="shared" si="13"/>
        <v>118.06031314088193</v>
      </c>
      <c r="CX16" s="59">
        <f t="shared" si="14"/>
        <v>390.61586869643747</v>
      </c>
      <c r="CY16" s="59">
        <f ca="1">AVERAGE(OFFSET($CX$3,0,0,'Données projet'!$E$13+1,1))-AVERAGE(OFFSET($H$3,0,0,'Données projet'!$E$13+1,1))</f>
        <v>474.03051418249999</v>
      </c>
      <c r="CZ16" s="59">
        <f t="shared" si="42"/>
        <v>649.52271992719091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24.333333333333332</v>
      </c>
      <c r="DO16" s="12">
        <f>IF('Données projet'!$A$166&gt;35,DO15+DN16-DW15,IF(A16&lt;'Données projet'!$A$166,$DL$205^A16,IF(A16='Données projet'!$A$166,'Données projet'!$B$166,DO15+DN16-DW15)))</f>
        <v>119.33333333333334</v>
      </c>
      <c r="DP16" s="17">
        <f>DO16*VLOOKUP('Données projet'!$B$14,Paramètres!$A$1:$I$89,3,0)*VLOOKUP('Données projet'!$B$14,Paramètres!$A$1:$I$89,5,0)</f>
        <v>65.156000000000006</v>
      </c>
      <c r="DQ16" s="13">
        <f t="shared" si="43"/>
        <v>18.465547360043153</v>
      </c>
      <c r="DR16" s="20">
        <f t="shared" si="16"/>
        <v>145.64086165207519</v>
      </c>
      <c r="DS16" s="59">
        <f t="shared" si="17"/>
        <v>418.1964172076307</v>
      </c>
      <c r="DT16" s="59">
        <f ca="1">AVERAGE(OFFSET($DS$3,0,0,'Données projet'!$E$14+1,1))-AVERAGE(OFFSET($H$3,0,0,'Données projet'!$E$14+1,1))</f>
        <v>164.0740581424559</v>
      </c>
      <c r="DU16" s="59">
        <f t="shared" si="44"/>
        <v>280.99861170359793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3.7333333333333334</v>
      </c>
      <c r="EJ16" s="12">
        <f>IF('Données projet'!$A$192&gt;35,EJ15+EI16-ER15,IF(A16&lt;'Données projet'!$A$192,$EG$205^A16,IF(A16='Données projet'!$A$192,'Données projet'!$B$192,EJ15+EI16-ER15)))</f>
        <v>32.741327962230365</v>
      </c>
      <c r="EK16" s="17">
        <f>EJ16*VLOOKUP('Données projet'!$B$15,Paramètres!$A$1:$I$89,3,0)*VLOOKUP('Données projet'!$B$15,Paramètres!$A$1:$I$89,5,0)</f>
        <v>15.748578749832806</v>
      </c>
      <c r="EL16" s="13">
        <f t="shared" si="45"/>
        <v>5.265438398893667</v>
      </c>
      <c r="EM16" s="20">
        <f t="shared" si="19"/>
        <v>36.599413200698606</v>
      </c>
      <c r="EN16" s="59">
        <f t="shared" si="20"/>
        <v>309.15496875625416</v>
      </c>
      <c r="EO16" s="59">
        <f ca="1">AVERAGE(OFFSET($EN$3,0,0,'Données projet'!$E$15+1,1))-AVERAGE(OFFSET($H$3,0,0,'Données projet'!$E$15+1,1))</f>
        <v>312.1172301514103</v>
      </c>
      <c r="EP16" s="59">
        <f t="shared" si="46"/>
        <v>369.85500533493212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7.9</v>
      </c>
      <c r="FE16" s="12">
        <f>IF('Données projet'!$A$218&gt;35,FE15+FD16-FM15,IF(A16&lt;'Données projet'!$A$218,$FB$205^A16,IF(A16='Données projet'!$A$218,'Données projet'!$B$218,FE15+FD16-FM15)))</f>
        <v>26.861304900499697</v>
      </c>
      <c r="FF16" s="17">
        <f>FE16*VLOOKUP('Données projet'!$B$16,Paramètres!$A$1:$I$89,3,0)*VLOOKUP('Données projet'!$B$16,Paramètres!$A$1:$I$89,5,0)</f>
        <v>12.571090693433858</v>
      </c>
      <c r="FG16" s="13">
        <f t="shared" si="47"/>
        <v>4.3147735914069099</v>
      </c>
      <c r="FH16" s="20">
        <f t="shared" si="22"/>
        <v>29.409546962764335</v>
      </c>
      <c r="FI16" s="59">
        <f t="shared" si="23"/>
        <v>301.9651025183199</v>
      </c>
      <c r="FJ16" s="59">
        <f ca="1">AVERAGE(OFFSET($FI$3,0,0,'Données projet'!$E$16+1,1))-AVERAGE(OFFSET($H$3,0,0,'Données projet'!$E$16+1,1))</f>
        <v>87.187251664304199</v>
      </c>
      <c r="FK16" s="59">
        <f t="shared" si="48"/>
        <v>148.84938257884147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6.9411764705882355</v>
      </c>
      <c r="FZ16" s="12">
        <f>IF('Données projet'!$A$244&gt;35,FZ15+FY16-GH15,IF(A16&lt;'Données projet'!$A$244,$FW$205^A16,IF(A16='Données projet'!$A$244,'Données projet'!$B$244,FZ15+FY16-GH15)))</f>
        <v>38.404344652263013</v>
      </c>
      <c r="GA16" s="17">
        <f>FZ16*VLOOKUP('Données projet'!$B$17,Paramètres!$A$1:$I$89,3,0)*VLOOKUP('Données projet'!$B$17,Paramètres!$A$1:$I$89,5,0)</f>
        <v>22.965798102053284</v>
      </c>
      <c r="GB16" s="13">
        <f t="shared" si="49"/>
        <v>7.3485848963755025</v>
      </c>
      <c r="GC16" s="20">
        <f t="shared" si="25"/>
        <v>52.797550388930141</v>
      </c>
      <c r="GD16" s="59">
        <f t="shared" si="26"/>
        <v>325.35310594448566</v>
      </c>
      <c r="GE16" s="59">
        <f ca="1">AVERAGE(OFFSET($GD$3,0,0,'Données projet'!$E$17+1,1))-AVERAGE(OFFSET($H$3,0,0,'Données projet'!$E$17+1,1))</f>
        <v>282.94722676586207</v>
      </c>
      <c r="GF16" s="59">
        <f t="shared" si="50"/>
        <v>310.63647941571298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15.25</v>
      </c>
      <c r="GU16" s="12">
        <f>IF('Données projet'!$A$270&gt;35,GU15+GT16-HC15,IF(A16&lt;'Données projet'!$A$270,$GR$205^A16,IF(A16='Données projet'!$A$270,'Données projet'!$B$270,GU15+GT16-HC15)))</f>
        <v>61.25</v>
      </c>
      <c r="GV16" s="17">
        <f>GU16*VLOOKUP('Données projet'!$B$18,Paramètres!$A$1:$I$89,3,0)*VLOOKUP('Données projet'!$B$18,Paramètres!$A$1:$I$89,5,0)</f>
        <v>36.627500000000005</v>
      </c>
      <c r="GW16" s="13">
        <f t="shared" si="51"/>
        <v>11.100235041832279</v>
      </c>
      <c r="GX16" s="20">
        <f t="shared" si="28"/>
        <v>83.125805197857886</v>
      </c>
      <c r="GY16" s="59">
        <f t="shared" si="29"/>
        <v>355.6813607534134</v>
      </c>
      <c r="GZ16" s="59">
        <f ca="1">AVERAGE(OFFSET($GY$3,0,0,'Données projet'!$E$18+1,1))-AVERAGE(OFFSET($H$3,0,0,'Données projet'!$E$18+1,1))</f>
        <v>255.54398581450459</v>
      </c>
      <c r="HA16" s="59">
        <f t="shared" si="52"/>
        <v>276.52622328061204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7.1333333333333337</v>
      </c>
      <c r="N17" s="13">
        <f>IF('Données projet'!$A$36&gt;35,N16+M17-V16,IF(A17&lt;'Données projet'!$A$36,$K$205^A17,IF(A17='Données projet'!$A$36,'Données projet'!$B$36,N16+M17-V16)))</f>
        <v>78.35947648549265</v>
      </c>
      <c r="O17" s="13">
        <f>N17*VLOOKUP('Données projet'!$B$9,Paramètres!$A$1:$I$89,3,0)*VLOOKUP('Données projet'!$B$9,Paramètres!$A$1:$I$89,5,0)</f>
        <v>68.454838657726384</v>
      </c>
      <c r="P17" s="13">
        <f t="shared" si="33"/>
        <v>19.289242495261615</v>
      </c>
      <c r="Q17" s="20">
        <f t="shared" si="2"/>
        <v>152.8209413414541</v>
      </c>
      <c r="R17" s="59">
        <f t="shared" si="0"/>
        <v>426.59871911923187</v>
      </c>
      <c r="S17" s="59">
        <f ca="1">AVERAGE(OFFSET($R$3,0,0,'Données projet'!$E$9+1,1))-AVERAGE(OFFSET($H$3,0,0,'Données projet'!$E$9+1,1))</f>
        <v>248.50221719467663</v>
      </c>
      <c r="T17" s="59">
        <f t="shared" si="34"/>
        <v>366.09064580347183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18.233859078363277</v>
      </c>
      <c r="AK17" s="13">
        <f t="shared" si="35"/>
        <v>5.9932775513027368</v>
      </c>
      <c r="AL17" s="20">
        <f t="shared" si="4"/>
        <v>42.195596296668306</v>
      </c>
      <c r="AM17" s="59">
        <f t="shared" si="5"/>
        <v>315.9733740744461</v>
      </c>
      <c r="AN17" s="59">
        <f ca="1">AVERAGE(OFFSET($AM$3,0,0,'Données projet'!$E$10+1,1))-AVERAGE(OFFSET($H$3,0,0,'Données projet'!$E$10+1,1))</f>
        <v>263.22346936777603</v>
      </c>
      <c r="AO17" s="59">
        <f t="shared" si="36"/>
        <v>217.14714468707939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2.6666666666666665</v>
      </c>
      <c r="BD17" s="12">
        <f>IF('Données projet'!$A$88&gt;35,BD16+BC17-BL16,IF(A17&lt;'Données projet'!$A$88,$BA$205^A17,IF(A17='Données projet'!$A$88,'Données projet'!$B$88,BD16+BC17-BL16)))</f>
        <v>31.279225563578599</v>
      </c>
      <c r="BE17" s="13">
        <f>BD17*VLOOKUP('Données projet'!$B$11,Paramètres!$A$1:$I$89,3,0)*VLOOKUP('Données projet'!$B$11,Paramètres!$A$1:$I$89,5,0)</f>
        <v>24.397795939591308</v>
      </c>
      <c r="BF17" s="13">
        <f t="shared" si="37"/>
        <v>7.75202295846145</v>
      </c>
      <c r="BG17" s="20">
        <f t="shared" si="7"/>
        <v>55.994267914108548</v>
      </c>
      <c r="BH17" s="59">
        <f t="shared" si="8"/>
        <v>329.77204569188632</v>
      </c>
      <c r="BI17" s="59">
        <f ca="1">AVERAGE(OFFSET($BH$3,0,0,'Données projet'!$E$11+1,1))-AVERAGE(OFFSET($H$3,0,0,'Données projet'!$E$11+1,1))</f>
        <v>219.22204054948094</v>
      </c>
      <c r="BJ17" s="59">
        <f t="shared" si="38"/>
        <v>222.41711966122034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1.6</v>
      </c>
      <c r="BY17" s="12">
        <f>IF('Données projet'!$A$114&gt;35,BY16+BX17-CG16,IF(A17&lt;'Données projet'!$A$114,$BV$205^A17,IF(A17='Données projet'!$A$114,'Données projet'!$B$114,BY16+BX17-CG16)))</f>
        <v>6.0894664786856616</v>
      </c>
      <c r="BZ17" s="13">
        <f>BY17*VLOOKUP('Données projet'!$B$12,Paramètres!$A$1:$I$89,3,0)*VLOOKUP('Données projet'!$B$12,Paramètres!$A$1:$I$89,5,0)</f>
        <v>5.2247622387122981</v>
      </c>
      <c r="CA17" s="13">
        <f t="shared" si="39"/>
        <v>1.9862579684033976</v>
      </c>
      <c r="CB17" s="20">
        <f t="shared" si="10"/>
        <v>12.55919352739317</v>
      </c>
      <c r="CC17" s="59">
        <f t="shared" si="11"/>
        <v>286.33697130517095</v>
      </c>
      <c r="CD17" s="59">
        <f ca="1">AVERAGE(OFFSET($CC$3,0,0,'Données projet'!$E$12+1,1))-AVERAGE(OFFSET($H$3,0,0,'Données projet'!$E$12+1,1))</f>
        <v>237.27357081252273</v>
      </c>
      <c r="CE17" s="59">
        <f t="shared" si="40"/>
        <v>68.768479693848576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12.6</v>
      </c>
      <c r="CT17" s="12">
        <f>IF('Données projet'!$A$140&gt;35,CT16+CS17-DB16,IF(A17&lt;'Données projet'!$A$140,$CQ$205^A17,IF(A17='Données projet'!$A$140,'Données projet'!$B$140,CT16+CS17-DB16)))</f>
        <v>133.25934794992446</v>
      </c>
      <c r="CU17" s="17">
        <f>CT17*VLOOKUP('Données projet'!$B$13,Paramètres!$A$1:$I$89,3,0)*VLOOKUP('Données projet'!$B$13,Paramètres!$A$1:$I$89,5,0)</f>
        <v>74.491975504007769</v>
      </c>
      <c r="CV17" s="13">
        <f t="shared" si="41"/>
        <v>20.784903466499365</v>
      </c>
      <c r="CW17" s="20">
        <f t="shared" si="13"/>
        <v>165.9405642069666</v>
      </c>
      <c r="CX17" s="59">
        <f t="shared" si="14"/>
        <v>439.71834198474437</v>
      </c>
      <c r="CY17" s="59">
        <f ca="1">AVERAGE(OFFSET($CX$3,0,0,'Données projet'!$E$13+1,1))-AVERAGE(OFFSET($H$3,0,0,'Données projet'!$E$13+1,1))</f>
        <v>474.03051418249999</v>
      </c>
      <c r="CZ17" s="59">
        <f t="shared" si="42"/>
        <v>649.52271992719091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24.333333333333332</v>
      </c>
      <c r="DO17" s="12">
        <f>IF('Données projet'!$A$166&gt;35,DO16+DN17-DW16,IF(A17&lt;'Données projet'!$A$166,$DL$205^A17,IF(A17='Données projet'!$A$166,'Données projet'!$B$166,DO16+DN17-DW16)))</f>
        <v>143.66666666666669</v>
      </c>
      <c r="DP17" s="17">
        <f>DO17*VLOOKUP('Données projet'!$B$14,Paramètres!$A$1:$I$89,3,0)*VLOOKUP('Données projet'!$B$14,Paramètres!$A$1:$I$89,5,0)</f>
        <v>78.442000000000007</v>
      </c>
      <c r="DQ17" s="13">
        <f t="shared" si="43"/>
        <v>21.755810093736013</v>
      </c>
      <c r="DR17" s="20">
        <f t="shared" si="16"/>
        <v>174.5111859132569</v>
      </c>
      <c r="DS17" s="59">
        <f t="shared" si="17"/>
        <v>448.28896369103467</v>
      </c>
      <c r="DT17" s="59">
        <f ca="1">AVERAGE(OFFSET($DS$3,0,0,'Données projet'!$E$14+1,1))-AVERAGE(OFFSET($H$3,0,0,'Données projet'!$E$14+1,1))</f>
        <v>164.0740581424559</v>
      </c>
      <c r="DU17" s="59">
        <f t="shared" si="44"/>
        <v>280.99861170359793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3.7333333333333334</v>
      </c>
      <c r="EJ17" s="12">
        <f>IF('Données projet'!$A$192&gt;35,EJ16+EI17-ER16,IF(A17&lt;'Données projet'!$A$192,$EG$205^A17,IF(A17='Données projet'!$A$192,'Données projet'!$B$192,EJ16+EI17-ER16)))</f>
        <v>42.819555881453262</v>
      </c>
      <c r="EK17" s="17">
        <f>EJ17*VLOOKUP('Données projet'!$B$15,Paramètres!$A$1:$I$89,3,0)*VLOOKUP('Données projet'!$B$15,Paramètres!$A$1:$I$89,5,0)</f>
        <v>20.596206378979019</v>
      </c>
      <c r="EL17" s="13">
        <f t="shared" si="45"/>
        <v>6.6744343493703564</v>
      </c>
      <c r="EM17" s="20">
        <f t="shared" si="19"/>
        <v>47.496365935208495</v>
      </c>
      <c r="EN17" s="59">
        <f t="shared" si="20"/>
        <v>321.27414371298624</v>
      </c>
      <c r="EO17" s="59">
        <f ca="1">AVERAGE(OFFSET($EN$3,0,0,'Données projet'!$E$15+1,1))-AVERAGE(OFFSET($H$3,0,0,'Données projet'!$E$15+1,1))</f>
        <v>312.1172301514103</v>
      </c>
      <c r="EP17" s="59">
        <f t="shared" si="46"/>
        <v>369.85500533493212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7.9</v>
      </c>
      <c r="FE17" s="12">
        <f>IF('Données projet'!$A$218&gt;35,FE16+FD17-FM16,IF(A17&lt;'Données projet'!$A$218,$FB$205^A17,IF(A17='Données projet'!$A$218,'Données projet'!$B$218,FE16+FD17-FM16)))</f>
        <v>34.598714324397214</v>
      </c>
      <c r="FF17" s="17">
        <f>FE17*VLOOKUP('Données projet'!$B$16,Paramètres!$A$1:$I$89,3,0)*VLOOKUP('Données projet'!$B$16,Paramètres!$A$1:$I$89,5,0)</f>
        <v>16.192198303817896</v>
      </c>
      <c r="FG17" s="13">
        <f t="shared" si="47"/>
        <v>5.3962825594761723</v>
      </c>
      <c r="FH17" s="20">
        <f t="shared" si="22"/>
        <v>37.599937503570509</v>
      </c>
      <c r="FI17" s="59">
        <f t="shared" si="23"/>
        <v>311.37771528134829</v>
      </c>
      <c r="FJ17" s="59">
        <f ca="1">AVERAGE(OFFSET($FI$3,0,0,'Données projet'!$E$16+1,1))-AVERAGE(OFFSET($H$3,0,0,'Données projet'!$E$16+1,1))</f>
        <v>87.187251664304199</v>
      </c>
      <c r="FK17" s="59">
        <f t="shared" si="48"/>
        <v>148.84938257884147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6.9411764705882355</v>
      </c>
      <c r="FZ17" s="12">
        <f>IF('Données projet'!$A$244&gt;35,FZ16+FY17-GH16,IF(A17&lt;'Données projet'!$A$244,$FW$205^A17,IF(A17='Données projet'!$A$244,'Données projet'!$B$244,FZ16+FY17-GH16)))</f>
        <v>50.845880300225161</v>
      </c>
      <c r="GA17" s="17">
        <f>FZ17*VLOOKUP('Données projet'!$B$17,Paramètres!$A$1:$I$89,3,0)*VLOOKUP('Données projet'!$B$17,Paramètres!$A$1:$I$89,5,0)</f>
        <v>30.405836419534648</v>
      </c>
      <c r="GB17" s="13">
        <f t="shared" si="49"/>
        <v>9.4165719705798292</v>
      </c>
      <c r="GC17" s="20">
        <f t="shared" si="25"/>
        <v>69.357361279449364</v>
      </c>
      <c r="GD17" s="59">
        <f t="shared" si="26"/>
        <v>343.13513905722715</v>
      </c>
      <c r="GE17" s="59">
        <f ca="1">AVERAGE(OFFSET($GD$3,0,0,'Données projet'!$E$17+1,1))-AVERAGE(OFFSET($H$3,0,0,'Données projet'!$E$17+1,1))</f>
        <v>282.94722676586207</v>
      </c>
      <c r="GF17" s="59">
        <f t="shared" si="50"/>
        <v>310.63647941571298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15.25</v>
      </c>
      <c r="GU17" s="12">
        <f>IF('Données projet'!$A$270&gt;35,GU16+GT17-HC16,IF(A17&lt;'Données projet'!$A$270,$GR$205^A17,IF(A17='Données projet'!$A$270,'Données projet'!$B$270,GU16+GT17-HC16)))</f>
        <v>76.5</v>
      </c>
      <c r="GV17" s="17">
        <f>GU17*VLOOKUP('Données projet'!$B$18,Paramètres!$A$1:$I$89,3,0)*VLOOKUP('Données projet'!$B$18,Paramètres!$A$1:$I$89,5,0)</f>
        <v>45.747000000000007</v>
      </c>
      <c r="GW17" s="13">
        <f t="shared" si="51"/>
        <v>13.509786169595499</v>
      </c>
      <c r="GX17" s="20">
        <f t="shared" si="28"/>
        <v>103.20556924537884</v>
      </c>
      <c r="GY17" s="59">
        <f t="shared" si="29"/>
        <v>376.98334702315663</v>
      </c>
      <c r="GZ17" s="59">
        <f ca="1">AVERAGE(OFFSET($GY$3,0,0,'Données projet'!$E$18+1,1))-AVERAGE(OFFSET($H$3,0,0,'Données projet'!$E$18+1,1))</f>
        <v>255.54398581450459</v>
      </c>
      <c r="HA17" s="59">
        <f t="shared" si="52"/>
        <v>276.52622328061204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107</v>
      </c>
      <c r="L18" s="12">
        <f>VLOOKUP(A18,'Données projet'!$A$35:$I$55,9,0)</f>
        <v>7.1333333333333337</v>
      </c>
      <c r="M18" s="12">
        <f t="array" ref="M18">INDEX(L:L,MIN(IF(ISNUMBER(L18:L214),ROW(L18:L214),"")))</f>
        <v>7.1333333333333337</v>
      </c>
      <c r="N18" s="13">
        <f>IF('Données projet'!$A$36&gt;35,N17+M18-V17,IF(A18&lt;'Données projet'!$A$36,$K$205^A18,IF(A18='Données projet'!$A$36,'Données projet'!$B$36,N17+M18-V17)))</f>
        <v>107</v>
      </c>
      <c r="O18" s="13">
        <f>N18*VLOOKUP('Données projet'!$B$9,Paramètres!$A$1:$I$89,3,0)*VLOOKUP('Données projet'!$B$9,Paramètres!$A$1:$I$89,5,0)</f>
        <v>93.475200000000015</v>
      </c>
      <c r="P18" s="13">
        <f t="shared" si="33"/>
        <v>25.401502539965662</v>
      </c>
      <c r="Q18" s="20">
        <f t="shared" si="2"/>
        <v>207.04359025710687</v>
      </c>
      <c r="R18" s="59">
        <f t="shared" si="0"/>
        <v>482.04359025710687</v>
      </c>
      <c r="S18" s="59">
        <f ca="1">AVERAGE(OFFSET($R$3,0,0,'Données projet'!$E$9+1,1))-AVERAGE(OFFSET($H$3,0,0,'Données projet'!$E$9+1,1))</f>
        <v>248.50221719467663</v>
      </c>
      <c r="T18" s="59">
        <f t="shared" si="34"/>
        <v>366.09064580347183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34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22.596685284210423</v>
      </c>
      <c r="AK18" s="13">
        <f t="shared" si="35"/>
        <v>7.2441259820371586</v>
      </c>
      <c r="AL18" s="20">
        <f t="shared" si="4"/>
        <v>51.972746288714539</v>
      </c>
      <c r="AM18" s="59">
        <f t="shared" si="5"/>
        <v>326.97274628871452</v>
      </c>
      <c r="AN18" s="59">
        <f ca="1">AVERAGE(OFFSET($AM$3,0,0,'Données projet'!$E$10+1,1))-AVERAGE(OFFSET($H$3,0,0,'Données projet'!$E$10+1,1))</f>
        <v>263.22346936777603</v>
      </c>
      <c r="AO18" s="59">
        <f t="shared" si="36"/>
        <v>217.14714468707939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40</v>
      </c>
      <c r="BB18" s="12">
        <f>VLOOKUP(A18,'Données projet'!$A$87:$I$107,9,0)</f>
        <v>2.6666666666666665</v>
      </c>
      <c r="BC18" s="12">
        <f t="array" ref="BC18">INDEX(BB:BB,MIN(IF(ISNUMBER(BB18:BB214),ROW(BB18:BB214),"")))</f>
        <v>2.6666666666666665</v>
      </c>
      <c r="BD18" s="12">
        <f>IF('Données projet'!$A$88&gt;35,BD17+BC18-BL17,IF(A18&lt;'Données projet'!$A$88,$BA$205^A18,IF(A18='Données projet'!$A$88,'Données projet'!$B$88,BD17+BC18-BL17)))</f>
        <v>40</v>
      </c>
      <c r="BE18" s="13">
        <f>BD18*VLOOKUP('Données projet'!$B$11,Paramètres!$A$1:$I$89,3,0)*VLOOKUP('Données projet'!$B$11,Paramètres!$A$1:$I$89,5,0)</f>
        <v>31.200000000000003</v>
      </c>
      <c r="BF18" s="13">
        <f t="shared" si="37"/>
        <v>9.6335657126419925</v>
      </c>
      <c r="BG18" s="20">
        <f t="shared" si="7"/>
        <v>71.118460282851473</v>
      </c>
      <c r="BH18" s="59">
        <f t="shared" si="8"/>
        <v>346.11846028285146</v>
      </c>
      <c r="BI18" s="59">
        <f ca="1">AVERAGE(OFFSET($BH$3,0,0,'Données projet'!$E$11+1,1))-AVERAGE(OFFSET($H$3,0,0,'Données projet'!$E$11+1,1))</f>
        <v>219.22204054948094</v>
      </c>
      <c r="BJ18" s="59">
        <f t="shared" si="38"/>
        <v>222.41711966122034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1.6</v>
      </c>
      <c r="BY18" s="12">
        <f>IF('Données projet'!$A$114&gt;35,BY17+BX18-CG17,IF(A18&lt;'Données projet'!$A$114,$BV$205^A18,IF(A18='Données projet'!$A$114,'Données projet'!$B$114,BY17+BX18-CG17)))</f>
        <v>6.9282032302755079</v>
      </c>
      <c r="BZ18" s="13">
        <f>BY18*VLOOKUP('Données projet'!$B$12,Paramètres!$A$1:$I$89,3,0)*VLOOKUP('Données projet'!$B$12,Paramètres!$A$1:$I$89,5,0)</f>
        <v>5.9443983715763862</v>
      </c>
      <c r="CA18" s="13">
        <f t="shared" si="39"/>
        <v>2.2261468575471812</v>
      </c>
      <c r="CB18" s="20">
        <f t="shared" si="10"/>
        <v>14.230366274056879</v>
      </c>
      <c r="CC18" s="59">
        <f t="shared" si="11"/>
        <v>289.23036627405691</v>
      </c>
      <c r="CD18" s="59">
        <f ca="1">AVERAGE(OFFSET($CC$3,0,0,'Données projet'!$E$12+1,1))-AVERAGE(OFFSET($H$3,0,0,'Données projet'!$E$12+1,1))</f>
        <v>237.27357081252273</v>
      </c>
      <c r="CE18" s="59">
        <f t="shared" si="40"/>
        <v>68.768479693848576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189</v>
      </c>
      <c r="CR18" s="12">
        <f>VLOOKUP(A18,'Données projet'!$A$139:$I$159,9,0)</f>
        <v>12.6</v>
      </c>
      <c r="CS18" s="12">
        <f t="array" ref="CS18">INDEX(CR:CR,MIN(IF(ISNUMBER(CR18:CR214),ROW(CR18:CR214),"")))</f>
        <v>12.6</v>
      </c>
      <c r="CT18" s="12">
        <f>IF('Données projet'!$A$140&gt;35,CT17+CS18-DB17,IF(A18&lt;'Données projet'!$A$140,$CQ$205^A18,IF(A18='Données projet'!$A$140,'Données projet'!$B$140,CT17+CS18-DB17)))</f>
        <v>189</v>
      </c>
      <c r="CU18" s="17">
        <f>CT18*VLOOKUP('Données projet'!$B$13,Paramètres!$A$1:$I$89,3,0)*VLOOKUP('Données projet'!$B$13,Paramètres!$A$1:$I$89,5,0)</f>
        <v>105.651</v>
      </c>
      <c r="CV18" s="13">
        <f t="shared" si="41"/>
        <v>28.303933062831547</v>
      </c>
      <c r="CW18" s="20">
        <f t="shared" si="13"/>
        <v>233.30484175109825</v>
      </c>
      <c r="CX18" s="59">
        <f t="shared" si="14"/>
        <v>508.30484175109825</v>
      </c>
      <c r="CY18" s="59">
        <f ca="1">AVERAGE(OFFSET($CX$3,0,0,'Données projet'!$E$13+1,1))-AVERAGE(OFFSET($H$3,0,0,'Données projet'!$E$13+1,1))</f>
        <v>474.03051418249999</v>
      </c>
      <c r="CZ18" s="59">
        <f t="shared" si="42"/>
        <v>649.52271992719091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168</v>
      </c>
      <c r="DM18" s="12">
        <f>VLOOKUP(A18,'Données projet'!$A$165:$I$185,9,0)</f>
        <v>24.333333333333332</v>
      </c>
      <c r="DN18" s="12">
        <f t="array" ref="DN18">INDEX(DM:DM,MIN(IF(ISNUMBER(DM18:DM214),ROW(DM18:DM214),"")))</f>
        <v>24.333333333333332</v>
      </c>
      <c r="DO18" s="12">
        <f>IF('Données projet'!$A$166&gt;35,DO17+DN18-DW17,IF(A18&lt;'Données projet'!$A$166,$DL$205^A18,IF(A18='Données projet'!$A$166,'Données projet'!$B$166,DO17+DN18-DW17)))</f>
        <v>168.00000000000003</v>
      </c>
      <c r="DP18" s="17">
        <f>DO18*VLOOKUP('Données projet'!$B$14,Paramètres!$A$1:$I$89,3,0)*VLOOKUP('Données projet'!$B$14,Paramètres!$A$1:$I$89,5,0)</f>
        <v>91.728000000000009</v>
      </c>
      <c r="DQ18" s="13">
        <f t="shared" si="43"/>
        <v>24.981514582386563</v>
      </c>
      <c r="DR18" s="20">
        <f t="shared" si="16"/>
        <v>203.26907123098991</v>
      </c>
      <c r="DS18" s="59">
        <f t="shared" si="17"/>
        <v>478.26907123098988</v>
      </c>
      <c r="DT18" s="59">
        <f ca="1">AVERAGE(OFFSET($DS$3,0,0,'Données projet'!$E$14+1,1))-AVERAGE(OFFSET($H$3,0,0,'Données projet'!$E$14+1,1))</f>
        <v>164.0740581424559</v>
      </c>
      <c r="DU18" s="59">
        <f t="shared" si="44"/>
        <v>280.99861170359793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47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56</v>
      </c>
      <c r="EH18" s="12">
        <f>VLOOKUP(A18,'Données projet'!$A$191:$I$211,9,0)</f>
        <v>3.7333333333333334</v>
      </c>
      <c r="EI18" s="12">
        <f t="array" ref="EI18">INDEX(EH:EH,MIN(IF(ISNUMBER(EH18:EH214),ROW(EH18:EH214),"")))</f>
        <v>3.7333333333333334</v>
      </c>
      <c r="EJ18" s="12">
        <f>IF('Données projet'!$A$192&gt;35,EJ17+EI18-ER17,IF(A18&lt;'Données projet'!$A$192,$EG$205^A18,IF(A18='Données projet'!$A$192,'Données projet'!$B$192,EJ17+EI18-ER17)))</f>
        <v>56</v>
      </c>
      <c r="EK18" s="17">
        <f>EJ18*VLOOKUP('Données projet'!$B$15,Paramètres!$A$1:$I$89,3,0)*VLOOKUP('Données projet'!$B$15,Paramètres!$A$1:$I$89,5,0)</f>
        <v>26.936</v>
      </c>
      <c r="EL18" s="13">
        <f t="shared" si="45"/>
        <v>8.4604681527401464</v>
      </c>
      <c r="EM18" s="20">
        <f t="shared" si="19"/>
        <v>61.64884869935576</v>
      </c>
      <c r="EN18" s="59">
        <f t="shared" si="20"/>
        <v>336.64884869935577</v>
      </c>
      <c r="EO18" s="59">
        <f ca="1">AVERAGE(OFFSET($EN$3,0,0,'Données projet'!$E$15+1,1))-AVERAGE(OFFSET($H$3,0,0,'Données projet'!$E$15+1,1))</f>
        <v>312.1172301514103</v>
      </c>
      <c r="EP18" s="59">
        <f t="shared" si="46"/>
        <v>369.85500533493212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7.9</v>
      </c>
      <c r="FE18" s="12">
        <f>IF('Données projet'!$A$218&gt;35,FE17+FD18-FM17,IF(A18&lt;'Données projet'!$A$218,$FB$205^A18,IF(A18='Données projet'!$A$218,'Données projet'!$B$218,FE17+FD18-FM17)))</f>
        <v>44.564887571004775</v>
      </c>
      <c r="FF18" s="17">
        <f>FE18*VLOOKUP('Données projet'!$B$16,Paramètres!$A$1:$I$89,3,0)*VLOOKUP('Données projet'!$B$16,Paramètres!$A$1:$I$89,5,0)</f>
        <v>20.856367383230236</v>
      </c>
      <c r="FG18" s="13">
        <f t="shared" si="47"/>
        <v>6.7488744993944465</v>
      </c>
      <c r="FH18" s="20">
        <f t="shared" si="22"/>
        <v>48.079129612237985</v>
      </c>
      <c r="FI18" s="59">
        <f t="shared" si="23"/>
        <v>323.07912961223798</v>
      </c>
      <c r="FJ18" s="59">
        <f ca="1">AVERAGE(OFFSET($FI$3,0,0,'Données projet'!$E$16+1,1))-AVERAGE(OFFSET($H$3,0,0,'Données projet'!$E$16+1,1))</f>
        <v>87.187251664304199</v>
      </c>
      <c r="FK18" s="59">
        <f t="shared" si="48"/>
        <v>148.84938257884147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6.9411764705882355</v>
      </c>
      <c r="FZ18" s="12">
        <f>IF('Données projet'!$A$244&gt;35,FZ17+FY18-GH17,IF(A18&lt;'Données projet'!$A$244,$FW$205^A18,IF(A18='Données projet'!$A$244,'Données projet'!$B$244,FZ17+FY18-GH17)))</f>
        <v>67.317996620272581</v>
      </c>
      <c r="GA18" s="17">
        <f>FZ18*VLOOKUP('Données projet'!$B$17,Paramètres!$A$1:$I$89,3,0)*VLOOKUP('Données projet'!$B$17,Paramètres!$A$1:$I$89,5,0)</f>
        <v>40.256161978923011</v>
      </c>
      <c r="GB18" s="13">
        <f t="shared" si="49"/>
        <v>12.066517421720839</v>
      </c>
      <c r="GC18" s="20">
        <f t="shared" si="25"/>
        <v>91.128666622788032</v>
      </c>
      <c r="GD18" s="59">
        <f t="shared" si="26"/>
        <v>366.12866662278805</v>
      </c>
      <c r="GE18" s="59">
        <f ca="1">AVERAGE(OFFSET($GD$3,0,0,'Données projet'!$E$17+1,1))-AVERAGE(OFFSET($H$3,0,0,'Données projet'!$E$17+1,1))</f>
        <v>282.94722676586207</v>
      </c>
      <c r="GF18" s="59">
        <f t="shared" si="50"/>
        <v>310.63647941571298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15.25</v>
      </c>
      <c r="GU18" s="12">
        <f>IF('Données projet'!$A$270&gt;35,GU17+GT18-HC17,IF(A18&lt;'Données projet'!$A$270,$GR$205^A18,IF(A18='Données projet'!$A$270,'Données projet'!$B$270,GU17+GT18-HC17)))</f>
        <v>91.75</v>
      </c>
      <c r="GV18" s="17">
        <f>GU18*VLOOKUP('Données projet'!$B$18,Paramètres!$A$1:$I$89,3,0)*VLOOKUP('Données projet'!$B$18,Paramètres!$A$1:$I$89,5,0)</f>
        <v>54.866500000000002</v>
      </c>
      <c r="GW18" s="13">
        <f t="shared" si="51"/>
        <v>15.863680596172721</v>
      </c>
      <c r="GX18" s="20">
        <f t="shared" si="28"/>
        <v>123.18839787166746</v>
      </c>
      <c r="GY18" s="59">
        <f t="shared" si="29"/>
        <v>398.18839787166746</v>
      </c>
      <c r="GZ18" s="59">
        <f ca="1">AVERAGE(OFFSET($GY$3,0,0,'Données projet'!$E$18+1,1))-AVERAGE(OFFSET($H$3,0,0,'Données projet'!$E$18+1,1))</f>
        <v>255.54398581450459</v>
      </c>
      <c r="HA18" s="59">
        <f t="shared" si="52"/>
        <v>276.52622328061204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16.2</v>
      </c>
      <c r="N19" s="13">
        <f>IF('Données projet'!$A$36&gt;35,N18+M19-V18,IF(A19&lt;'Données projet'!$A$36,$K$205^A19,IF(A19='Données projet'!$A$36,'Données projet'!$B$36,N18+M19-V18)))</f>
        <v>89.2</v>
      </c>
      <c r="O19" s="13">
        <f>N19*VLOOKUP('Données projet'!$B$9,Paramètres!$A$1:$I$89,3,0)*VLOOKUP('Données projet'!$B$9,Paramètres!$A$1:$I$89,5,0)</f>
        <v>77.925120000000007</v>
      </c>
      <c r="P19" s="13">
        <f t="shared" si="33"/>
        <v>21.629091902424182</v>
      </c>
      <c r="Q19" s="20">
        <f t="shared" si="2"/>
        <v>173.3902523967221</v>
      </c>
      <c r="R19" s="59">
        <f t="shared" si="0"/>
        <v>449.61247461894436</v>
      </c>
      <c r="S19" s="59">
        <f ca="1">AVERAGE(OFFSET($R$3,0,0,'Données projet'!$E$9+1,1))-AVERAGE(OFFSET($H$3,0,0,'Données projet'!$E$9+1,1))</f>
        <v>248.50221719467663</v>
      </c>
      <c r="T19" s="59">
        <f t="shared" si="34"/>
        <v>366.09064580347183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28.003407487093821</v>
      </c>
      <c r="AK19" s="13">
        <f t="shared" si="35"/>
        <v>8.7560372090925433</v>
      </c>
      <c r="AL19" s="20">
        <f t="shared" si="4"/>
        <v>64.022699512524582</v>
      </c>
      <c r="AM19" s="59">
        <f t="shared" si="5"/>
        <v>340.24492173474681</v>
      </c>
      <c r="AN19" s="59">
        <f ca="1">AVERAGE(OFFSET($AM$3,0,0,'Données projet'!$E$10+1,1))-AVERAGE(OFFSET($H$3,0,0,'Données projet'!$E$10+1,1))</f>
        <v>263.22346936777603</v>
      </c>
      <c r="AO19" s="59">
        <f t="shared" si="36"/>
        <v>217.14714468707939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46.6</v>
      </c>
      <c r="BE19" s="13">
        <f>BD19*VLOOKUP('Données projet'!$B$11,Paramètres!$A$1:$I$89,3,0)*VLOOKUP('Données projet'!$B$11,Paramètres!$A$1:$I$89,5,0)</f>
        <v>36.347999999999999</v>
      </c>
      <c r="BF19" s="13">
        <f t="shared" si="37"/>
        <v>11.025356771848859</v>
      </c>
      <c r="BG19" s="20">
        <f t="shared" si="7"/>
        <v>82.508596377636763</v>
      </c>
      <c r="BH19" s="59">
        <f t="shared" si="8"/>
        <v>358.73081859985899</v>
      </c>
      <c r="BI19" s="59">
        <f ca="1">AVERAGE(OFFSET($BH$3,0,0,'Données projet'!$E$11+1,1))-AVERAGE(OFFSET($H$3,0,0,'Données projet'!$E$11+1,1))</f>
        <v>219.22204054948094</v>
      </c>
      <c r="BJ19" s="59">
        <f t="shared" si="38"/>
        <v>222.41711966122034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1.6</v>
      </c>
      <c r="BY19" s="12">
        <f>IF('Données projet'!$A$114&gt;35,BY18+BX19-CG18,IF(A19&lt;'Données projet'!$A$114,$BV$205^A19,IF(A19='Données projet'!$A$114,'Données projet'!$B$114,BY18+BX19-CG18)))</f>
        <v>7.8824639511539294</v>
      </c>
      <c r="BZ19" s="13">
        <f>BY19*VLOOKUP('Données projet'!$B$12,Paramètres!$A$1:$I$89,3,0)*VLOOKUP('Données projet'!$B$12,Paramètres!$A$1:$I$89,5,0)</f>
        <v>6.7631540700900716</v>
      </c>
      <c r="CA19" s="13">
        <f t="shared" si="39"/>
        <v>2.4950081561413313</v>
      </c>
      <c r="CB19" s="20">
        <f t="shared" si="10"/>
        <v>16.124632544019693</v>
      </c>
      <c r="CC19" s="59">
        <f t="shared" si="11"/>
        <v>292.3468547662419</v>
      </c>
      <c r="CD19" s="59">
        <f ca="1">AVERAGE(OFFSET($CC$3,0,0,'Données projet'!$E$12+1,1))-AVERAGE(OFFSET($H$3,0,0,'Données projet'!$E$12+1,1))</f>
        <v>237.27357081252273</v>
      </c>
      <c r="CE19" s="59">
        <f t="shared" si="40"/>
        <v>68.768479693848576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28.4</v>
      </c>
      <c r="CT19" s="12">
        <f>IF('Données projet'!$A$140&gt;35,CT18+CS19-DB18,IF(A19&lt;'Données projet'!$A$140,$CQ$205^A19,IF(A19='Données projet'!$A$140,'Données projet'!$B$140,CT18+CS19-DB18)))</f>
        <v>217.4</v>
      </c>
      <c r="CU19" s="17">
        <f>CT19*VLOOKUP('Données projet'!$B$13,Paramètres!$A$1:$I$89,3,0)*VLOOKUP('Données projet'!$B$13,Paramètres!$A$1:$I$89,5,0)</f>
        <v>121.5266</v>
      </c>
      <c r="CV19" s="13">
        <f t="shared" si="41"/>
        <v>32.030791291183803</v>
      </c>
      <c r="CW19" s="20">
        <f t="shared" si="13"/>
        <v>267.44578983214518</v>
      </c>
      <c r="CX19" s="59">
        <f t="shared" si="14"/>
        <v>543.66801205436741</v>
      </c>
      <c r="CY19" s="59">
        <f ca="1">AVERAGE(OFFSET($CX$3,0,0,'Données projet'!$E$13+1,1))-AVERAGE(OFFSET($H$3,0,0,'Données projet'!$E$13+1,1))</f>
        <v>474.03051418249999</v>
      </c>
      <c r="CZ19" s="59">
        <f t="shared" si="42"/>
        <v>649.52271992719091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21.333333333333332</v>
      </c>
      <c r="DO19" s="12">
        <f>IF('Données projet'!$A$166&gt;35,DO18+DN19-DW18,IF(A19&lt;'Données projet'!$A$166,$DL$205^A19,IF(A19='Données projet'!$A$166,'Données projet'!$B$166,DO18+DN19-DW18)))</f>
        <v>142.33333333333337</v>
      </c>
      <c r="DP19" s="17">
        <f>DO19*VLOOKUP('Données projet'!$B$14,Paramètres!$A$1:$I$89,3,0)*VLOOKUP('Données projet'!$B$14,Paramètres!$A$1:$I$89,5,0)</f>
        <v>77.714000000000027</v>
      </c>
      <c r="DQ19" s="13">
        <f t="shared" si="43"/>
        <v>21.577305655991772</v>
      </c>
      <c r="DR19" s="20">
        <f t="shared" si="16"/>
        <v>172.93235735085239</v>
      </c>
      <c r="DS19" s="59">
        <f t="shared" si="17"/>
        <v>449.15457957307461</v>
      </c>
      <c r="DT19" s="59">
        <f ca="1">AVERAGE(OFFSET($DS$3,0,0,'Données projet'!$E$14+1,1))-AVERAGE(OFFSET($H$3,0,0,'Données projet'!$E$14+1,1))</f>
        <v>164.0740581424559</v>
      </c>
      <c r="DU19" s="59">
        <f t="shared" si="44"/>
        <v>280.99861170359793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25.8</v>
      </c>
      <c r="EJ19" s="12">
        <f>IF('Données projet'!$A$192&gt;35,EJ18+EI19-ER18,IF(A19&lt;'Données projet'!$A$192,$EG$205^A19,IF(A19='Données projet'!$A$192,'Données projet'!$B$192,EJ18+EI19-ER18)))</f>
        <v>81.8</v>
      </c>
      <c r="EK19" s="17">
        <f>EJ19*VLOOKUP('Données projet'!$B$15,Paramètres!$A$1:$I$89,3,0)*VLOOKUP('Données projet'!$B$15,Paramètres!$A$1:$I$89,5,0)</f>
        <v>39.345799999999997</v>
      </c>
      <c r="EL19" s="13">
        <f t="shared" si="45"/>
        <v>11.825085062633269</v>
      </c>
      <c r="EM19" s="20">
        <f t="shared" si="19"/>
        <v>89.122624817419606</v>
      </c>
      <c r="EN19" s="59">
        <f t="shared" si="20"/>
        <v>365.34484703964182</v>
      </c>
      <c r="EO19" s="59">
        <f ca="1">AVERAGE(OFFSET($EN$3,0,0,'Données projet'!$E$15+1,1))-AVERAGE(OFFSET($H$3,0,0,'Données projet'!$E$15+1,1))</f>
        <v>312.1172301514103</v>
      </c>
      <c r="EP19" s="59">
        <f t="shared" si="46"/>
        <v>369.85500533493212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7.9</v>
      </c>
      <c r="FE19" s="12">
        <f>IF('Données projet'!$A$218&gt;35,FE18+FD19-FM18,IF(A19&lt;'Données projet'!$A$218,$FB$205^A19,IF(A19='Données projet'!$A$218,'Données projet'!$B$218,FE18+FD19-FM18)))</f>
        <v>57.401820934596167</v>
      </c>
      <c r="FF19" s="17">
        <f>FE19*VLOOKUP('Données projet'!$B$16,Paramètres!$A$1:$I$89,3,0)*VLOOKUP('Données projet'!$B$16,Paramètres!$A$1:$I$89,5,0)</f>
        <v>26.864052197391008</v>
      </c>
      <c r="FG19" s="13">
        <f t="shared" si="47"/>
        <v>8.4404970471001413</v>
      </c>
      <c r="FH19" s="20">
        <f t="shared" si="22"/>
        <v>61.488756600822086</v>
      </c>
      <c r="FI19" s="59">
        <f t="shared" si="23"/>
        <v>337.71097882304434</v>
      </c>
      <c r="FJ19" s="59">
        <f ca="1">AVERAGE(OFFSET($FI$3,0,0,'Données projet'!$E$16+1,1))-AVERAGE(OFFSET($H$3,0,0,'Données projet'!$E$16+1,1))</f>
        <v>87.187251664304199</v>
      </c>
      <c r="FK19" s="59">
        <f t="shared" si="48"/>
        <v>148.84938257884147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6.9411764705882355</v>
      </c>
      <c r="FZ19" s="12">
        <f>IF('Données projet'!$A$244&gt;35,FZ18+FY19-GH18,IF(A19&lt;'Données projet'!$A$244,$FW$205^A19,IF(A19='Données projet'!$A$244,'Données projet'!$B$244,FZ18+FY19-GH18)))</f>
        <v>89.126447260014572</v>
      </c>
      <c r="GA19" s="17">
        <f>FZ19*VLOOKUP('Données projet'!$B$17,Paramètres!$A$1:$I$89,3,0)*VLOOKUP('Données projet'!$B$17,Paramètres!$A$1:$I$89,5,0)</f>
        <v>53.297615461488718</v>
      </c>
      <c r="GB19" s="13">
        <f t="shared" si="49"/>
        <v>15.46219188294774</v>
      </c>
      <c r="GC19" s="20">
        <f t="shared" si="25"/>
        <v>119.75666445822681</v>
      </c>
      <c r="GD19" s="59">
        <f t="shared" si="26"/>
        <v>395.97888668044902</v>
      </c>
      <c r="GE19" s="59">
        <f ca="1">AVERAGE(OFFSET($GD$3,0,0,'Données projet'!$E$17+1,1))-AVERAGE(OFFSET($H$3,0,0,'Données projet'!$E$17+1,1))</f>
        <v>282.94722676586207</v>
      </c>
      <c r="GF19" s="59">
        <f t="shared" si="50"/>
        <v>310.63647941571298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>
        <f>VLOOKUP(A19,'Données projet'!$A$269:$I$289,2,0)</f>
        <v>107</v>
      </c>
      <c r="GS19" s="12">
        <f>VLOOKUP(A19,'Données projet'!$A$269:$I$289,9,0)</f>
        <v>15.25</v>
      </c>
      <c r="GT19" s="12">
        <f t="array" ref="GT19">INDEX(GS:GS,MIN(IF(ISNUMBER(GS19:GS215),ROW(GS19:GS215),"")))</f>
        <v>15.25</v>
      </c>
      <c r="GU19" s="12">
        <f>IF('Données projet'!$A$270&gt;35,GU18+GT19-HC18,IF(A19&lt;'Données projet'!$A$270,$GR$205^A19,IF(A19='Données projet'!$A$270,'Données projet'!$B$270,GU18+GT19-HC18)))</f>
        <v>107</v>
      </c>
      <c r="GV19" s="17">
        <f>GU19*VLOOKUP('Données projet'!$B$18,Paramètres!$A$1:$I$89,3,0)*VLOOKUP('Données projet'!$B$18,Paramètres!$A$1:$I$89,5,0)</f>
        <v>63.986000000000004</v>
      </c>
      <c r="GW19" s="13">
        <f t="shared" si="51"/>
        <v>18.172251427996663</v>
      </c>
      <c r="GX19" s="20">
        <f t="shared" si="28"/>
        <v>143.09228790376088</v>
      </c>
      <c r="GY19" s="59">
        <f t="shared" si="29"/>
        <v>419.31451012598313</v>
      </c>
      <c r="GZ19" s="59">
        <f ca="1">AVERAGE(OFFSET($GY$3,0,0,'Données projet'!$E$18+1,1))-AVERAGE(OFFSET($H$3,0,0,'Données projet'!$E$18+1,1))</f>
        <v>255.54398581450459</v>
      </c>
      <c r="HA19" s="59">
        <f t="shared" si="52"/>
        <v>276.52622328061204</v>
      </c>
      <c r="HB19" s="15">
        <f>IF(ISNA(VLOOKUP(A19,'Données projet'!$A$269:$I$289,3,0)),0,VLOOKUP(A19,'Données projet'!$A$269:$I$289,3,0))</f>
        <v>2</v>
      </c>
      <c r="HC19" s="15">
        <f>IF(ISNA(VLOOKUP(A19,'Données projet'!$A$269:$I$289,4,0)),0,VLOOKUP(A19,'Données projet'!$A$269:$I$289,4,0))</f>
        <v>25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1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16.926872848020665</v>
      </c>
      <c r="HJ19" s="22">
        <f t="shared" si="30"/>
        <v>16.926872848020665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16.2</v>
      </c>
      <c r="N20" s="13">
        <f>IF('Données projet'!$A$36&gt;35,N19+M20-V19,IF(A20&lt;'Données projet'!$A$36,$K$205^A20,IF(A20='Données projet'!$A$36,'Données projet'!$B$36,N19+M20-V19)))</f>
        <v>105.4</v>
      </c>
      <c r="O20" s="13">
        <f>N20*VLOOKUP('Données projet'!$B$9,Paramètres!$A$1:$I$89,3,0)*VLOOKUP('Données projet'!$B$9,Paramètres!$A$1:$I$89,5,0)</f>
        <v>92.07744000000001</v>
      </c>
      <c r="P20" s="13">
        <f t="shared" si="33"/>
        <v>25.065586122051112</v>
      </c>
      <c r="Q20" s="20">
        <f t="shared" si="2"/>
        <v>204.02410382923904</v>
      </c>
      <c r="R20" s="59">
        <f t="shared" si="0"/>
        <v>481.4685482736835</v>
      </c>
      <c r="S20" s="59">
        <f ca="1">AVERAGE(OFFSET($R$3,0,0,'Données projet'!$E$9+1,1))-AVERAGE(OFFSET($H$3,0,0,'Données projet'!$E$9+1,1))</f>
        <v>248.50221719467663</v>
      </c>
      <c r="T20" s="59">
        <f t="shared" si="34"/>
        <v>366.09064580347183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34.703799297332367</v>
      </c>
      <c r="AK20" s="13">
        <f t="shared" si="35"/>
        <v>10.583497277259243</v>
      </c>
      <c r="AL20" s="20">
        <f t="shared" si="4"/>
        <v>78.875374867413711</v>
      </c>
      <c r="AM20" s="59">
        <f t="shared" si="5"/>
        <v>356.31981931185817</v>
      </c>
      <c r="AN20" s="59">
        <f ca="1">AVERAGE(OFFSET($AM$3,0,0,'Données projet'!$E$10+1,1))-AVERAGE(OFFSET($H$3,0,0,'Données projet'!$E$10+1,1))</f>
        <v>263.22346936777603</v>
      </c>
      <c r="AO20" s="59">
        <f t="shared" si="36"/>
        <v>217.14714468707939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56.2</v>
      </c>
      <c r="BE20" s="13">
        <f>BD20*VLOOKUP('Données projet'!$B$11,Paramètres!$A$1:$I$89,3,0)*VLOOKUP('Données projet'!$B$11,Paramètres!$A$1:$I$89,5,0)</f>
        <v>43.836000000000006</v>
      </c>
      <c r="BF20" s="13">
        <f t="shared" si="37"/>
        <v>13.009897179721728</v>
      </c>
      <c r="BG20" s="20">
        <f t="shared" si="7"/>
        <v>99.006604254682017</v>
      </c>
      <c r="BH20" s="59">
        <f t="shared" si="8"/>
        <v>376.45104869912649</v>
      </c>
      <c r="BI20" s="59">
        <f ca="1">AVERAGE(OFFSET($BH$3,0,0,'Données projet'!$E$11+1,1))-AVERAGE(OFFSET($H$3,0,0,'Données projet'!$E$11+1,1))</f>
        <v>219.22204054948094</v>
      </c>
      <c r="BJ20" s="59">
        <f t="shared" si="38"/>
        <v>222.41711966122034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1.6</v>
      </c>
      <c r="BY20" s="12">
        <f>IF('Données projet'!$A$114&gt;35,BY19+BX20-CG19,IF(A20&lt;'Données projet'!$A$114,$BV$205^A20,IF(A20='Données projet'!$A$114,'Données projet'!$B$114,BY19+BX20-CG19)))</f>
        <v>8.9681604127496719</v>
      </c>
      <c r="BZ20" s="13">
        <f>BY20*VLOOKUP('Données projet'!$B$12,Paramètres!$A$1:$I$89,3,0)*VLOOKUP('Données projet'!$B$12,Paramètres!$A$1:$I$89,5,0)</f>
        <v>7.6946816341392195</v>
      </c>
      <c r="CA20" s="13">
        <f t="shared" si="39"/>
        <v>2.796340986268393</v>
      </c>
      <c r="CB20" s="20">
        <f t="shared" si="10"/>
        <v>18.271864397209924</v>
      </c>
      <c r="CC20" s="59">
        <f t="shared" si="11"/>
        <v>295.71630884165438</v>
      </c>
      <c r="CD20" s="59">
        <f ca="1">AVERAGE(OFFSET($CC$3,0,0,'Données projet'!$E$12+1,1))-AVERAGE(OFFSET($H$3,0,0,'Données projet'!$E$12+1,1))</f>
        <v>237.27357081252273</v>
      </c>
      <c r="CE20" s="59">
        <f t="shared" si="40"/>
        <v>68.768479693848576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28.4</v>
      </c>
      <c r="CT20" s="12">
        <f>IF('Données projet'!$A$140&gt;35,CT19+CS20-DB19,IF(A20&lt;'Données projet'!$A$140,$CQ$205^A20,IF(A20='Données projet'!$A$140,'Données projet'!$B$140,CT19+CS20-DB19)))</f>
        <v>245.8</v>
      </c>
      <c r="CU20" s="17">
        <f>CT20*VLOOKUP('Données projet'!$B$13,Paramètres!$A$1:$I$89,3,0)*VLOOKUP('Données projet'!$B$13,Paramètres!$A$1:$I$89,5,0)</f>
        <v>137.40220000000002</v>
      </c>
      <c r="CV20" s="13">
        <f t="shared" si="41"/>
        <v>35.701238817612946</v>
      </c>
      <c r="CW20" s="20">
        <f t="shared" si="13"/>
        <v>301.48848927400928</v>
      </c>
      <c r="CX20" s="59">
        <f t="shared" si="14"/>
        <v>578.9329337184538</v>
      </c>
      <c r="CY20" s="59">
        <f ca="1">AVERAGE(OFFSET($CX$3,0,0,'Données projet'!$E$13+1,1))-AVERAGE(OFFSET($H$3,0,0,'Données projet'!$E$13+1,1))</f>
        <v>474.03051418249999</v>
      </c>
      <c r="CZ20" s="59">
        <f t="shared" si="42"/>
        <v>649.52271992719091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21.333333333333332</v>
      </c>
      <c r="DO20" s="12">
        <f>IF('Données projet'!$A$166&gt;35,DO19+DN20-DW19,IF(A20&lt;'Données projet'!$A$166,$DL$205^A20,IF(A20='Données projet'!$A$166,'Données projet'!$B$166,DO19+DN20-DW19)))</f>
        <v>163.66666666666671</v>
      </c>
      <c r="DP20" s="17">
        <f>DO20*VLOOKUP('Données projet'!$B$14,Paramètres!$A$1:$I$89,3,0)*VLOOKUP('Données projet'!$B$14,Paramètres!$A$1:$I$89,5,0)</f>
        <v>89.362000000000037</v>
      </c>
      <c r="DQ20" s="13">
        <f t="shared" si="43"/>
        <v>24.411291106060958</v>
      </c>
      <c r="DR20" s="20">
        <f t="shared" si="16"/>
        <v>198.15514867638956</v>
      </c>
      <c r="DS20" s="59">
        <f t="shared" si="17"/>
        <v>475.59959312083402</v>
      </c>
      <c r="DT20" s="59">
        <f ca="1">AVERAGE(OFFSET($DS$3,0,0,'Données projet'!$E$14+1,1))-AVERAGE(OFFSET($H$3,0,0,'Données projet'!$E$14+1,1))</f>
        <v>164.0740581424559</v>
      </c>
      <c r="DU20" s="59">
        <f t="shared" si="44"/>
        <v>280.99861170359793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25.8</v>
      </c>
      <c r="EJ20" s="12">
        <f>IF('Données projet'!$A$192&gt;35,EJ19+EI20-ER19,IF(A20&lt;'Données projet'!$A$192,$EG$205^A20,IF(A20='Données projet'!$A$192,'Données projet'!$B$192,EJ19+EI20-ER19)))</f>
        <v>107.6</v>
      </c>
      <c r="EK20" s="17">
        <f>EJ20*VLOOKUP('Données projet'!$B$15,Paramètres!$A$1:$I$89,3,0)*VLOOKUP('Données projet'!$B$15,Paramètres!$A$1:$I$89,5,0)</f>
        <v>51.755600000000001</v>
      </c>
      <c r="EL20" s="13">
        <f t="shared" si="45"/>
        <v>15.066236391696064</v>
      </c>
      <c r="EM20" s="20">
        <f t="shared" si="19"/>
        <v>116.38136504887065</v>
      </c>
      <c r="EN20" s="59">
        <f t="shared" si="20"/>
        <v>393.82580949331509</v>
      </c>
      <c r="EO20" s="59">
        <f ca="1">AVERAGE(OFFSET($EN$3,0,0,'Données projet'!$E$15+1,1))-AVERAGE(OFFSET($H$3,0,0,'Données projet'!$E$15+1,1))</f>
        <v>312.1172301514103</v>
      </c>
      <c r="EP20" s="59">
        <f t="shared" si="46"/>
        <v>369.85500533493212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7.9</v>
      </c>
      <c r="FE20" s="12">
        <f>IF('Données projet'!$A$218&gt;35,FE19+FD20-FM19,IF(A20&lt;'Données projet'!$A$218,$FB$205^A20,IF(A20='Données projet'!$A$218,'Données projet'!$B$218,FE19+FD20-FM19)))</f>
        <v>73.936437994095741</v>
      </c>
      <c r="FF20" s="17">
        <f>FE20*VLOOKUP('Données projet'!$B$16,Paramètres!$A$1:$I$89,3,0)*VLOOKUP('Données projet'!$B$16,Paramètres!$A$1:$I$89,5,0)</f>
        <v>34.602252981236802</v>
      </c>
      <c r="FG20" s="13">
        <f t="shared" si="47"/>
        <v>10.556129086190376</v>
      </c>
      <c r="FH20" s="20">
        <f t="shared" si="22"/>
        <v>78.650848767435647</v>
      </c>
      <c r="FI20" s="59">
        <f t="shared" si="23"/>
        <v>356.09529321188012</v>
      </c>
      <c r="FJ20" s="59">
        <f ca="1">AVERAGE(OFFSET($FI$3,0,0,'Données projet'!$E$16+1,1))-AVERAGE(OFFSET($H$3,0,0,'Données projet'!$E$16+1,1))</f>
        <v>87.187251664304199</v>
      </c>
      <c r="FK20" s="59">
        <f t="shared" si="48"/>
        <v>148.84938257884147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>
        <f>VLOOKUP(A20,'Données projet'!$A$243:$I$263,2,0)</f>
        <v>118</v>
      </c>
      <c r="FX20" s="12">
        <f>VLOOKUP(A20,'Données projet'!$A$243:$I$263,9,0)</f>
        <v>6.9411764705882355</v>
      </c>
      <c r="FY20" s="12">
        <f t="array" ref="FY20">INDEX(FX:FX,MIN(IF(ISNUMBER(FX20:FX216),ROW(FX20:FX216),"")))</f>
        <v>6.9411764705882355</v>
      </c>
      <c r="FZ20" s="12">
        <f>IF('Données projet'!$A$244&gt;35,FZ19+FY20-GH19,IF(A20&lt;'Données projet'!$A$244,$FW$205^A20,IF(A20='Données projet'!$A$244,'Données projet'!$B$244,FZ19+FY20-GH19)))</f>
        <v>118</v>
      </c>
      <c r="GA20" s="17">
        <f>FZ20*VLOOKUP('Données projet'!$B$17,Paramètres!$A$1:$I$89,3,0)*VLOOKUP('Données projet'!$B$17,Paramètres!$A$1:$I$89,5,0)</f>
        <v>70.564000000000007</v>
      </c>
      <c r="GB20" s="13">
        <f t="shared" si="49"/>
        <v>19.813453167086163</v>
      </c>
      <c r="GC20" s="20">
        <f t="shared" si="25"/>
        <v>157.40739759934175</v>
      </c>
      <c r="GD20" s="59">
        <f t="shared" si="26"/>
        <v>434.85184204378618</v>
      </c>
      <c r="GE20" s="59">
        <f ca="1">AVERAGE(OFFSET($GD$3,0,0,'Données projet'!$E$17+1,1))-AVERAGE(OFFSET($H$3,0,0,'Données projet'!$E$17+1,1))</f>
        <v>282.94722676586207</v>
      </c>
      <c r="GF20" s="59">
        <f t="shared" si="50"/>
        <v>310.63647941571298</v>
      </c>
      <c r="GG20" s="15">
        <f>IF(ISNA(VLOOKUP(A20,'Données projet'!$A$243:$I$263,3,0)),0,VLOOKUP(A20,'Données projet'!$A$243:$I$263,3,0))</f>
        <v>1</v>
      </c>
      <c r="GH20" s="15">
        <f>IF(ISNA(VLOOKUP(A20,'Données projet'!$A$243:$I$263,4,0)),0,VLOOKUP(A20,'Données projet'!$A$243:$I$263,4,0))</f>
        <v>15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17.25</v>
      </c>
      <c r="GU20" s="12">
        <f>IF('Données projet'!$A$270&gt;35,GU19+GT20-HC19,IF(A20&lt;'Données projet'!$A$270,$GR$205^A20,IF(A20='Données projet'!$A$270,'Données projet'!$B$270,GU19+GT20-HC19)))</f>
        <v>99.25</v>
      </c>
      <c r="GV20" s="17">
        <f>GU20*VLOOKUP('Données projet'!$B$18,Paramètres!$A$1:$I$89,3,0)*VLOOKUP('Données projet'!$B$18,Paramètres!$A$1:$I$89,5,0)</f>
        <v>59.351500000000001</v>
      </c>
      <c r="GW20" s="13">
        <f t="shared" si="51"/>
        <v>17.004204309648518</v>
      </c>
      <c r="GX20" s="20">
        <f t="shared" si="28"/>
        <v>132.98618500597115</v>
      </c>
      <c r="GY20" s="59">
        <f t="shared" si="29"/>
        <v>410.43062945041561</v>
      </c>
      <c r="GZ20" s="59">
        <f ca="1">AVERAGE(OFFSET($GY$3,0,0,'Données projet'!$E$18+1,1))-AVERAGE(OFFSET($H$3,0,0,'Données projet'!$E$18+1,1))</f>
        <v>255.54398581450459</v>
      </c>
      <c r="HA20" s="59">
        <f t="shared" si="52"/>
        <v>276.52622328061204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11.969106575117861</v>
      </c>
      <c r="HJ20" s="22">
        <f t="shared" si="30"/>
        <v>11.969106575117861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16.2</v>
      </c>
      <c r="N21" s="13">
        <f>IF('Données projet'!$A$36&gt;35,N20+M21-V20,IF(A21&lt;'Données projet'!$A$36,$K$205^A21,IF(A21='Données projet'!$A$36,'Données projet'!$B$36,N20+M21-V20)))</f>
        <v>121.60000000000001</v>
      </c>
      <c r="O21" s="13">
        <f>N21*VLOOKUP('Données projet'!$B$9,Paramètres!$A$1:$I$89,3,0)*VLOOKUP('Données projet'!$B$9,Paramètres!$A$1:$I$89,5,0)</f>
        <v>106.22976000000003</v>
      </c>
      <c r="P21" s="13">
        <f t="shared" si="33"/>
        <v>28.440891625171492</v>
      </c>
      <c r="Q21" s="20">
        <f t="shared" si="2"/>
        <v>234.55138491384039</v>
      </c>
      <c r="R21" s="59">
        <f t="shared" si="0"/>
        <v>513.21805158050711</v>
      </c>
      <c r="S21" s="59">
        <f ca="1">AVERAGE(OFFSET($R$3,0,0,'Données projet'!$E$9+1,1))-AVERAGE(OFFSET($H$3,0,0,'Données projet'!$E$9+1,1))</f>
        <v>248.50221719467663</v>
      </c>
      <c r="T21" s="59">
        <f t="shared" si="34"/>
        <v>366.09064580347183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43.007397804163212</v>
      </c>
      <c r="AK21" s="13">
        <f t="shared" si="35"/>
        <v>12.792363936215189</v>
      </c>
      <c r="AL21" s="20">
        <f t="shared" si="4"/>
        <v>97.184585031159045</v>
      </c>
      <c r="AM21" s="59">
        <f t="shared" si="5"/>
        <v>375.85125169782572</v>
      </c>
      <c r="AN21" s="59">
        <f ca="1">AVERAGE(OFFSET($AM$3,0,0,'Données projet'!$E$10+1,1))-AVERAGE(OFFSET($H$3,0,0,'Données projet'!$E$10+1,1))</f>
        <v>263.22346936777603</v>
      </c>
      <c r="AO21" s="59">
        <f t="shared" si="36"/>
        <v>217.14714468707939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65.8</v>
      </c>
      <c r="BE21" s="13">
        <f>BD21*VLOOKUP('Données projet'!$B$11,Paramètres!$A$1:$I$89,3,0)*VLOOKUP('Données projet'!$B$11,Paramètres!$A$1:$I$89,5,0)</f>
        <v>51.323999999999998</v>
      </c>
      <c r="BF21" s="13">
        <f t="shared" si="37"/>
        <v>14.95516659950003</v>
      </c>
      <c r="BG21" s="20">
        <f t="shared" si="7"/>
        <v>115.43621516079588</v>
      </c>
      <c r="BH21" s="59">
        <f t="shared" si="8"/>
        <v>394.10288182746257</v>
      </c>
      <c r="BI21" s="59">
        <f ca="1">AVERAGE(OFFSET($BH$3,0,0,'Données projet'!$E$11+1,1))-AVERAGE(OFFSET($H$3,0,0,'Données projet'!$E$11+1,1))</f>
        <v>219.22204054948094</v>
      </c>
      <c r="BJ21" s="59">
        <f t="shared" si="38"/>
        <v>222.41711966122034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1.6</v>
      </c>
      <c r="BY21" s="12">
        <f>IF('Données projet'!$A$114&gt;35,BY20+BX21-CG20,IF(A21&lt;'Données projet'!$A$114,$BV$205^A21,IF(A21='Données projet'!$A$114,'Données projet'!$B$114,BY20+BX21-CG20)))</f>
        <v>10.203396005006326</v>
      </c>
      <c r="BZ21" s="13">
        <f>BY21*VLOOKUP('Données projet'!$B$12,Paramètres!$A$1:$I$89,3,0)*VLOOKUP('Données projet'!$B$12,Paramètres!$A$1:$I$89,5,0)</f>
        <v>8.7545137722954287</v>
      </c>
      <c r="CA21" s="13">
        <f t="shared" si="39"/>
        <v>3.134067073984165</v>
      </c>
      <c r="CB21" s="20">
        <f t="shared" si="10"/>
        <v>20.705944973936958</v>
      </c>
      <c r="CC21" s="59">
        <f t="shared" si="11"/>
        <v>299.37261164060362</v>
      </c>
      <c r="CD21" s="59">
        <f ca="1">AVERAGE(OFFSET($CC$3,0,0,'Données projet'!$E$12+1,1))-AVERAGE(OFFSET($H$3,0,0,'Données projet'!$E$12+1,1))</f>
        <v>237.27357081252273</v>
      </c>
      <c r="CE21" s="59">
        <f t="shared" si="40"/>
        <v>68.768479693848576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28.4</v>
      </c>
      <c r="CT21" s="12">
        <f>IF('Données projet'!$A$140&gt;35,CT20+CS21-DB20,IF(A21&lt;'Données projet'!$A$140,$CQ$205^A21,IF(A21='Données projet'!$A$140,'Données projet'!$B$140,CT20+CS21-DB20)))</f>
        <v>274.2</v>
      </c>
      <c r="CU21" s="17">
        <f>CT21*VLOOKUP('Données projet'!$B$13,Paramètres!$A$1:$I$89,3,0)*VLOOKUP('Données projet'!$B$13,Paramètres!$A$1:$I$89,5,0)</f>
        <v>153.27779999999998</v>
      </c>
      <c r="CV21" s="13">
        <f t="shared" si="41"/>
        <v>39.32253770530393</v>
      </c>
      <c r="CW21" s="20">
        <f t="shared" si="13"/>
        <v>335.44558817007095</v>
      </c>
      <c r="CX21" s="59">
        <f t="shared" si="14"/>
        <v>614.11225483673763</v>
      </c>
      <c r="CY21" s="59">
        <f ca="1">AVERAGE(OFFSET($CX$3,0,0,'Données projet'!$E$13+1,1))-AVERAGE(OFFSET($H$3,0,0,'Données projet'!$E$13+1,1))</f>
        <v>474.03051418249999</v>
      </c>
      <c r="CZ21" s="59">
        <f t="shared" si="42"/>
        <v>649.52271992719091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>
        <f>VLOOKUP(A21,'Données projet'!$A$165:$I$185,2,0)</f>
        <v>185</v>
      </c>
      <c r="DM21" s="12">
        <f>VLOOKUP(A21,'Données projet'!$A$165:$I$185,9,0)</f>
        <v>21.333333333333332</v>
      </c>
      <c r="DN21" s="12">
        <f t="array" ref="DN21">INDEX(DM:DM,MIN(IF(ISNUMBER(DM21:DM217),ROW(DM21:DM217),"")))</f>
        <v>21.333333333333332</v>
      </c>
      <c r="DO21" s="12">
        <f>IF('Données projet'!$A$166&gt;35,DO20+DN21-DW20,IF(A21&lt;'Données projet'!$A$166,$DL$205^A21,IF(A21='Données projet'!$A$166,'Données projet'!$B$166,DO20+DN21-DW20)))</f>
        <v>185.00000000000006</v>
      </c>
      <c r="DP21" s="17">
        <f>DO21*VLOOKUP('Données projet'!$B$14,Paramètres!$A$1:$I$89,3,0)*VLOOKUP('Données projet'!$B$14,Paramètres!$A$1:$I$89,5,0)</f>
        <v>101.01000000000002</v>
      </c>
      <c r="DQ21" s="13">
        <f t="shared" si="43"/>
        <v>27.202475209169602</v>
      </c>
      <c r="DR21" s="20">
        <f t="shared" si="16"/>
        <v>223.30339432263705</v>
      </c>
      <c r="DS21" s="59">
        <f t="shared" si="17"/>
        <v>501.97006098930376</v>
      </c>
      <c r="DT21" s="59">
        <f ca="1">AVERAGE(OFFSET($DS$3,0,0,'Données projet'!$E$14+1,1))-AVERAGE(OFFSET($H$3,0,0,'Données projet'!$E$14+1,1))</f>
        <v>164.0740581424559</v>
      </c>
      <c r="DU21" s="59">
        <f t="shared" si="44"/>
        <v>280.99861170359793</v>
      </c>
      <c r="DV21" s="15">
        <f>IF(ISNA(VLOOKUP(A21,'Données projet'!$A$165:$I$185,3,0)),0,VLOOKUP(A21,'Données projet'!$A$165:$I$185,3,0))</f>
        <v>3</v>
      </c>
      <c r="DW21" s="15">
        <f>IF(ISNA(VLOOKUP(A21,'Données projet'!$A$165:$I$185,4,0)),0,VLOOKUP(A21,'Données projet'!$A$165:$I$185,4,0))</f>
        <v>61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1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37.710128901416475</v>
      </c>
      <c r="ED21" s="22">
        <f t="shared" si="18"/>
        <v>37.710128901416475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25.8</v>
      </c>
      <c r="EJ21" s="12">
        <f>IF('Données projet'!$A$192&gt;35,EJ20+EI21-ER20,IF(A21&lt;'Données projet'!$A$192,$EG$205^A21,IF(A21='Données projet'!$A$192,'Données projet'!$B$192,EJ20+EI21-ER20)))</f>
        <v>133.4</v>
      </c>
      <c r="EK21" s="17">
        <f>EJ21*VLOOKUP('Données projet'!$B$15,Paramètres!$A$1:$I$89,3,0)*VLOOKUP('Données projet'!$B$15,Paramètres!$A$1:$I$89,5,0)</f>
        <v>64.165400000000005</v>
      </c>
      <c r="EL21" s="13">
        <f t="shared" si="45"/>
        <v>18.217263719442521</v>
      </c>
      <c r="EM21" s="20">
        <f t="shared" si="19"/>
        <v>143.48313931136238</v>
      </c>
      <c r="EN21" s="59">
        <f t="shared" si="20"/>
        <v>422.14980597802906</v>
      </c>
      <c r="EO21" s="59">
        <f ca="1">AVERAGE(OFFSET($EN$3,0,0,'Données projet'!$E$15+1,1))-AVERAGE(OFFSET($H$3,0,0,'Données projet'!$E$15+1,1))</f>
        <v>312.1172301514103</v>
      </c>
      <c r="EP21" s="59">
        <f t="shared" si="46"/>
        <v>369.85500533493212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7.9</v>
      </c>
      <c r="FE21" s="12">
        <f>IF('Données projet'!$A$218&gt;35,FE20+FD21-FM20,IF(A21&lt;'Données projet'!$A$218,$FB$205^A21,IF(A21='Données projet'!$A$218,'Données projet'!$B$218,FE20+FD21-FM20)))</f>
        <v>95.233857990035276</v>
      </c>
      <c r="FF21" s="17">
        <f>FE21*VLOOKUP('Données projet'!$B$16,Paramètres!$A$1:$I$89,3,0)*VLOOKUP('Données projet'!$B$16,Paramètres!$A$1:$I$89,5,0)</f>
        <v>44.569445539336513</v>
      </c>
      <c r="FG21" s="13">
        <f t="shared" si="47"/>
        <v>13.202049673437019</v>
      </c>
      <c r="FH21" s="20">
        <f t="shared" si="22"/>
        <v>100.61868749558056</v>
      </c>
      <c r="FI21" s="59">
        <f t="shared" si="23"/>
        <v>379.28535416224724</v>
      </c>
      <c r="FJ21" s="59">
        <f ca="1">AVERAGE(OFFSET($FI$3,0,0,'Données projet'!$E$16+1,1))-AVERAGE(OFFSET($H$3,0,0,'Données projet'!$E$16+1,1))</f>
        <v>87.187251664304199</v>
      </c>
      <c r="FK21" s="59">
        <f t="shared" si="48"/>
        <v>148.84938257884147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11.333333333333334</v>
      </c>
      <c r="FZ21" s="12">
        <f>IF('Données projet'!$A$244&gt;35,FZ20+FY21-GH20,IF(A21&lt;'Données projet'!$A$244,$FW$205^A21,IF(A21='Données projet'!$A$244,'Données projet'!$B$244,FZ20+FY21-GH20)))</f>
        <v>114.33333333333334</v>
      </c>
      <c r="GA21" s="17">
        <f>FZ21*VLOOKUP('Données projet'!$B$17,Paramètres!$A$1:$I$89,3,0)*VLOOKUP('Données projet'!$B$17,Paramètres!$A$1:$I$89,5,0)</f>
        <v>68.37133333333334</v>
      </c>
      <c r="GB21" s="13">
        <f t="shared" si="49"/>
        <v>19.268449754335993</v>
      </c>
      <c r="GC21" s="20">
        <f t="shared" si="25"/>
        <v>152.63928887769075</v>
      </c>
      <c r="GD21" s="59">
        <f t="shared" si="26"/>
        <v>431.3059555443574</v>
      </c>
      <c r="GE21" s="59">
        <f ca="1">AVERAGE(OFFSET($GD$3,0,0,'Données projet'!$E$17+1,1))-AVERAGE(OFFSET($H$3,0,0,'Données projet'!$E$17+1,1))</f>
        <v>282.94722676586207</v>
      </c>
      <c r="GF21" s="59">
        <f t="shared" si="50"/>
        <v>310.63647941571298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17.25</v>
      </c>
      <c r="GU21" s="12">
        <f>IF('Données projet'!$A$270&gt;35,GU20+GT21-HC20,IF(A21&lt;'Données projet'!$A$270,$GR$205^A21,IF(A21='Données projet'!$A$270,'Données projet'!$B$270,GU20+GT21-HC20)))</f>
        <v>116.5</v>
      </c>
      <c r="GV21" s="17">
        <f>GU21*VLOOKUP('Données projet'!$B$18,Paramètres!$A$1:$I$89,3,0)*VLOOKUP('Données projet'!$B$18,Paramètres!$A$1:$I$89,5,0)</f>
        <v>69.667000000000002</v>
      </c>
      <c r="GW21" s="13">
        <f t="shared" si="51"/>
        <v>19.590738998763356</v>
      </c>
      <c r="GX21" s="20">
        <f t="shared" si="28"/>
        <v>155.45722875617952</v>
      </c>
      <c r="GY21" s="59">
        <f t="shared" si="29"/>
        <v>434.1238954228462</v>
      </c>
      <c r="GZ21" s="59">
        <f ca="1">AVERAGE(OFFSET($GY$3,0,0,'Données projet'!$E$18+1,1))-AVERAGE(OFFSET($H$3,0,0,'Données projet'!$E$18+1,1))</f>
        <v>255.54398581450459</v>
      </c>
      <c r="HA21" s="59">
        <f t="shared" si="52"/>
        <v>276.52622328061204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8.4634364240103324</v>
      </c>
      <c r="HJ21" s="22">
        <f t="shared" si="30"/>
        <v>8.4634364240103324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16.2</v>
      </c>
      <c r="N22" s="13">
        <f>IF('Données projet'!$A$36&gt;35,N21+M22-V21,IF(A22&lt;'Données projet'!$A$36,$K$205^A22,IF(A22='Données projet'!$A$36,'Données projet'!$B$36,N21+M22-V21)))</f>
        <v>137.80000000000001</v>
      </c>
      <c r="O22" s="13">
        <f>N22*VLOOKUP('Données projet'!$B$9,Paramètres!$A$1:$I$89,3,0)*VLOOKUP('Données projet'!$B$9,Paramètres!$A$1:$I$89,5,0)</f>
        <v>120.38208000000003</v>
      </c>
      <c r="P22" s="13">
        <f t="shared" si="33"/>
        <v>31.76409668560358</v>
      </c>
      <c r="Q22" s="20">
        <f t="shared" si="2"/>
        <v>264.98792439409294</v>
      </c>
      <c r="R22" s="59">
        <f t="shared" si="0"/>
        <v>544.87681328298186</v>
      </c>
      <c r="S22" s="59">
        <f ca="1">AVERAGE(OFFSET($R$3,0,0,'Données projet'!$E$9+1,1))-AVERAGE(OFFSET($H$3,0,0,'Données projet'!$E$9+1,1))</f>
        <v>248.50221719467663</v>
      </c>
      <c r="T22" s="59">
        <f t="shared" si="34"/>
        <v>366.09064580347183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53.297803218557732</v>
      </c>
      <c r="AK22" s="13">
        <f t="shared" si="35"/>
        <v>15.462240012873817</v>
      </c>
      <c r="AL22" s="20">
        <f t="shared" si="4"/>
        <v>119.75707529474329</v>
      </c>
      <c r="AM22" s="59">
        <f t="shared" si="5"/>
        <v>399.64596418363215</v>
      </c>
      <c r="AN22" s="59">
        <f ca="1">AVERAGE(OFFSET($AM$3,0,0,'Données projet'!$E$10+1,1))-AVERAGE(OFFSET($H$3,0,0,'Données projet'!$E$10+1,1))</f>
        <v>263.22346936777603</v>
      </c>
      <c r="AO22" s="59">
        <f t="shared" si="36"/>
        <v>217.14714468707939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75.399999999999991</v>
      </c>
      <c r="BE22" s="13">
        <f>BD22*VLOOKUP('Données projet'!$B$11,Paramètres!$A$1:$I$89,3,0)*VLOOKUP('Données projet'!$B$11,Paramètres!$A$1:$I$89,5,0)</f>
        <v>58.811999999999998</v>
      </c>
      <c r="BF22" s="13">
        <f t="shared" si="37"/>
        <v>16.86755663452599</v>
      </c>
      <c r="BG22" s="20">
        <f t="shared" si="7"/>
        <v>131.8085611384661</v>
      </c>
      <c r="BH22" s="59">
        <f t="shared" si="8"/>
        <v>411.69745002735499</v>
      </c>
      <c r="BI22" s="59">
        <f ca="1">AVERAGE(OFFSET($BH$3,0,0,'Données projet'!$E$11+1,1))-AVERAGE(OFFSET($H$3,0,0,'Données projet'!$E$11+1,1))</f>
        <v>219.22204054948094</v>
      </c>
      <c r="BJ22" s="59">
        <f t="shared" si="38"/>
        <v>222.41711966122034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1.6</v>
      </c>
      <c r="BY22" s="12">
        <f>IF('Données projet'!$A$114&gt;35,BY21+BX22-CG21,IF(A22&lt;'Données projet'!$A$114,$BV$205^A22,IF(A22='Données projet'!$A$114,'Données projet'!$B$114,BY21+BX22-CG21)))</f>
        <v>11.608767600429074</v>
      </c>
      <c r="BZ22" s="13">
        <f>BY22*VLOOKUP('Données projet'!$B$12,Paramètres!$A$1:$I$89,3,0)*VLOOKUP('Données projet'!$B$12,Paramètres!$A$1:$I$89,5,0)</f>
        <v>9.9603226011681461</v>
      </c>
      <c r="CA22" s="13">
        <f t="shared" si="39"/>
        <v>3.5125817890110889</v>
      </c>
      <c r="CB22" s="20">
        <f t="shared" si="10"/>
        <v>23.465308479562164</v>
      </c>
      <c r="CC22" s="59">
        <f t="shared" si="11"/>
        <v>303.35419736845103</v>
      </c>
      <c r="CD22" s="59">
        <f ca="1">AVERAGE(OFFSET($CC$3,0,0,'Données projet'!$E$12+1,1))-AVERAGE(OFFSET($H$3,0,0,'Données projet'!$E$12+1,1))</f>
        <v>237.27357081252273</v>
      </c>
      <c r="CE22" s="59">
        <f t="shared" si="40"/>
        <v>68.768479693848576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28.4</v>
      </c>
      <c r="CT22" s="12">
        <f>IF('Données projet'!$A$140&gt;35,CT21+CS22-DB21,IF(A22&lt;'Données projet'!$A$140,$CQ$205^A22,IF(A22='Données projet'!$A$140,'Données projet'!$B$140,CT21+CS22-DB21)))</f>
        <v>302.59999999999997</v>
      </c>
      <c r="CU22" s="17">
        <f>CT22*VLOOKUP('Données projet'!$B$13,Paramètres!$A$1:$I$89,3,0)*VLOOKUP('Données projet'!$B$13,Paramètres!$A$1:$I$89,5,0)</f>
        <v>169.1534</v>
      </c>
      <c r="CV22" s="13">
        <f t="shared" si="41"/>
        <v>42.900358290021551</v>
      </c>
      <c r="CW22" s="20">
        <f t="shared" si="13"/>
        <v>369.32696235512088</v>
      </c>
      <c r="CX22" s="59">
        <f t="shared" si="14"/>
        <v>649.21585124400974</v>
      </c>
      <c r="CY22" s="59">
        <f ca="1">AVERAGE(OFFSET($CX$3,0,0,'Données projet'!$E$13+1,1))-AVERAGE(OFFSET($H$3,0,0,'Données projet'!$E$13+1,1))</f>
        <v>474.03051418249999</v>
      </c>
      <c r="CZ22" s="59">
        <f t="shared" si="42"/>
        <v>649.52271992719091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19.166666666666668</v>
      </c>
      <c r="DO22" s="12">
        <f>IF('Données projet'!$A$166&gt;35,DO21+DN22-DW21,IF(A22&lt;'Données projet'!$A$166,$DL$205^A22,IF(A22='Données projet'!$A$166,'Données projet'!$B$166,DO21+DN22-DW21)))</f>
        <v>143.16666666666671</v>
      </c>
      <c r="DP22" s="17">
        <f>DO22*VLOOKUP('Données projet'!$B$14,Paramètres!$A$1:$I$89,3,0)*VLOOKUP('Données projet'!$B$14,Paramètres!$A$1:$I$89,5,0)</f>
        <v>78.169000000000025</v>
      </c>
      <c r="DQ22" s="13">
        <f t="shared" si="43"/>
        <v>21.688893622970639</v>
      </c>
      <c r="DR22" s="20">
        <f t="shared" si="16"/>
        <v>173.9191647266739</v>
      </c>
      <c r="DS22" s="59">
        <f t="shared" si="17"/>
        <v>453.80805361556276</v>
      </c>
      <c r="DT22" s="59">
        <f ca="1">AVERAGE(OFFSET($DS$3,0,0,'Données projet'!$E$14+1,1))-AVERAGE(OFFSET($H$3,0,0,'Données projet'!$E$14+1,1))</f>
        <v>164.0740581424559</v>
      </c>
      <c r="DU22" s="59">
        <f t="shared" si="44"/>
        <v>280.99861170359793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26.665087865610403</v>
      </c>
      <c r="ED22" s="22">
        <f t="shared" si="18"/>
        <v>26.665087865610403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25.8</v>
      </c>
      <c r="EJ22" s="12">
        <f>IF('Données projet'!$A$192&gt;35,EJ21+EI22-ER21,IF(A22&lt;'Données projet'!$A$192,$EG$205^A22,IF(A22='Données projet'!$A$192,'Données projet'!$B$192,EJ21+EI22-ER21)))</f>
        <v>159.20000000000002</v>
      </c>
      <c r="EK22" s="17">
        <f>EJ22*VLOOKUP('Données projet'!$B$15,Paramètres!$A$1:$I$89,3,0)*VLOOKUP('Données projet'!$B$15,Paramètres!$A$1:$I$89,5,0)</f>
        <v>76.575200000000009</v>
      </c>
      <c r="EL22" s="13">
        <f t="shared" si="45"/>
        <v>21.297682341612077</v>
      </c>
      <c r="EM22" s="20">
        <f t="shared" si="19"/>
        <v>170.46193674497437</v>
      </c>
      <c r="EN22" s="59">
        <f t="shared" si="20"/>
        <v>450.35082563386322</v>
      </c>
      <c r="EO22" s="59">
        <f ca="1">AVERAGE(OFFSET($EN$3,0,0,'Données projet'!$E$15+1,1))-AVERAGE(OFFSET($H$3,0,0,'Données projet'!$E$15+1,1))</f>
        <v>312.1172301514103</v>
      </c>
      <c r="EP22" s="59">
        <f t="shared" si="46"/>
        <v>369.85500533493212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7.9</v>
      </c>
      <c r="FE22" s="12">
        <f>IF('Données projet'!$A$218&gt;35,FE21+FD22-FM21,IF(A22&lt;'Données projet'!$A$218,$FB$205^A22,IF(A22='Données projet'!$A$218,'Données projet'!$B$218,FE21+FD22-FM21)))</f>
        <v>122.66600817840934</v>
      </c>
      <c r="FF22" s="17">
        <f>FE22*VLOOKUP('Données projet'!$B$16,Paramètres!$A$1:$I$89,3,0)*VLOOKUP('Données projet'!$B$16,Paramètres!$A$1:$I$89,5,0)</f>
        <v>57.407691827495569</v>
      </c>
      <c r="FG22" s="13">
        <f t="shared" si="47"/>
        <v>16.511176981334152</v>
      </c>
      <c r="FH22" s="20">
        <f t="shared" si="22"/>
        <v>128.7420298420451</v>
      </c>
      <c r="FI22" s="59">
        <f t="shared" si="23"/>
        <v>408.63091873093396</v>
      </c>
      <c r="FJ22" s="59">
        <f ca="1">AVERAGE(OFFSET($FI$3,0,0,'Données projet'!$E$16+1,1))-AVERAGE(OFFSET($H$3,0,0,'Données projet'!$E$16+1,1))</f>
        <v>87.187251664304199</v>
      </c>
      <c r="FK22" s="59">
        <f t="shared" si="48"/>
        <v>148.84938257884147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11.333333333333334</v>
      </c>
      <c r="FZ22" s="12">
        <f>IF('Données projet'!$A$244&gt;35,FZ21+FY22-GH21,IF(A22&lt;'Données projet'!$A$244,$FW$205^A22,IF(A22='Données projet'!$A$244,'Données projet'!$B$244,FZ21+FY22-GH21)))</f>
        <v>125.66666666666667</v>
      </c>
      <c r="GA22" s="17">
        <f>FZ22*VLOOKUP('Données projet'!$B$17,Paramètres!$A$1:$I$89,3,0)*VLOOKUP('Données projet'!$B$17,Paramètres!$A$1:$I$89,5,0)</f>
        <v>75.148666666666671</v>
      </c>
      <c r="GB22" s="13">
        <f t="shared" si="49"/>
        <v>20.946723857947624</v>
      </c>
      <c r="GC22" s="20">
        <f t="shared" si="25"/>
        <v>167.36613849703656</v>
      </c>
      <c r="GD22" s="59">
        <f t="shared" si="26"/>
        <v>447.25502738592542</v>
      </c>
      <c r="GE22" s="59">
        <f ca="1">AVERAGE(OFFSET($GD$3,0,0,'Données projet'!$E$17+1,1))-AVERAGE(OFFSET($H$3,0,0,'Données projet'!$E$17+1,1))</f>
        <v>282.94722676586207</v>
      </c>
      <c r="GF22" s="59">
        <f t="shared" si="50"/>
        <v>310.63647941571298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17.25</v>
      </c>
      <c r="GU22" s="12">
        <f>IF('Données projet'!$A$270&gt;35,GU21+GT22-HC21,IF(A22&lt;'Données projet'!$A$270,$GR$205^A22,IF(A22='Données projet'!$A$270,'Données projet'!$B$270,GU21+GT22-HC21)))</f>
        <v>133.75</v>
      </c>
      <c r="GV22" s="17">
        <f>GU22*VLOOKUP('Données projet'!$B$18,Paramètres!$A$1:$I$89,3,0)*VLOOKUP('Données projet'!$B$18,Paramètres!$A$1:$I$89,5,0)</f>
        <v>79.982500000000016</v>
      </c>
      <c r="GW22" s="13">
        <f t="shared" si="51"/>
        <v>22.132905233204649</v>
      </c>
      <c r="GX22" s="20">
        <f t="shared" si="28"/>
        <v>177.85099744783145</v>
      </c>
      <c r="GY22" s="59">
        <f t="shared" si="29"/>
        <v>457.7398863367203</v>
      </c>
      <c r="GZ22" s="59">
        <f ca="1">AVERAGE(OFFSET($GY$3,0,0,'Données projet'!$E$18+1,1))-AVERAGE(OFFSET($H$3,0,0,'Données projet'!$E$18+1,1))</f>
        <v>255.54398581450459</v>
      </c>
      <c r="HA22" s="59">
        <f t="shared" si="52"/>
        <v>276.52622328061204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5.9845532875589305</v>
      </c>
      <c r="HJ22" s="22">
        <f t="shared" si="30"/>
        <v>5.9845532875589305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154</v>
      </c>
      <c r="L23" s="12">
        <f>VLOOKUP(A23,'Données projet'!$A$35:$I$55,9,0)</f>
        <v>16.2</v>
      </c>
      <c r="M23" s="12">
        <f t="array" ref="M23">INDEX(L:L,MIN(IF(ISNUMBER(L23:L219),ROW(L23:L219),"")))</f>
        <v>16.2</v>
      </c>
      <c r="N23" s="13">
        <f>IF('Données projet'!$A$36&gt;35,N22+M23-V22,IF(A23&lt;'Données projet'!$A$36,$K$205^A23,IF(A23='Données projet'!$A$36,'Données projet'!$B$36,N22+M23-V22)))</f>
        <v>154</v>
      </c>
      <c r="O23" s="13">
        <f>N23*VLOOKUP('Données projet'!$B$9,Paramètres!$A$1:$I$89,3,0)*VLOOKUP('Données projet'!$B$9,Paramètres!$A$1:$I$89,5,0)</f>
        <v>134.53440000000001</v>
      </c>
      <c r="P23" s="13">
        <f t="shared" si="33"/>
        <v>35.042026165482234</v>
      </c>
      <c r="Q23" s="20">
        <f t="shared" si="2"/>
        <v>295.34560890488154</v>
      </c>
      <c r="R23" s="59">
        <f t="shared" si="0"/>
        <v>576.45672001599269</v>
      </c>
      <c r="S23" s="59">
        <f ca="1">AVERAGE(OFFSET($R$3,0,0,'Données projet'!$E$9+1,1))-AVERAGE(OFFSET($H$3,0,0,'Données projet'!$E$9+1,1))</f>
        <v>248.50221719467663</v>
      </c>
      <c r="T23" s="59">
        <f t="shared" si="34"/>
        <v>366.09064580347183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50</v>
      </c>
      <c r="W23" s="16">
        <f>IF(ISNA(VLOOKUP(A23,'Données projet'!$A$35:$I$55,5,0)),0%,VLOOKUP(A23,'Données projet'!$A$35:$I$55,5,0)*VLOOKUP('Données projet'!$B$9,Paramètres!$A$1:$I$89,7,0))</f>
        <v>4.3000000000000003E-2</v>
      </c>
      <c r="X23" s="16">
        <f>IF(ISNA(VLOOKUP(A23,'Données projet'!$A$35:$I$55,6,0)),0%,VLOOKUP(A23,'Données projet'!$A$35:$I$55,6,0)*VLOOKUP('Données projet'!$B$9,Paramètres!$A$1:$I$89,7,0))</f>
        <v>0.17200000000000001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2.0763386856539685</v>
      </c>
      <c r="AA23" s="21">
        <f>EXP(-LN(2)/25)*AA22+(1-EXP(-LN(2)/25))/(LN(2)/25)*Calculateur!V23*Calculateur!X23*VLOOKUP('Données projet'!$B$9,Paramètres!$A$1:$I$89,3,0)*0.475*44/12</f>
        <v>8.272653396405941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10.34899208205991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66.050399999999996</v>
      </c>
      <c r="AK23" s="13">
        <f t="shared" si="35"/>
        <v>18.689342126897891</v>
      </c>
      <c r="AL23" s="20">
        <f t="shared" si="4"/>
        <v>147.58838420434714</v>
      </c>
      <c r="AM23" s="59">
        <f t="shared" si="5"/>
        <v>428.69949531545831</v>
      </c>
      <c r="AN23" s="59">
        <f ca="1">AVERAGE(OFFSET($AM$3,0,0,'Données projet'!$E$10+1,1))-AVERAGE(OFFSET($H$3,0,0,'Données projet'!$E$10+1,1))</f>
        <v>263.22346936777603</v>
      </c>
      <c r="AO23" s="59">
        <f t="shared" si="36"/>
        <v>217.14714468707939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8.6000000000000007E-2</v>
      </c>
      <c r="AT23" s="16">
        <f>IF(ISNA(VLOOKUP(A23,'Données projet'!$A$61:$I$81,7,0)),0%,VLOOKUP(A23,'Données projet'!$A$61:$I$81,7,0))</f>
        <v>0.8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0.51408631820522621</v>
      </c>
      <c r="AW23" s="21">
        <f>EXP(-LN(2)/2)*AW22+(1-EXP(-LN(2)/2))/(LN(2)/2)*AQ23*AT23*VLOOKUP('Données projet'!$B$10,Paramètres!$A$1:$I$89,3,0)*0.475*44/12</f>
        <v>4.0977751312077855</v>
      </c>
      <c r="AX23" s="21">
        <f t="shared" si="6"/>
        <v>4.6118614494130119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85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84.999999999999986</v>
      </c>
      <c r="BE23" s="13">
        <f>BD23*VLOOKUP('Données projet'!$B$11,Paramètres!$A$1:$I$89,3,0)*VLOOKUP('Données projet'!$B$11,Paramètres!$A$1:$I$89,5,0)</f>
        <v>66.3</v>
      </c>
      <c r="BF23" s="13">
        <f t="shared" si="37"/>
        <v>18.751733344032118</v>
      </c>
      <c r="BG23" s="20">
        <f t="shared" si="7"/>
        <v>148.13176890752257</v>
      </c>
      <c r="BH23" s="59">
        <f t="shared" si="8"/>
        <v>429.24288001863374</v>
      </c>
      <c r="BI23" s="59">
        <f ca="1">AVERAGE(OFFSET($BH$3,0,0,'Données projet'!$E$11+1,1))-AVERAGE(OFFSET($H$3,0,0,'Données projet'!$E$11+1,1))</f>
        <v>219.22204054948094</v>
      </c>
      <c r="BJ23" s="59">
        <f t="shared" si="38"/>
        <v>222.41711966122034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8.6000000000000007E-2</v>
      </c>
      <c r="BO23" s="16">
        <f>IF(ISNA(VLOOKUP(A23,'Données projet'!$A$87:$I$107,7,0)),0%,VLOOKUP(A23,'Données projet'!$A$87:$I$107,7,0))</f>
        <v>0.8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1.8465744188406115</v>
      </c>
      <c r="BR23" s="21">
        <f>EXP(-LN(2)/2)*BR22+(1-EXP(-LN(2)/2))/(LN(2)/2)*BL23*BO23*VLOOKUP('Données projet'!$B$11,Paramètres!$A$1:$I$89,3,0)*0.475*44/12</f>
        <v>14.719019867844059</v>
      </c>
      <c r="BS23" s="22">
        <f t="shared" si="9"/>
        <v>16.565594286684671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1.6</v>
      </c>
      <c r="BY23" s="12">
        <f>IF('Données projet'!$A$114&gt;35,BY22+BX23-CG22,IF(A23&lt;'Données projet'!$A$114,$BV$205^A23,IF(A23='Données projet'!$A$114,'Données projet'!$B$114,BY22+BX23-CG22)))</f>
        <v>13.207708995578503</v>
      </c>
      <c r="BZ23" s="13">
        <f>BY23*VLOOKUP('Données projet'!$B$12,Paramètres!$A$1:$I$89,3,0)*VLOOKUP('Données projet'!$B$12,Paramètres!$A$1:$I$89,5,0)</f>
        <v>11.332214318206358</v>
      </c>
      <c r="CA23" s="13">
        <f t="shared" si="39"/>
        <v>3.9368113487141914</v>
      </c>
      <c r="CB23" s="20">
        <f t="shared" si="10"/>
        <v>26.593553036553288</v>
      </c>
      <c r="CC23" s="59">
        <f t="shared" si="11"/>
        <v>307.7046641476644</v>
      </c>
      <c r="CD23" s="59">
        <f ca="1">AVERAGE(OFFSET($CC$3,0,0,'Données projet'!$E$12+1,1))-AVERAGE(OFFSET($H$3,0,0,'Données projet'!$E$12+1,1))</f>
        <v>237.27357081252273</v>
      </c>
      <c r="CE23" s="59">
        <f t="shared" si="40"/>
        <v>68.768479693848576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331</v>
      </c>
      <c r="CR23" s="12">
        <f>VLOOKUP(A23,'Données projet'!$A$139:$I$159,9,0)</f>
        <v>28.4</v>
      </c>
      <c r="CS23" s="12">
        <f t="array" ref="CS23">INDEX(CR:CR,MIN(IF(ISNUMBER(CR23:CR219),ROW(CR23:CR219),"")))</f>
        <v>28.4</v>
      </c>
      <c r="CT23" s="12">
        <f>IF('Données projet'!$A$140&gt;35,CT22+CS23-DB22,IF(A23&lt;'Données projet'!$A$140,$CQ$205^A23,IF(A23='Données projet'!$A$140,'Données projet'!$B$140,CT22+CS23-DB22)))</f>
        <v>330.99999999999994</v>
      </c>
      <c r="CU23" s="17">
        <f>CT23*VLOOKUP('Données projet'!$B$13,Paramètres!$A$1:$I$89,3,0)*VLOOKUP('Données projet'!$B$13,Paramètres!$A$1:$I$89,5,0)</f>
        <v>185.029</v>
      </c>
      <c r="CV23" s="13">
        <f t="shared" si="41"/>
        <v>46.439245338703373</v>
      </c>
      <c r="CW23" s="20">
        <f t="shared" si="13"/>
        <v>403.14052729824169</v>
      </c>
      <c r="CX23" s="59">
        <f t="shared" si="14"/>
        <v>684.25163840935284</v>
      </c>
      <c r="CY23" s="59">
        <f ca="1">AVERAGE(OFFSET($CX$3,0,0,'Données projet'!$E$13+1,1))-AVERAGE(OFFSET($H$3,0,0,'Données projet'!$E$13+1,1))</f>
        <v>474.03051418249999</v>
      </c>
      <c r="CZ23" s="59">
        <f t="shared" si="42"/>
        <v>649.52271992719091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11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0.22000000000000003</v>
      </c>
      <c r="DE23" s="16">
        <f>IF(ISNA(VLOOKUP(A23,'Données projet'!$A$139:$I$159,7,0)),0%,VLOOKUP(A23,'Données projet'!$A$139:$I$159,7,0))</f>
        <v>0.6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1.7874840374377119</v>
      </c>
      <c r="DH23" s="21">
        <f>EXP(-LN(2)/2)*DH22+(1-EXP(-LN(2)/2))/(LN(2)/2)*DB23*DE23*VLOOKUP('Données projet'!$B$13,Paramètres!$A$1:$I$89,3,0)*0.475*44/12</f>
        <v>4.1772578384941434</v>
      </c>
      <c r="DI23" s="22">
        <f t="shared" si="15"/>
        <v>5.9647418759318551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19.166666666666668</v>
      </c>
      <c r="DO23" s="12">
        <f>IF('Données projet'!$A$166&gt;35,DO22+DN23-DW22,IF(A23&lt;'Données projet'!$A$166,$DL$205^A23,IF(A23='Données projet'!$A$166,'Données projet'!$B$166,DO22+DN23-DW22)))</f>
        <v>162.33333333333337</v>
      </c>
      <c r="DP23" s="17">
        <f>DO23*VLOOKUP('Données projet'!$B$14,Paramètres!$A$1:$I$89,3,0)*VLOOKUP('Données projet'!$B$14,Paramètres!$A$1:$I$89,5,0)</f>
        <v>88.634000000000015</v>
      </c>
      <c r="DQ23" s="13">
        <f t="shared" si="43"/>
        <v>24.235486014796273</v>
      </c>
      <c r="DR23" s="20">
        <f t="shared" si="16"/>
        <v>196.58102147577017</v>
      </c>
      <c r="DS23" s="59">
        <f t="shared" si="17"/>
        <v>477.69213258688131</v>
      </c>
      <c r="DT23" s="59">
        <f ca="1">AVERAGE(OFFSET($DS$3,0,0,'Données projet'!$E$14+1,1))-AVERAGE(OFFSET($H$3,0,0,'Données projet'!$E$14+1,1))</f>
        <v>164.0740581424559</v>
      </c>
      <c r="DU23" s="59">
        <f t="shared" si="44"/>
        <v>280.99861170359793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18.855064450708241</v>
      </c>
      <c r="ED23" s="22">
        <f t="shared" si="18"/>
        <v>18.855064450708241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185</v>
      </c>
      <c r="EH23" s="12">
        <f>VLOOKUP(A23,'Données projet'!$A$191:$I$211,9,0)</f>
        <v>25.8</v>
      </c>
      <c r="EI23" s="12">
        <f t="array" ref="EI23">INDEX(EH:EH,MIN(IF(ISNUMBER(EH23:EH219),ROW(EH23:EH219),"")))</f>
        <v>25.8</v>
      </c>
      <c r="EJ23" s="12">
        <f>IF('Données projet'!$A$192&gt;35,EJ22+EI23-ER22,IF(A23&lt;'Données projet'!$A$192,$EG$205^A23,IF(A23='Données projet'!$A$192,'Données projet'!$B$192,EJ22+EI23-ER22)))</f>
        <v>185.00000000000003</v>
      </c>
      <c r="EK23" s="17">
        <f>EJ23*VLOOKUP('Données projet'!$B$15,Paramètres!$A$1:$I$89,3,0)*VLOOKUP('Données projet'!$B$15,Paramètres!$A$1:$I$89,5,0)</f>
        <v>88.985000000000014</v>
      </c>
      <c r="EL23" s="13">
        <f t="shared" si="45"/>
        <v>24.320270082348873</v>
      </c>
      <c r="EM23" s="20">
        <f t="shared" si="19"/>
        <v>197.34001206009097</v>
      </c>
      <c r="EN23" s="59">
        <f t="shared" si="20"/>
        <v>478.45112317120208</v>
      </c>
      <c r="EO23" s="59">
        <f ca="1">AVERAGE(OFFSET($EN$3,0,0,'Données projet'!$E$15+1,1))-AVERAGE(OFFSET($H$3,0,0,'Données projet'!$E$15+1,1))</f>
        <v>312.1172301514103</v>
      </c>
      <c r="EP23" s="59">
        <f t="shared" si="46"/>
        <v>369.85500533493212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43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0.11000000000000001</v>
      </c>
      <c r="EU23" s="16">
        <f>IF(ISNA(VLOOKUP(A23,'Données projet'!$A$191:$I$211,7,0)),0%,VLOOKUP(A23,'Données projet'!$A$191:$I$211,7,0))</f>
        <v>0.8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3.006223153872515</v>
      </c>
      <c r="EX23" s="21">
        <f>EXP(-LN(2)/2)*EX22+(1-EXP(-LN(2)/2))/(LN(2)/2)*ER23*EU23*VLOOKUP('Données projet'!$B$15,Paramètres!$A$1:$I$89,3,0)*0.475*44/12</f>
        <v>18.734368487791915</v>
      </c>
      <c r="EY23" s="22">
        <f t="shared" si="21"/>
        <v>21.74059164166443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158</v>
      </c>
      <c r="FC23" s="12">
        <f>VLOOKUP(A23,'Données projet'!$A$217:$I$237,9,0)</f>
        <v>7.9</v>
      </c>
      <c r="FD23" s="12">
        <f t="array" ref="FD23">INDEX(FC:FC,MIN(IF(ISNUMBER(FC23:FC219),ROW(FC23:FC219),"")))</f>
        <v>7.9</v>
      </c>
      <c r="FE23" s="12">
        <f>IF('Données projet'!$A$218&gt;35,FE22+FD23-FM22,IF(A23&lt;'Données projet'!$A$218,$FB$205^A23,IF(A23='Données projet'!$A$218,'Données projet'!$B$218,FE22+FD23-FM22)))</f>
        <v>158</v>
      </c>
      <c r="FF23" s="17">
        <f>FE23*VLOOKUP('Données projet'!$B$16,Paramètres!$A$1:$I$89,3,0)*VLOOKUP('Données projet'!$B$16,Paramètres!$A$1:$I$89,5,0)</f>
        <v>73.944000000000003</v>
      </c>
      <c r="FG23" s="13">
        <f t="shared" si="47"/>
        <v>20.649745460165708</v>
      </c>
      <c r="FH23" s="20">
        <f t="shared" si="22"/>
        <v>164.75077334312192</v>
      </c>
      <c r="FI23" s="59">
        <f t="shared" si="23"/>
        <v>445.86188445423306</v>
      </c>
      <c r="FJ23" s="59">
        <f ca="1">AVERAGE(OFFSET($FI$3,0,0,'Données projet'!$E$16+1,1))-AVERAGE(OFFSET($H$3,0,0,'Données projet'!$E$16+1,1))</f>
        <v>87.187251664304199</v>
      </c>
      <c r="FK23" s="59">
        <f t="shared" si="48"/>
        <v>148.84938257884147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0.11000000000000001</v>
      </c>
      <c r="FP23" s="16">
        <f>IF(ISNA(VLOOKUP(A23,'Données projet'!$A$217:$I$237,7,0)),0%,VLOOKUP(A23,'Données projet'!$A$217:$I$237,7,0))</f>
        <v>0.8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2.3807926925703136</v>
      </c>
      <c r="FS23" s="21">
        <f>EXP(-LN(2)/2)*FS22+(1-EXP(-LN(2)/2))/(LN(2)/2)*FM23*FP23*VLOOKUP('Données projet'!$B$16,Paramètres!$A$1:$I$89,3,0)*0.475*44/12</f>
        <v>14.836772026786809</v>
      </c>
      <c r="FT23" s="22">
        <f t="shared" si="24"/>
        <v>17.217564719357121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137</v>
      </c>
      <c r="FX23" s="12">
        <f>VLOOKUP(A23,'Données projet'!$A$243:$I$263,9,0)</f>
        <v>11.333333333333334</v>
      </c>
      <c r="FY23" s="12">
        <f t="array" ref="FY23">INDEX(FX:FX,MIN(IF(ISNUMBER(FX23:FX219),ROW(FX23:FX219),"")))</f>
        <v>11.333333333333334</v>
      </c>
      <c r="FZ23" s="12">
        <f>IF('Données projet'!$A$244&gt;35,FZ22+FY23-GH22,IF(A23&lt;'Données projet'!$A$244,$FW$205^A23,IF(A23='Données projet'!$A$244,'Données projet'!$B$244,FZ22+FY23-GH22)))</f>
        <v>137</v>
      </c>
      <c r="GA23" s="17">
        <f>FZ23*VLOOKUP('Données projet'!$B$17,Paramètres!$A$1:$I$89,3,0)*VLOOKUP('Données projet'!$B$17,Paramètres!$A$1:$I$89,5,0)</f>
        <v>81.926000000000002</v>
      </c>
      <c r="GB23" s="13">
        <f t="shared" si="49"/>
        <v>22.607447146245146</v>
      </c>
      <c r="GC23" s="20">
        <f t="shared" si="25"/>
        <v>182.06242044637693</v>
      </c>
      <c r="GD23" s="59">
        <f t="shared" si="26"/>
        <v>463.1735315574881</v>
      </c>
      <c r="GE23" s="59">
        <f ca="1">AVERAGE(OFFSET($GD$3,0,0,'Données projet'!$E$17+1,1))-AVERAGE(OFFSET($H$3,0,0,'Données projet'!$E$17+1,1))</f>
        <v>282.94722676586207</v>
      </c>
      <c r="GF23" s="59">
        <f t="shared" si="50"/>
        <v>310.63647941571298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15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9.0000000000000011E-2</v>
      </c>
      <c r="GK23" s="16">
        <f>IF(ISNA(VLOOKUP(A23,'Données projet'!$A$243:$I$263,7,0)),0%,VLOOKUP(A23,'Données projet'!$A$243:$I$263,7,0))</f>
        <v>0.8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1.0667188038139717</v>
      </c>
      <c r="GN23" s="21">
        <f>EXP(-LN(2)/2)*GN22+(1-EXP(-LN(2)/2))/(LN(2)/2)*GH23*GK23*VLOOKUP('Données projet'!$B$17,Paramètres!$A$1:$I$89,3,0)*0.475*44/12</f>
        <v>8.124898967049921</v>
      </c>
      <c r="GO23" s="21">
        <f t="shared" si="27"/>
        <v>9.1916177708638926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151</v>
      </c>
      <c r="GS23" s="12">
        <f>VLOOKUP(A23,'Données projet'!$A$269:$I$289,9,0)</f>
        <v>17.25</v>
      </c>
      <c r="GT23" s="12">
        <f t="array" ref="GT23">INDEX(GS:GS,MIN(IF(ISNUMBER(GS23:GS219),ROW(GS23:GS219),"")))</f>
        <v>17.25</v>
      </c>
      <c r="GU23" s="12">
        <f>IF('Données projet'!$A$270&gt;35,GU22+GT23-HC22,IF(A23&lt;'Données projet'!$A$270,$GR$205^A23,IF(A23='Données projet'!$A$270,'Données projet'!$B$270,GU22+GT23-HC22)))</f>
        <v>151</v>
      </c>
      <c r="GV23" s="17">
        <f>GU23*VLOOKUP('Données projet'!$B$18,Paramètres!$A$1:$I$89,3,0)*VLOOKUP('Données projet'!$B$18,Paramètres!$A$1:$I$89,5,0)</f>
        <v>90.298000000000016</v>
      </c>
      <c r="GW23" s="13">
        <f t="shared" si="51"/>
        <v>24.637081585210524</v>
      </c>
      <c r="GX23" s="20">
        <f t="shared" si="28"/>
        <v>200.17860042757502</v>
      </c>
      <c r="GY23" s="59">
        <f t="shared" si="29"/>
        <v>481.28971153868616</v>
      </c>
      <c r="GZ23" s="59">
        <f ca="1">AVERAGE(OFFSET($GY$3,0,0,'Données projet'!$E$18+1,1))-AVERAGE(OFFSET($H$3,0,0,'Données projet'!$E$18+1,1))</f>
        <v>255.54398581450459</v>
      </c>
      <c r="HA23" s="59">
        <f t="shared" si="52"/>
        <v>276.52622328061204</v>
      </c>
      <c r="HB23" s="15">
        <f>IF(ISNA(VLOOKUP(A23,'Données projet'!$A$269:$I$289,3,0)),0,VLOOKUP(A23,'Données projet'!$A$269:$I$289,3,0))</f>
        <v>3</v>
      </c>
      <c r="HC23" s="15">
        <f>IF(ISNA(VLOOKUP(A23,'Données projet'!$A$269:$I$289,4,0)),0,VLOOKUP(A23,'Données projet'!$A$269:$I$289,4,0))</f>
        <v>34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1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27.252265285313271</v>
      </c>
      <c r="HJ23" s="22">
        <f t="shared" si="30"/>
        <v>27.252265285313271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15.8</v>
      </c>
      <c r="N24" s="13">
        <f>IF('Données projet'!$A$36&gt;35,N23+M24-V23,IF(A24&lt;'Données projet'!$A$36,$K$205^A24,IF(A24='Données projet'!$A$36,'Données projet'!$B$36,N23+M24-V23)))</f>
        <v>119.80000000000001</v>
      </c>
      <c r="O24" s="13">
        <f>N24*VLOOKUP('Données projet'!$B$9,Paramètres!$A$1:$I$89,3,0)*VLOOKUP('Données projet'!$B$9,Paramètres!$A$1:$I$89,5,0)</f>
        <v>104.65728000000001</v>
      </c>
      <c r="P24" s="13">
        <f t="shared" si="33"/>
        <v>28.068573730915457</v>
      </c>
      <c r="Q24" s="20">
        <f t="shared" si="2"/>
        <v>231.16419524801108</v>
      </c>
      <c r="R24" s="59">
        <f t="shared" si="0"/>
        <v>513.49752858134434</v>
      </c>
      <c r="S24" s="59">
        <f ca="1">AVERAGE(OFFSET($R$3,0,0,'Données projet'!$E$9+1,1))-AVERAGE(OFFSET($H$3,0,0,'Données projet'!$E$9+1,1))</f>
        <v>248.50221719467663</v>
      </c>
      <c r="T24" s="59">
        <f t="shared" si="34"/>
        <v>366.09064580347183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2.0356229504698415</v>
      </c>
      <c r="AA24" s="21">
        <f>EXP(-LN(2)/25)*AA23+(1-EXP(-LN(2)/25))/(LN(2)/25)*Calculateur!V24*Calculateur!X24*VLOOKUP('Données projet'!$B$9,Paramètres!$A$1:$I$89,3,0)*0.475*44/12</f>
        <v>8.046437254241285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10.082060204711127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67.136160000000004</v>
      </c>
      <c r="AK24" s="13">
        <f t="shared" si="35"/>
        <v>18.960545405756019</v>
      </c>
      <c r="AL24" s="20">
        <f t="shared" si="4"/>
        <v>149.95176191502506</v>
      </c>
      <c r="AM24" s="59">
        <f t="shared" si="5"/>
        <v>432.2850952483584</v>
      </c>
      <c r="AN24" s="59">
        <f ca="1">AVERAGE(OFFSET($AM$3,0,0,'Données projet'!$E$10+1,1))-AVERAGE(OFFSET($H$3,0,0,'Données projet'!$E$10+1,1))</f>
        <v>263.22346936777603</v>
      </c>
      <c r="AO24" s="59">
        <f t="shared" si="36"/>
        <v>217.14714468707939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0.5000286007992798</v>
      </c>
      <c r="AW24" s="21">
        <f>EXP(-LN(2)/2)*AW23+(1-EXP(-LN(2)/2))/(LN(2)/2)*AQ24*AT24*VLOOKUP('Données projet'!$B$10,Paramètres!$A$1:$I$89,3,0)*0.475*44/12</f>
        <v>2.8975645830546197</v>
      </c>
      <c r="AX24" s="21">
        <f t="shared" si="6"/>
        <v>3.3975931838538997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70.59999999999998</v>
      </c>
      <c r="BE24" s="13">
        <f>BD24*VLOOKUP('Données projet'!$B$11,Paramètres!$A$1:$I$89,3,0)*VLOOKUP('Données projet'!$B$11,Paramètres!$A$1:$I$89,5,0)</f>
        <v>55.067999999999984</v>
      </c>
      <c r="BF24" s="13">
        <f t="shared" si="37"/>
        <v>15.915148294580479</v>
      </c>
      <c r="BG24" s="20">
        <f t="shared" si="7"/>
        <v>123.62898327972762</v>
      </c>
      <c r="BH24" s="59">
        <f t="shared" si="8"/>
        <v>405.96231661306092</v>
      </c>
      <c r="BI24" s="59">
        <f ca="1">AVERAGE(OFFSET($BH$3,0,0,'Données projet'!$E$11+1,1))-AVERAGE(OFFSET($H$3,0,0,'Données projet'!$E$11+1,1))</f>
        <v>219.22204054948094</v>
      </c>
      <c r="BJ24" s="59">
        <f t="shared" si="38"/>
        <v>222.41711966122034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1.7960797442502867</v>
      </c>
      <c r="BR24" s="21">
        <f>EXP(-LN(2)/2)*BR23+(1-EXP(-LN(2)/2))/(LN(2)/2)*BL24*BO24*VLOOKUP('Données projet'!$B$11,Paramètres!$A$1:$I$89,3,0)*0.475*44/12</f>
        <v>10.407918760972056</v>
      </c>
      <c r="BS24" s="22">
        <f t="shared" si="9"/>
        <v>12.203998505222343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1.6</v>
      </c>
      <c r="BY24" s="12">
        <f>IF('Données projet'!$A$114&gt;35,BY23+BX24-CG23,IF(A24&lt;'Données projet'!$A$114,$BV$205^A24,IF(A24='Données projet'!$A$114,'Données projet'!$B$114,BY23+BX24-CG23)))</f>
        <v>15.026881656708994</v>
      </c>
      <c r="BZ24" s="13">
        <f>BY24*VLOOKUP('Données projet'!$B$12,Paramètres!$A$1:$I$89,3,0)*VLOOKUP('Données projet'!$B$12,Paramètres!$A$1:$I$89,5,0)</f>
        <v>12.893064461456317</v>
      </c>
      <c r="CA24" s="13">
        <f t="shared" si="39"/>
        <v>4.4122769308464145</v>
      </c>
      <c r="CB24" s="20">
        <f t="shared" si="10"/>
        <v>30.140136258260593</v>
      </c>
      <c r="CC24" s="59">
        <f t="shared" si="11"/>
        <v>312.47346959159393</v>
      </c>
      <c r="CD24" s="59">
        <f ca="1">AVERAGE(OFFSET($CC$3,0,0,'Données projet'!$E$12+1,1))-AVERAGE(OFFSET($H$3,0,0,'Données projet'!$E$12+1,1))</f>
        <v>237.27357081252273</v>
      </c>
      <c r="CE24" s="59">
        <f t="shared" si="40"/>
        <v>68.768479693848576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29.8</v>
      </c>
      <c r="CT24" s="12">
        <f>IF('Données projet'!$A$140&gt;35,CT23+CS24-DB23,IF(A24&lt;'Données projet'!$A$140,$CQ$205^A24,IF(A24='Données projet'!$A$140,'Données projet'!$B$140,CT23+CS24-DB23)))</f>
        <v>349.79999999999995</v>
      </c>
      <c r="CU24" s="17">
        <f>CT24*VLOOKUP('Données projet'!$B$13,Paramètres!$A$1:$I$89,3,0)*VLOOKUP('Données projet'!$B$13,Paramètres!$A$1:$I$89,5,0)</f>
        <v>195.53819999999999</v>
      </c>
      <c r="CV24" s="13">
        <f t="shared" si="41"/>
        <v>48.762315280106222</v>
      </c>
      <c r="CW24" s="20">
        <f t="shared" si="13"/>
        <v>425.4900641128516</v>
      </c>
      <c r="CX24" s="59">
        <f t="shared" si="14"/>
        <v>707.82339744618491</v>
      </c>
      <c r="CY24" s="59">
        <f ca="1">AVERAGE(OFFSET($CX$3,0,0,'Données projet'!$E$13+1,1))-AVERAGE(OFFSET($H$3,0,0,'Données projet'!$E$13+1,1))</f>
        <v>474.03051418249999</v>
      </c>
      <c r="CZ24" s="59">
        <f t="shared" si="42"/>
        <v>649.52271992719091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1.7386051924342776</v>
      </c>
      <c r="DH24" s="21">
        <f>EXP(-LN(2)/2)*DH23+(1-EXP(-LN(2)/2))/(LN(2)/2)*DB24*DE24*VLOOKUP('Données projet'!$B$13,Paramètres!$A$1:$I$89,3,0)*0.475*44/12</f>
        <v>2.953767344363869</v>
      </c>
      <c r="DI24" s="22">
        <f t="shared" si="15"/>
        <v>4.6923725367981461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19.166666666666668</v>
      </c>
      <c r="DO24" s="12">
        <f>IF('Données projet'!$A$166&gt;35,DO23+DN24-DW23,IF(A24&lt;'Données projet'!$A$166,$DL$205^A24,IF(A24='Données projet'!$A$166,'Données projet'!$B$166,DO23+DN24-DW23)))</f>
        <v>181.50000000000003</v>
      </c>
      <c r="DP24" s="17">
        <f>DO24*VLOOKUP('Données projet'!$B$14,Paramètres!$A$1:$I$89,3,0)*VLOOKUP('Données projet'!$B$14,Paramètres!$A$1:$I$89,5,0)</f>
        <v>99.099000000000004</v>
      </c>
      <c r="DQ24" s="13">
        <f t="shared" si="43"/>
        <v>26.747233784597075</v>
      </c>
      <c r="DR24" s="20">
        <f t="shared" si="16"/>
        <v>219.18219050817322</v>
      </c>
      <c r="DS24" s="59">
        <f t="shared" si="17"/>
        <v>501.51552384150654</v>
      </c>
      <c r="DT24" s="59">
        <f ca="1">AVERAGE(OFFSET($DS$3,0,0,'Données projet'!$E$14+1,1))-AVERAGE(OFFSET($H$3,0,0,'Données projet'!$E$14+1,1))</f>
        <v>164.0740581424559</v>
      </c>
      <c r="DU24" s="59">
        <f t="shared" si="44"/>
        <v>280.99861170359793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13.332543932805203</v>
      </c>
      <c r="ED24" s="22">
        <f t="shared" si="18"/>
        <v>13.332543932805203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30.4</v>
      </c>
      <c r="EJ24" s="12">
        <f>IF('Données projet'!$A$192&gt;35,EJ23+EI24-ER23,IF(A24&lt;'Données projet'!$A$192,$EG$205^A24,IF(A24='Données projet'!$A$192,'Données projet'!$B$192,EJ23+EI24-ER23)))</f>
        <v>172.40000000000003</v>
      </c>
      <c r="EK24" s="17">
        <f>EJ24*VLOOKUP('Données projet'!$B$15,Paramètres!$A$1:$I$89,3,0)*VLOOKUP('Données projet'!$B$15,Paramètres!$A$1:$I$89,5,0)</f>
        <v>82.92440000000002</v>
      </c>
      <c r="EL24" s="13">
        <f t="shared" si="45"/>
        <v>22.850714205009858</v>
      </c>
      <c r="EM24" s="20">
        <f t="shared" si="19"/>
        <v>184.22499057372553</v>
      </c>
      <c r="EN24" s="59">
        <f t="shared" si="20"/>
        <v>466.55832390705882</v>
      </c>
      <c r="EO24" s="59">
        <f ca="1">AVERAGE(OFFSET($EN$3,0,0,'Données projet'!$E$15+1,1))-AVERAGE(OFFSET($H$3,0,0,'Données projet'!$E$15+1,1))</f>
        <v>312.1172301514103</v>
      </c>
      <c r="EP24" s="59">
        <f t="shared" si="46"/>
        <v>369.85500533493212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2.9240178236394661</v>
      </c>
      <c r="EX24" s="21">
        <f>EXP(-LN(2)/2)*EX23+(1-EXP(-LN(2)/2))/(LN(2)/2)*ER24*EU24*VLOOKUP('Données projet'!$B$15,Paramètres!$A$1:$I$89,3,0)*0.475*44/12</f>
        <v>13.24719899896523</v>
      </c>
      <c r="EY24" s="22">
        <f t="shared" si="21"/>
        <v>16.171216822604695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9.2000000000000011</v>
      </c>
      <c r="FE24" s="12">
        <f>IF('Données projet'!$A$218&gt;35,FE23+FD24-FM23,IF(A24&lt;'Données projet'!$A$218,$FB$205^A24,IF(A24='Données projet'!$A$218,'Données projet'!$B$218,FE23+FD24-FM23)))</f>
        <v>132.19999999999999</v>
      </c>
      <c r="FF24" s="17">
        <f>FE24*VLOOKUP('Données projet'!$B$16,Paramètres!$A$1:$I$89,3,0)*VLOOKUP('Données projet'!$B$16,Paramètres!$A$1:$I$89,5,0)</f>
        <v>61.869599999999991</v>
      </c>
      <c r="FG24" s="13">
        <f t="shared" si="47"/>
        <v>17.640115095232353</v>
      </c>
      <c r="FH24" s="20">
        <f t="shared" si="22"/>
        <v>138.47942045752964</v>
      </c>
      <c r="FI24" s="59">
        <f t="shared" si="23"/>
        <v>420.81275379086298</v>
      </c>
      <c r="FJ24" s="59">
        <f ca="1">AVERAGE(OFFSET($FI$3,0,0,'Données projet'!$E$16+1,1))-AVERAGE(OFFSET($H$3,0,0,'Données projet'!$E$16+1,1))</f>
        <v>87.187251664304199</v>
      </c>
      <c r="FK24" s="59">
        <f t="shared" si="48"/>
        <v>148.84938257884147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2.3156897911915322</v>
      </c>
      <c r="FS24" s="21">
        <f>EXP(-LN(2)/2)*FS23+(1-EXP(-LN(2)/2))/(LN(2)/2)*FM24*FP24*VLOOKUP('Données projet'!$B$16,Paramètres!$A$1:$I$89,3,0)*0.475*44/12</f>
        <v>10.49118211105983</v>
      </c>
      <c r="FT24" s="22">
        <f t="shared" si="24"/>
        <v>12.806871902251363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16.399999999999999</v>
      </c>
      <c r="FZ24" s="12">
        <f>IF('Données projet'!$A$244&gt;35,FZ23+FY24-GH23,IF(A24&lt;'Données projet'!$A$244,$FW$205^A24,IF(A24='Données projet'!$A$244,'Données projet'!$B$244,FZ23+FY24-GH23)))</f>
        <v>138.4</v>
      </c>
      <c r="GA24" s="17">
        <f>FZ24*VLOOKUP('Données projet'!$B$17,Paramètres!$A$1:$I$89,3,0)*VLOOKUP('Données projet'!$B$17,Paramètres!$A$1:$I$89,5,0)</f>
        <v>82.763200000000012</v>
      </c>
      <c r="GB24" s="13">
        <f t="shared" si="49"/>
        <v>22.811459894537176</v>
      </c>
      <c r="GC24" s="20">
        <f t="shared" si="25"/>
        <v>183.8758659829856</v>
      </c>
      <c r="GD24" s="59">
        <f t="shared" si="26"/>
        <v>466.20919931631892</v>
      </c>
      <c r="GE24" s="59">
        <f ca="1">AVERAGE(OFFSET($GD$3,0,0,'Données projet'!$E$17+1,1))-AVERAGE(OFFSET($H$3,0,0,'Données projet'!$E$17+1,1))</f>
        <v>282.94722676586207</v>
      </c>
      <c r="GF24" s="59">
        <f t="shared" si="50"/>
        <v>310.63647941571298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1.0375493220273748</v>
      </c>
      <c r="GN24" s="21">
        <f>EXP(-LN(2)/2)*GN23+(1-EXP(-LN(2)/2))/(LN(2)/2)*GH24*GK24*VLOOKUP('Données projet'!$B$17,Paramètres!$A$1:$I$89,3,0)*0.475*44/12</f>
        <v>5.7451711560565748</v>
      </c>
      <c r="GO24" s="21">
        <f t="shared" si="27"/>
        <v>6.7827204780839496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20</v>
      </c>
      <c r="GU24" s="12">
        <f>IF('Données projet'!$A$270&gt;35,GU23+GT24-HC23,IF(A24&lt;'Données projet'!$A$270,$GR$205^A24,IF(A24='Données projet'!$A$270,'Données projet'!$B$270,GU23+GT24-HC23)))</f>
        <v>137</v>
      </c>
      <c r="GV24" s="17">
        <f>GU24*VLOOKUP('Données projet'!$B$18,Paramètres!$A$1:$I$89,3,0)*VLOOKUP('Données projet'!$B$18,Paramètres!$A$1:$I$89,5,0)</f>
        <v>81.926000000000002</v>
      </c>
      <c r="GW24" s="13">
        <f t="shared" si="51"/>
        <v>22.607447146245146</v>
      </c>
      <c r="GX24" s="20">
        <f t="shared" si="28"/>
        <v>182.06242044637693</v>
      </c>
      <c r="GY24" s="59">
        <f t="shared" si="29"/>
        <v>464.39575377971028</v>
      </c>
      <c r="GZ24" s="59">
        <f ca="1">AVERAGE(OFFSET($GY$3,0,0,'Données projet'!$E$18+1,1))-AVERAGE(OFFSET($H$3,0,0,'Données projet'!$E$18+1,1))</f>
        <v>255.54398581450459</v>
      </c>
      <c r="HA24" s="59">
        <f t="shared" si="52"/>
        <v>276.52622328061204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19.270261585939757</v>
      </c>
      <c r="HJ24" s="22">
        <f t="shared" si="30"/>
        <v>19.270261585939757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15.8</v>
      </c>
      <c r="N25" s="13">
        <f>IF('Données projet'!$A$36&gt;35,N24+M25-V24,IF(A25&lt;'Données projet'!$A$36,$K$205^A25,IF(A25='Données projet'!$A$36,'Données projet'!$B$36,N24+M25-V24)))</f>
        <v>135.60000000000002</v>
      </c>
      <c r="O25" s="13">
        <f>N25*VLOOKUP('Données projet'!$B$9,Paramètres!$A$1:$I$89,3,0)*VLOOKUP('Données projet'!$B$9,Paramètres!$A$1:$I$89,5,0)</f>
        <v>118.46016000000003</v>
      </c>
      <c r="P25" s="13">
        <f t="shared" si="33"/>
        <v>31.315587396029674</v>
      </c>
      <c r="Q25" s="20">
        <f t="shared" si="2"/>
        <v>260.85942671475175</v>
      </c>
      <c r="R25" s="59">
        <f t="shared" si="0"/>
        <v>544.41498227030729</v>
      </c>
      <c r="S25" s="59">
        <f ca="1">AVERAGE(OFFSET($R$3,0,0,'Données projet'!$E$9+1,1))-AVERAGE(OFFSET($H$3,0,0,'Données projet'!$E$9+1,1))</f>
        <v>248.50221719467663</v>
      </c>
      <c r="T25" s="59">
        <f t="shared" si="34"/>
        <v>366.09064580347183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1.9957056260185291</v>
      </c>
      <c r="AA25" s="21">
        <f>EXP(-LN(2)/25)*AA24+(1-EXP(-LN(2)/25))/(LN(2)/25)*Calculateur!V25*Calculateur!X25*VLOOKUP('Données projet'!$B$9,Paramètres!$A$1:$I$89,3,0)*0.475*44/12</f>
        <v>7.8264070043803118</v>
      </c>
      <c r="AB25" s="21">
        <f>EXP(-LN(2)/2)*AB24+(1-EXP(-LN(2)/2))/(LN(2)/2)*V25*Y25*VLOOKUP('Données projet'!$B$9,Paramètres!$A$1:$I$89,3,0)*0.475*44/12</f>
        <v>0</v>
      </c>
      <c r="AC25" s="22">
        <f t="shared" si="3"/>
        <v>9.8221126303988413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73.650720000000007</v>
      </c>
      <c r="AK25" s="13">
        <f t="shared" si="35"/>
        <v>20.577360172493922</v>
      </c>
      <c r="AL25" s="20">
        <f t="shared" si="4"/>
        <v>164.11390630042692</v>
      </c>
      <c r="AM25" s="59">
        <f t="shared" si="5"/>
        <v>447.66946185598249</v>
      </c>
      <c r="AN25" s="59">
        <f ca="1">AVERAGE(OFFSET($AM$3,0,0,'Données projet'!$E$10+1,1))-AVERAGE(OFFSET($H$3,0,0,'Données projet'!$E$10+1,1))</f>
        <v>263.22346936777603</v>
      </c>
      <c r="AO25" s="59">
        <f t="shared" si="36"/>
        <v>217.14714468707939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0.4863552924150622</v>
      </c>
      <c r="AW25" s="21">
        <f>EXP(-LN(2)/2)*AW24+(1-EXP(-LN(2)/2))/(LN(2)/2)*AQ25*AT25*VLOOKUP('Données projet'!$B$10,Paramètres!$A$1:$I$89,3,0)*0.475*44/12</f>
        <v>2.0488875656038927</v>
      </c>
      <c r="AX25" s="21">
        <f t="shared" si="6"/>
        <v>2.5352428580189548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81.199999999999974</v>
      </c>
      <c r="BE25" s="13">
        <f>BD25*VLOOKUP('Données projet'!$B$11,Paramètres!$A$1:$I$89,3,0)*VLOOKUP('Données projet'!$B$11,Paramètres!$A$1:$I$89,5,0)</f>
        <v>63.335999999999984</v>
      </c>
      <c r="BF25" s="13">
        <f t="shared" si="37"/>
        <v>18.009040022946227</v>
      </c>
      <c r="BG25" s="20">
        <f t="shared" si="7"/>
        <v>141.67594470663133</v>
      </c>
      <c r="BH25" s="59">
        <f t="shared" si="8"/>
        <v>425.23150026218684</v>
      </c>
      <c r="BI25" s="59">
        <f ca="1">AVERAGE(OFFSET($BH$3,0,0,'Données projet'!$E$11+1,1))-AVERAGE(OFFSET($H$3,0,0,'Données projet'!$E$11+1,1))</f>
        <v>219.22204054948094</v>
      </c>
      <c r="BJ25" s="59">
        <f t="shared" si="38"/>
        <v>222.41711966122034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1.7469658491920339</v>
      </c>
      <c r="BR25" s="21">
        <f>EXP(-LN(2)/2)*BR24+(1-EXP(-LN(2)/2))/(LN(2)/2)*BL25*BO25*VLOOKUP('Données projet'!$B$11,Paramètres!$A$1:$I$89,3,0)*0.475*44/12</f>
        <v>7.3595099339220305</v>
      </c>
      <c r="BS25" s="22">
        <f t="shared" si="9"/>
        <v>9.1064757831140639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1.6</v>
      </c>
      <c r="BY25" s="12">
        <f>IF('Données projet'!$A$114&gt;35,BY24+BX25-CG24,IF(A25&lt;'Données projet'!$A$114,$BV$205^A25,IF(A25='Données projet'!$A$114,'Données projet'!$B$114,BY24+BX25-CG24)))</f>
        <v>17.096619285019823</v>
      </c>
      <c r="BZ25" s="13">
        <f>BY25*VLOOKUP('Données projet'!$B$12,Paramètres!$A$1:$I$89,3,0)*VLOOKUP('Données projet'!$B$12,Paramètres!$A$1:$I$89,5,0)</f>
        <v>14.668899346547009</v>
      </c>
      <c r="CA25" s="13">
        <f t="shared" si="39"/>
        <v>4.9451665294650171</v>
      </c>
      <c r="CB25" s="20">
        <f t="shared" si="10"/>
        <v>34.161164734054282</v>
      </c>
      <c r="CC25" s="59">
        <f t="shared" si="11"/>
        <v>317.71672028960984</v>
      </c>
      <c r="CD25" s="59">
        <f ca="1">AVERAGE(OFFSET($CC$3,0,0,'Données projet'!$E$12+1,1))-AVERAGE(OFFSET($H$3,0,0,'Données projet'!$E$12+1,1))</f>
        <v>237.27357081252273</v>
      </c>
      <c r="CE25" s="59">
        <f t="shared" si="40"/>
        <v>68.768479693848576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29.8</v>
      </c>
      <c r="CT25" s="12">
        <f>IF('Données projet'!$A$140&gt;35,CT24+CS25-DB24,IF(A25&lt;'Données projet'!$A$140,$CQ$205^A25,IF(A25='Données projet'!$A$140,'Données projet'!$B$140,CT24+CS25-DB24)))</f>
        <v>379.59999999999997</v>
      </c>
      <c r="CU25" s="17">
        <f>CT25*VLOOKUP('Données projet'!$B$13,Paramètres!$A$1:$I$89,3,0)*VLOOKUP('Données projet'!$B$13,Paramètres!$A$1:$I$89,5,0)</f>
        <v>212.19639999999998</v>
      </c>
      <c r="CV25" s="13">
        <f t="shared" si="41"/>
        <v>52.415263324942657</v>
      </c>
      <c r="CW25" s="20">
        <f t="shared" si="13"/>
        <v>460.86531362427507</v>
      </c>
      <c r="CX25" s="59">
        <f t="shared" si="14"/>
        <v>744.42086917983056</v>
      </c>
      <c r="CY25" s="59">
        <f ca="1">AVERAGE(OFFSET($CX$3,0,0,'Données projet'!$E$13+1,1))-AVERAGE(OFFSET($H$3,0,0,'Données projet'!$E$13+1,1))</f>
        <v>474.03051418249999</v>
      </c>
      <c r="CZ25" s="59">
        <f t="shared" si="42"/>
        <v>649.52271992719091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1.6910629420178889</v>
      </c>
      <c r="DH25" s="21">
        <f>EXP(-LN(2)/2)*DH24+(1-EXP(-LN(2)/2))/(LN(2)/2)*DB25*DE25*VLOOKUP('Données projet'!$B$13,Paramètres!$A$1:$I$89,3,0)*0.475*44/12</f>
        <v>2.0886289192470722</v>
      </c>
      <c r="DI25" s="22">
        <f t="shared" si="15"/>
        <v>3.7796918612649613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19.166666666666668</v>
      </c>
      <c r="DO25" s="12">
        <f>IF('Données projet'!$A$166&gt;35,DO24+DN25-DW24,IF(A25&lt;'Données projet'!$A$166,$DL$205^A25,IF(A25='Données projet'!$A$166,'Données projet'!$B$166,DO24+DN25-DW24)))</f>
        <v>200.66666666666669</v>
      </c>
      <c r="DP25" s="17">
        <f>DO25*VLOOKUP('Données projet'!$B$14,Paramètres!$A$1:$I$89,3,0)*VLOOKUP('Données projet'!$B$14,Paramètres!$A$1:$I$89,5,0)</f>
        <v>109.56400000000001</v>
      </c>
      <c r="DQ25" s="13">
        <f t="shared" si="43"/>
        <v>29.228235839881371</v>
      </c>
      <c r="DR25" s="20">
        <f t="shared" si="16"/>
        <v>241.72981075446003</v>
      </c>
      <c r="DS25" s="59">
        <f t="shared" si="17"/>
        <v>525.28536631001555</v>
      </c>
      <c r="DT25" s="59">
        <f ca="1">AVERAGE(OFFSET($DS$3,0,0,'Données projet'!$E$14+1,1))-AVERAGE(OFFSET($H$3,0,0,'Données projet'!$E$14+1,1))</f>
        <v>164.0740581424559</v>
      </c>
      <c r="DU25" s="59">
        <f t="shared" si="44"/>
        <v>280.99861170359793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9.4275322253541205</v>
      </c>
      <c r="ED25" s="22">
        <f t="shared" si="18"/>
        <v>9.4275322253541205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30.4</v>
      </c>
      <c r="EJ25" s="12">
        <f>IF('Données projet'!$A$192&gt;35,EJ24+EI25-ER24,IF(A25&lt;'Données projet'!$A$192,$EG$205^A25,IF(A25='Données projet'!$A$192,'Données projet'!$B$192,EJ24+EI25-ER24)))</f>
        <v>202.80000000000004</v>
      </c>
      <c r="EK25" s="17">
        <f>EJ25*VLOOKUP('Données projet'!$B$15,Paramètres!$A$1:$I$89,3,0)*VLOOKUP('Données projet'!$B$15,Paramètres!$A$1:$I$89,5,0)</f>
        <v>97.546800000000019</v>
      </c>
      <c r="EL25" s="13">
        <f t="shared" si="45"/>
        <v>26.376714315973636</v>
      </c>
      <c r="EM25" s="20">
        <f t="shared" si="19"/>
        <v>215.83345410032075</v>
      </c>
      <c r="EN25" s="59">
        <f t="shared" si="20"/>
        <v>499.38900965587629</v>
      </c>
      <c r="EO25" s="59">
        <f ca="1">AVERAGE(OFFSET($EN$3,0,0,'Données projet'!$E$15+1,1))-AVERAGE(OFFSET($H$3,0,0,'Données projet'!$E$15+1,1))</f>
        <v>312.1172301514103</v>
      </c>
      <c r="EP25" s="59">
        <f t="shared" si="46"/>
        <v>369.85500533493212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2.8440604024846303</v>
      </c>
      <c r="EX25" s="21">
        <f>EXP(-LN(2)/2)*EX24+(1-EXP(-LN(2)/2))/(LN(2)/2)*ER25*EU25*VLOOKUP('Données projet'!$B$15,Paramètres!$A$1:$I$89,3,0)*0.475*44/12</f>
        <v>9.3671842438959594</v>
      </c>
      <c r="EY25" s="22">
        <f t="shared" si="21"/>
        <v>12.211244646380589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9.2000000000000011</v>
      </c>
      <c r="FE25" s="12">
        <f>IF('Données projet'!$A$218&gt;35,FE24+FD25-FM24,IF(A25&lt;'Données projet'!$A$218,$FB$205^A25,IF(A25='Données projet'!$A$218,'Données projet'!$B$218,FE24+FD25-FM24)))</f>
        <v>141.39999999999998</v>
      </c>
      <c r="FF25" s="17">
        <f>FE25*VLOOKUP('Données projet'!$B$16,Paramètres!$A$1:$I$89,3,0)*VLOOKUP('Données projet'!$B$16,Paramètres!$A$1:$I$89,5,0)</f>
        <v>66.17519999999999</v>
      </c>
      <c r="FG25" s="13">
        <f t="shared" si="47"/>
        <v>18.720541159483023</v>
      </c>
      <c r="FH25" s="20">
        <f t="shared" si="22"/>
        <v>147.86008251943289</v>
      </c>
      <c r="FI25" s="59">
        <f t="shared" si="23"/>
        <v>431.41563807498846</v>
      </c>
      <c r="FJ25" s="59">
        <f ca="1">AVERAGE(OFFSET($FI$3,0,0,'Données projet'!$E$16+1,1))-AVERAGE(OFFSET($H$3,0,0,'Données projet'!$E$16+1,1))</f>
        <v>87.187251664304199</v>
      </c>
      <c r="FK25" s="59">
        <f t="shared" si="48"/>
        <v>148.84938257884147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2.2523671320745664</v>
      </c>
      <c r="FS25" s="21">
        <f>EXP(-LN(2)/2)*FS24+(1-EXP(-LN(2)/2))/(LN(2)/2)*FM25*FP25*VLOOKUP('Données projet'!$B$16,Paramètres!$A$1:$I$89,3,0)*0.475*44/12</f>
        <v>7.4183860133934054</v>
      </c>
      <c r="FT25" s="22">
        <f t="shared" si="24"/>
        <v>9.6707531454679714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16.399999999999999</v>
      </c>
      <c r="FZ25" s="12">
        <f>IF('Données projet'!$A$244&gt;35,FZ24+FY25-GH24,IF(A25&lt;'Données projet'!$A$244,$FW$205^A25,IF(A25='Données projet'!$A$244,'Données projet'!$B$244,FZ24+FY25-GH24)))</f>
        <v>154.80000000000001</v>
      </c>
      <c r="GA25" s="17">
        <f>FZ25*VLOOKUP('Données projet'!$B$17,Paramètres!$A$1:$I$89,3,0)*VLOOKUP('Données projet'!$B$17,Paramètres!$A$1:$I$89,5,0)</f>
        <v>92.570400000000021</v>
      </c>
      <c r="GB25" s="13">
        <f t="shared" si="49"/>
        <v>25.184123943972491</v>
      </c>
      <c r="GC25" s="20">
        <f t="shared" si="25"/>
        <v>205.0891292024188</v>
      </c>
      <c r="GD25" s="59">
        <f t="shared" si="26"/>
        <v>488.64468475797435</v>
      </c>
      <c r="GE25" s="59">
        <f ca="1">AVERAGE(OFFSET($GD$3,0,0,'Données projet'!$E$17+1,1))-AVERAGE(OFFSET($H$3,0,0,'Données projet'!$E$17+1,1))</f>
        <v>282.94722676586207</v>
      </c>
      <c r="GF25" s="59">
        <f t="shared" si="50"/>
        <v>310.63647941571298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1.0091774812541887</v>
      </c>
      <c r="GN25" s="21">
        <f>EXP(-LN(2)/2)*GN24+(1-EXP(-LN(2)/2))/(LN(2)/2)*GH25*GK25*VLOOKUP('Données projet'!$B$17,Paramètres!$A$1:$I$89,3,0)*0.475*44/12</f>
        <v>4.0624494835249614</v>
      </c>
      <c r="GO25" s="21">
        <f t="shared" si="27"/>
        <v>5.0716269647791501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20</v>
      </c>
      <c r="GU25" s="12">
        <f>IF('Données projet'!$A$270&gt;35,GU24+GT25-HC24,IF(A25&lt;'Données projet'!$A$270,$GR$205^A25,IF(A25='Données projet'!$A$270,'Données projet'!$B$270,GU24+GT25-HC24)))</f>
        <v>157</v>
      </c>
      <c r="GV25" s="17">
        <f>GU25*VLOOKUP('Données projet'!$B$18,Paramètres!$A$1:$I$89,3,0)*VLOOKUP('Données projet'!$B$18,Paramètres!$A$1:$I$89,5,0)</f>
        <v>93.885999999999996</v>
      </c>
      <c r="GW25" s="13">
        <f t="shared" si="51"/>
        <v>25.500116461916402</v>
      </c>
      <c r="GX25" s="20">
        <f t="shared" si="28"/>
        <v>207.9308195045044</v>
      </c>
      <c r="GY25" s="59">
        <f t="shared" si="29"/>
        <v>491.48637506005991</v>
      </c>
      <c r="GZ25" s="59">
        <f ca="1">AVERAGE(OFFSET($GY$3,0,0,'Données projet'!$E$18+1,1))-AVERAGE(OFFSET($H$3,0,0,'Données projet'!$E$18+1,1))</f>
        <v>255.54398581450459</v>
      </c>
      <c r="HA25" s="59">
        <f t="shared" si="52"/>
        <v>276.52622328061204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13.626132642656637</v>
      </c>
      <c r="HJ25" s="22">
        <f t="shared" si="30"/>
        <v>13.626132642656637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15.8</v>
      </c>
      <c r="N26" s="13">
        <f>IF('Données projet'!$A$36&gt;35,N25+M26-V25,IF(A26&lt;'Données projet'!$A$36,$K$205^A26,IF(A26='Données projet'!$A$36,'Données projet'!$B$36,N25+M26-V25)))</f>
        <v>151.40000000000003</v>
      </c>
      <c r="O26" s="13">
        <f>N26*VLOOKUP('Données projet'!$B$9,Paramètres!$A$1:$I$89,3,0)*VLOOKUP('Données projet'!$B$9,Paramètres!$A$1:$I$89,5,0)</f>
        <v>132.26304000000005</v>
      </c>
      <c r="P26" s="13">
        <f t="shared" si="33"/>
        <v>34.518755036434833</v>
      </c>
      <c r="Q26" s="20">
        <f t="shared" si="2"/>
        <v>290.47829302179076</v>
      </c>
      <c r="R26" s="59">
        <f t="shared" si="0"/>
        <v>575.25607079956853</v>
      </c>
      <c r="S26" s="59">
        <f ca="1">AVERAGE(OFFSET($R$3,0,0,'Données projet'!$E$9+1,1))-AVERAGE(OFFSET($H$3,0,0,'Données projet'!$E$9+1,1))</f>
        <v>248.50221719467663</v>
      </c>
      <c r="T26" s="59">
        <f t="shared" si="34"/>
        <v>366.09064580347183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1.9565710559525431</v>
      </c>
      <c r="AA26" s="21">
        <f>EXP(-LN(2)/25)*AA25+(1-EXP(-LN(2)/25))/(LN(2)/25)*Calculateur!V26*Calculateur!X26*VLOOKUP('Données projet'!$B$9,Paramètres!$A$1:$I$89,3,0)*0.475*44/12</f>
        <v>7.6123934932726751</v>
      </c>
      <c r="AB26" s="21">
        <f>EXP(-LN(2)/2)*AB25+(1-EXP(-LN(2)/2))/(LN(2)/2)*V26*Y26*VLOOKUP('Données projet'!$B$9,Paramètres!$A$1:$I$89,3,0)*0.475*44/12</f>
        <v>0</v>
      </c>
      <c r="AC26" s="22">
        <f t="shared" si="3"/>
        <v>9.5689645492252176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80.165279999999996</v>
      </c>
      <c r="AK26" s="13">
        <f t="shared" si="35"/>
        <v>22.177591092468788</v>
      </c>
      <c r="AL26" s="20">
        <f t="shared" si="4"/>
        <v>178.24716715271646</v>
      </c>
      <c r="AM26" s="59">
        <f t="shared" si="5"/>
        <v>463.02494493049426</v>
      </c>
      <c r="AN26" s="59">
        <f ca="1">AVERAGE(OFFSET($AM$3,0,0,'Données projet'!$E$10+1,1))-AVERAGE(OFFSET($H$3,0,0,'Données projet'!$E$10+1,1))</f>
        <v>263.22346936777603</v>
      </c>
      <c r="AO26" s="59">
        <f t="shared" si="36"/>
        <v>217.14714468707939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0.47305588136765908</v>
      </c>
      <c r="AW26" s="21">
        <f>EXP(-LN(2)/2)*AW25+(1-EXP(-LN(2)/2))/(LN(2)/2)*AQ26*AT26*VLOOKUP('Données projet'!$B$10,Paramètres!$A$1:$I$89,3,0)*0.475*44/12</f>
        <v>1.4487822915273099</v>
      </c>
      <c r="AX26" s="21">
        <f t="shared" si="6"/>
        <v>1.9218381728949689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91.799999999999969</v>
      </c>
      <c r="BE26" s="13">
        <f>BD26*VLOOKUP('Données projet'!$B$11,Paramètres!$A$1:$I$89,3,0)*VLOOKUP('Données projet'!$B$11,Paramètres!$A$1:$I$89,5,0)</f>
        <v>71.603999999999985</v>
      </c>
      <c r="BF26" s="13">
        <f t="shared" si="37"/>
        <v>20.071260561992585</v>
      </c>
      <c r="BG26" s="20">
        <f t="shared" si="7"/>
        <v>159.66774547880371</v>
      </c>
      <c r="BH26" s="59">
        <f t="shared" si="8"/>
        <v>444.44552325658151</v>
      </c>
      <c r="BI26" s="59">
        <f ca="1">AVERAGE(OFFSET($BH$3,0,0,'Données projet'!$E$11+1,1))-AVERAGE(OFFSET($H$3,0,0,'Données projet'!$E$11+1,1))</f>
        <v>219.22204054948094</v>
      </c>
      <c r="BJ26" s="59">
        <f t="shared" si="38"/>
        <v>222.41711966122034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1.6991949761769365</v>
      </c>
      <c r="BR26" s="21">
        <f>EXP(-LN(2)/2)*BR25+(1-EXP(-LN(2)/2))/(LN(2)/2)*BL26*BO26*VLOOKUP('Données projet'!$B$11,Paramètres!$A$1:$I$89,3,0)*0.475*44/12</f>
        <v>5.2039593804860287</v>
      </c>
      <c r="BS26" s="22">
        <f t="shared" si="9"/>
        <v>6.9031543566629647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1.6</v>
      </c>
      <c r="BY26" s="12">
        <f>IF('Données projet'!$A$114&gt;35,BY25+BX26-CG25,IF(A26&lt;'Données projet'!$A$114,$BV$205^A26,IF(A26='Données projet'!$A$114,'Données projet'!$B$114,BY25+BX26-CG25)))</f>
        <v>19.451433614399441</v>
      </c>
      <c r="BZ26" s="13">
        <f>BY26*VLOOKUP('Données projet'!$B$12,Paramètres!$A$1:$I$89,3,0)*VLOOKUP('Données projet'!$B$12,Paramètres!$A$1:$I$89,5,0)</f>
        <v>16.689330041154722</v>
      </c>
      <c r="CA26" s="13">
        <f t="shared" si="39"/>
        <v>5.5424154891950304</v>
      </c>
      <c r="CB26" s="20">
        <f t="shared" si="10"/>
        <v>38.720290132025816</v>
      </c>
      <c r="CC26" s="59">
        <f t="shared" si="11"/>
        <v>323.49806790980358</v>
      </c>
      <c r="CD26" s="59">
        <f ca="1">AVERAGE(OFFSET($CC$3,0,0,'Données projet'!$E$12+1,1))-AVERAGE(OFFSET($H$3,0,0,'Données projet'!$E$12+1,1))</f>
        <v>237.27357081252273</v>
      </c>
      <c r="CE26" s="59">
        <f t="shared" si="40"/>
        <v>68.768479693848576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29.8</v>
      </c>
      <c r="CT26" s="12">
        <f>IF('Données projet'!$A$140&gt;35,CT25+CS26-DB25,IF(A26&lt;'Données projet'!$A$140,$CQ$205^A26,IF(A26='Données projet'!$A$140,'Données projet'!$B$140,CT25+CS26-DB25)))</f>
        <v>409.4</v>
      </c>
      <c r="CU26" s="17">
        <f>CT26*VLOOKUP('Données projet'!$B$13,Paramètres!$A$1:$I$89,3,0)*VLOOKUP('Données projet'!$B$13,Paramètres!$A$1:$I$89,5,0)</f>
        <v>228.8546</v>
      </c>
      <c r="CV26" s="13">
        <f t="shared" si="41"/>
        <v>56.034947356867114</v>
      </c>
      <c r="CW26" s="20">
        <f t="shared" si="13"/>
        <v>496.18262831321022</v>
      </c>
      <c r="CX26" s="59">
        <f t="shared" si="14"/>
        <v>780.96040609098804</v>
      </c>
      <c r="CY26" s="59">
        <f ca="1">AVERAGE(OFFSET($CX$3,0,0,'Données projet'!$E$13+1,1))-AVERAGE(OFFSET($H$3,0,0,'Données projet'!$E$13+1,1))</f>
        <v>474.03051418249999</v>
      </c>
      <c r="CZ26" s="59">
        <f t="shared" si="42"/>
        <v>649.52271992719091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1.6448207369392747</v>
      </c>
      <c r="DH26" s="21">
        <f>EXP(-LN(2)/2)*DH25+(1-EXP(-LN(2)/2))/(LN(2)/2)*DB26*DE26*VLOOKUP('Données projet'!$B$13,Paramètres!$A$1:$I$89,3,0)*0.475*44/12</f>
        <v>1.4768836721819347</v>
      </c>
      <c r="DI26" s="22">
        <f t="shared" si="15"/>
        <v>3.1217044091212092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19.166666666666668</v>
      </c>
      <c r="DO26" s="12">
        <f>IF('Données projet'!$A$166&gt;35,DO25+DN26-DW25,IF(A26&lt;'Données projet'!$A$166,$DL$205^A26,IF(A26='Données projet'!$A$166,'Données projet'!$B$166,DO25+DN26-DW25)))</f>
        <v>219.83333333333334</v>
      </c>
      <c r="DP26" s="17">
        <f>DO26*VLOOKUP('Données projet'!$B$14,Paramètres!$A$1:$I$89,3,0)*VLOOKUP('Données projet'!$B$14,Paramètres!$A$1:$I$89,5,0)</f>
        <v>120.029</v>
      </c>
      <c r="DQ26" s="13">
        <f t="shared" si="43"/>
        <v>31.68176297276506</v>
      </c>
      <c r="DR26" s="20">
        <f t="shared" si="16"/>
        <v>264.22957884423249</v>
      </c>
      <c r="DS26" s="59">
        <f t="shared" si="17"/>
        <v>549.00735662201032</v>
      </c>
      <c r="DT26" s="59">
        <f ca="1">AVERAGE(OFFSET($DS$3,0,0,'Données projet'!$E$14+1,1))-AVERAGE(OFFSET($H$3,0,0,'Données projet'!$E$14+1,1))</f>
        <v>164.0740581424559</v>
      </c>
      <c r="DU26" s="59">
        <f t="shared" si="44"/>
        <v>280.99861170359793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6.6662719664026016</v>
      </c>
      <c r="ED26" s="22">
        <f t="shared" si="18"/>
        <v>6.6662719664026016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30.4</v>
      </c>
      <c r="EJ26" s="12">
        <f>IF('Données projet'!$A$192&gt;35,EJ25+EI26-ER25,IF(A26&lt;'Données projet'!$A$192,$EG$205^A26,IF(A26='Données projet'!$A$192,'Données projet'!$B$192,EJ25+EI26-ER25)))</f>
        <v>233.20000000000005</v>
      </c>
      <c r="EK26" s="17">
        <f>EJ26*VLOOKUP('Données projet'!$B$15,Paramètres!$A$1:$I$89,3,0)*VLOOKUP('Données projet'!$B$15,Paramètres!$A$1:$I$89,5,0)</f>
        <v>112.16920000000003</v>
      </c>
      <c r="EL26" s="13">
        <f t="shared" si="45"/>
        <v>29.84148270278088</v>
      </c>
      <c r="EM26" s="20">
        <f t="shared" si="19"/>
        <v>247.33527237401009</v>
      </c>
      <c r="EN26" s="59">
        <f t="shared" si="20"/>
        <v>532.11305015178789</v>
      </c>
      <c r="EO26" s="59">
        <f ca="1">AVERAGE(OFFSET($EN$3,0,0,'Données projet'!$E$15+1,1))-AVERAGE(OFFSET($H$3,0,0,'Données projet'!$E$15+1,1))</f>
        <v>312.1172301514103</v>
      </c>
      <c r="EP26" s="59">
        <f t="shared" si="46"/>
        <v>369.85500533493212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2.7662894212160518</v>
      </c>
      <c r="EX26" s="21">
        <f>EXP(-LN(2)/2)*EX25+(1-EXP(-LN(2)/2))/(LN(2)/2)*ER26*EU26*VLOOKUP('Données projet'!$B$15,Paramètres!$A$1:$I$89,3,0)*0.475*44/12</f>
        <v>6.6235994994826166</v>
      </c>
      <c r="EY26" s="22">
        <f t="shared" si="21"/>
        <v>9.3898889206986684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9.2000000000000011</v>
      </c>
      <c r="FE26" s="12">
        <f>IF('Données projet'!$A$218&gt;35,FE25+FD26-FM25,IF(A26&lt;'Données projet'!$A$218,$FB$205^A26,IF(A26='Données projet'!$A$218,'Données projet'!$B$218,FE25+FD26-FM25)))</f>
        <v>150.59999999999997</v>
      </c>
      <c r="FF26" s="17">
        <f>FE26*VLOOKUP('Données projet'!$B$16,Paramètres!$A$1:$I$89,3,0)*VLOOKUP('Données projet'!$B$16,Paramètres!$A$1:$I$89,5,0)</f>
        <v>70.480799999999988</v>
      </c>
      <c r="FG26" s="13">
        <f t="shared" si="47"/>
        <v>19.792809548371892</v>
      </c>
      <c r="FH26" s="20">
        <f t="shared" si="22"/>
        <v>157.226536630081</v>
      </c>
      <c r="FI26" s="59">
        <f t="shared" si="23"/>
        <v>442.00431440785877</v>
      </c>
      <c r="FJ26" s="59">
        <f ca="1">AVERAGE(OFFSET($FI$3,0,0,'Données projet'!$E$16+1,1))-AVERAGE(OFFSET($H$3,0,0,'Données projet'!$E$16+1,1))</f>
        <v>87.187251664304199</v>
      </c>
      <c r="FK26" s="59">
        <f t="shared" si="48"/>
        <v>148.84938257884147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2.1907760344011478</v>
      </c>
      <c r="FS26" s="21">
        <f>EXP(-LN(2)/2)*FS25+(1-EXP(-LN(2)/2))/(LN(2)/2)*FM26*FP26*VLOOKUP('Données projet'!$B$16,Paramètres!$A$1:$I$89,3,0)*0.475*44/12</f>
        <v>5.2455910555299159</v>
      </c>
      <c r="FT26" s="22">
        <f t="shared" si="24"/>
        <v>7.4363670899310641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16.399999999999999</v>
      </c>
      <c r="FZ26" s="12">
        <f>IF('Données projet'!$A$244&gt;35,FZ25+FY26-GH25,IF(A26&lt;'Données projet'!$A$244,$FW$205^A26,IF(A26='Données projet'!$A$244,'Données projet'!$B$244,FZ25+FY26-GH25)))</f>
        <v>171.20000000000002</v>
      </c>
      <c r="GA26" s="17">
        <f>FZ26*VLOOKUP('Données projet'!$B$17,Paramètres!$A$1:$I$89,3,0)*VLOOKUP('Données projet'!$B$17,Paramètres!$A$1:$I$89,5,0)</f>
        <v>102.37760000000002</v>
      </c>
      <c r="GB26" s="13">
        <f t="shared" si="49"/>
        <v>27.527651005505614</v>
      </c>
      <c r="GC26" s="20">
        <f t="shared" si="25"/>
        <v>226.25164550125564</v>
      </c>
      <c r="GD26" s="59">
        <f t="shared" si="26"/>
        <v>511.02942327903338</v>
      </c>
      <c r="GE26" s="59">
        <f ca="1">AVERAGE(OFFSET($GD$3,0,0,'Données projet'!$E$17+1,1))-AVERAGE(OFFSET($H$3,0,0,'Données projet'!$E$17+1,1))</f>
        <v>282.94722676586207</v>
      </c>
      <c r="GF26" s="59">
        <f t="shared" si="50"/>
        <v>310.63647941571298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0.98158146995895568</v>
      </c>
      <c r="GN26" s="21">
        <f>EXP(-LN(2)/2)*GN25+(1-EXP(-LN(2)/2))/(LN(2)/2)*GH26*GK26*VLOOKUP('Données projet'!$B$17,Paramètres!$A$1:$I$89,3,0)*0.475*44/12</f>
        <v>2.8725855780282878</v>
      </c>
      <c r="GO26" s="21">
        <f t="shared" si="27"/>
        <v>3.8541670479872434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20</v>
      </c>
      <c r="GU26" s="12">
        <f>IF('Données projet'!$A$270&gt;35,GU25+GT26-HC25,IF(A26&lt;'Données projet'!$A$270,$GR$205^A26,IF(A26='Données projet'!$A$270,'Données projet'!$B$270,GU25+GT26-HC25)))</f>
        <v>177</v>
      </c>
      <c r="GV26" s="17">
        <f>GU26*VLOOKUP('Données projet'!$B$18,Paramètres!$A$1:$I$89,3,0)*VLOOKUP('Données projet'!$B$18,Paramètres!$A$1:$I$89,5,0)</f>
        <v>105.846</v>
      </c>
      <c r="GW26" s="13">
        <f t="shared" si="51"/>
        <v>28.350087862757704</v>
      </c>
      <c r="GX26" s="20">
        <f t="shared" si="28"/>
        <v>233.72485302763633</v>
      </c>
      <c r="GY26" s="59">
        <f t="shared" si="29"/>
        <v>518.50263080541413</v>
      </c>
      <c r="GZ26" s="59">
        <f ca="1">AVERAGE(OFFSET($GY$3,0,0,'Données projet'!$E$18+1,1))-AVERAGE(OFFSET($H$3,0,0,'Données projet'!$E$18+1,1))</f>
        <v>255.54398581450459</v>
      </c>
      <c r="HA26" s="59">
        <f t="shared" si="52"/>
        <v>276.52622328061204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9.6351307929698802</v>
      </c>
      <c r="HJ26" s="22">
        <f t="shared" si="30"/>
        <v>9.6351307929698802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15.8</v>
      </c>
      <c r="N27" s="13">
        <f>IF('Données projet'!$A$36&gt;35,N26+M27-V26,IF(A27&lt;'Données projet'!$A$36,$K$205^A27,IF(A27='Données projet'!$A$36,'Données projet'!$B$36,N26+M27-V26)))</f>
        <v>167.20000000000005</v>
      </c>
      <c r="O27" s="13">
        <f>N27*VLOOKUP('Données projet'!$B$9,Paramètres!$A$1:$I$89,3,0)*VLOOKUP('Données projet'!$B$9,Paramètres!$A$1:$I$89,5,0)</f>
        <v>146.06592000000006</v>
      </c>
      <c r="P27" s="13">
        <f t="shared" si="33"/>
        <v>37.683173643014399</v>
      </c>
      <c r="Q27" s="20">
        <f t="shared" si="2"/>
        <v>320.0296714282502</v>
      </c>
      <c r="R27" s="59">
        <f t="shared" si="0"/>
        <v>606.02967142825014</v>
      </c>
      <c r="S27" s="59">
        <f ca="1">AVERAGE(OFFSET($R$3,0,0,'Données projet'!$E$9+1,1))-AVERAGE(OFFSET($H$3,0,0,'Données projet'!$E$9+1,1))</f>
        <v>248.50221719467663</v>
      </c>
      <c r="T27" s="59">
        <f t="shared" si="34"/>
        <v>366.09064580347183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1.9182038909358203</v>
      </c>
      <c r="AA27" s="21">
        <f>EXP(-LN(2)/25)*AA26+(1-EXP(-LN(2)/25))/(LN(2)/25)*Calculateur!V27*Calculateur!X27*VLOOKUP('Données projet'!$B$9,Paramètres!$A$1:$I$89,3,0)*0.475*44/12</f>
        <v>7.404232192880758</v>
      </c>
      <c r="AB27" s="21">
        <f>EXP(-LN(2)/2)*AB26+(1-EXP(-LN(2)/2))/(LN(2)/2)*V27*Y27*VLOOKUP('Données projet'!$B$9,Paramètres!$A$1:$I$89,3,0)*0.475*44/12</f>
        <v>0</v>
      </c>
      <c r="AC27" s="22">
        <f t="shared" si="3"/>
        <v>9.3224360838165783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86.679839999999999</v>
      </c>
      <c r="AK27" s="13">
        <f t="shared" si="35"/>
        <v>23.762739053789723</v>
      </c>
      <c r="AL27" s="20">
        <f t="shared" si="4"/>
        <v>192.35415851868379</v>
      </c>
      <c r="AM27" s="59">
        <f t="shared" si="5"/>
        <v>478.35415851868379</v>
      </c>
      <c r="AN27" s="59">
        <f ca="1">AVERAGE(OFFSET($AM$3,0,0,'Données projet'!$E$10+1,1))-AVERAGE(OFFSET($H$3,0,0,'Données projet'!$E$10+1,1))</f>
        <v>263.22346936777603</v>
      </c>
      <c r="AO27" s="59">
        <f t="shared" si="36"/>
        <v>217.14714468707939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0.46012014341473284</v>
      </c>
      <c r="AW27" s="21">
        <f>EXP(-LN(2)/2)*AW26+(1-EXP(-LN(2)/2))/(LN(2)/2)*AQ27*AT27*VLOOKUP('Données projet'!$B$10,Paramètres!$A$1:$I$89,3,0)*0.475*44/12</f>
        <v>1.0244437828019464</v>
      </c>
      <c r="AX27" s="21">
        <f t="shared" si="6"/>
        <v>1.4845639262166792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79.871999999999971</v>
      </c>
      <c r="BF27" s="13">
        <f t="shared" si="37"/>
        <v>22.105884547145401</v>
      </c>
      <c r="BG27" s="20">
        <f t="shared" si="7"/>
        <v>177.61148225294485</v>
      </c>
      <c r="BH27" s="59">
        <f t="shared" si="8"/>
        <v>463.61148225294482</v>
      </c>
      <c r="BI27" s="59">
        <f ca="1">AVERAGE(OFFSET($BH$3,0,0,'Données projet'!$E$11+1,1))-AVERAGE(OFFSET($H$3,0,0,'Données projet'!$E$11+1,1))</f>
        <v>219.22204054948094</v>
      </c>
      <c r="BJ27" s="59">
        <f t="shared" si="38"/>
        <v>222.41711966122034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1.6527304001965979</v>
      </c>
      <c r="BR27" s="21">
        <f>EXP(-LN(2)/2)*BR26+(1-EXP(-LN(2)/2))/(LN(2)/2)*BL27*BO27*VLOOKUP('Données projet'!$B$11,Paramètres!$A$1:$I$89,3,0)*0.475*44/12</f>
        <v>3.6797549669610161</v>
      </c>
      <c r="BS27" s="22">
        <f t="shared" si="9"/>
        <v>5.3324853671576138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1.6</v>
      </c>
      <c r="BY27" s="12">
        <f>IF('Données projet'!$A$114&gt;35,BY26+BX27-CG26,IF(A27&lt;'Données projet'!$A$114,$BV$205^A27,IF(A27='Données projet'!$A$114,'Données projet'!$B$114,BY26+BX27-CG26)))</f>
        <v>22.130589875561462</v>
      </c>
      <c r="BZ27" s="13">
        <f>BY27*VLOOKUP('Données projet'!$B$12,Paramètres!$A$1:$I$89,3,0)*VLOOKUP('Données projet'!$B$12,Paramètres!$A$1:$I$89,5,0)</f>
        <v>18.988046113231736</v>
      </c>
      <c r="CA27" s="13">
        <f t="shared" si="39"/>
        <v>6.2117967659609219</v>
      </c>
      <c r="CB27" s="20">
        <f t="shared" si="10"/>
        <v>43.889726347927215</v>
      </c>
      <c r="CC27" s="59">
        <f t="shared" si="11"/>
        <v>329.88972634792719</v>
      </c>
      <c r="CD27" s="59">
        <f ca="1">AVERAGE(OFFSET($CC$3,0,0,'Données projet'!$E$12+1,1))-AVERAGE(OFFSET($H$3,0,0,'Données projet'!$E$12+1,1))</f>
        <v>237.27357081252273</v>
      </c>
      <c r="CE27" s="59">
        <f t="shared" si="40"/>
        <v>68.768479693848576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29.8</v>
      </c>
      <c r="CT27" s="12">
        <f>IF('Données projet'!$A$140&gt;35,CT26+CS27-DB26,IF(A27&lt;'Données projet'!$A$140,$CQ$205^A27,IF(A27='Données projet'!$A$140,'Données projet'!$B$140,CT26+CS27-DB26)))</f>
        <v>439.2</v>
      </c>
      <c r="CU27" s="17">
        <f>CT27*VLOOKUP('Données projet'!$B$13,Paramètres!$A$1:$I$89,3,0)*VLOOKUP('Données projet'!$B$13,Paramètres!$A$1:$I$89,5,0)</f>
        <v>245.5128</v>
      </c>
      <c r="CV27" s="13">
        <f t="shared" si="41"/>
        <v>59.624063998553147</v>
      </c>
      <c r="CW27" s="20">
        <f t="shared" si="13"/>
        <v>531.44670479748004</v>
      </c>
      <c r="CX27" s="59">
        <f t="shared" si="14"/>
        <v>817.44670479748004</v>
      </c>
      <c r="CY27" s="59">
        <f ca="1">AVERAGE(OFFSET($CX$3,0,0,'Données projet'!$E$13+1,1))-AVERAGE(OFFSET($H$3,0,0,'Données projet'!$E$13+1,1))</f>
        <v>474.03051418249999</v>
      </c>
      <c r="CZ27" s="59">
        <f t="shared" si="42"/>
        <v>649.52271992719091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1.599843027390307</v>
      </c>
      <c r="DH27" s="21">
        <f>EXP(-LN(2)/2)*DH26+(1-EXP(-LN(2)/2))/(LN(2)/2)*DB27*DE27*VLOOKUP('Données projet'!$B$13,Paramètres!$A$1:$I$89,3,0)*0.475*44/12</f>
        <v>1.0443144596235361</v>
      </c>
      <c r="DI27" s="22">
        <f t="shared" si="15"/>
        <v>2.6441574870138433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>
        <f>VLOOKUP(A27,'Données projet'!$A$165:$I$185,2,0)</f>
        <v>239</v>
      </c>
      <c r="DM27" s="12">
        <f>VLOOKUP(A27,'Données projet'!$A$165:$I$185,9,0)</f>
        <v>19.166666666666668</v>
      </c>
      <c r="DN27" s="12">
        <f t="array" ref="DN27">INDEX(DM:DM,MIN(IF(ISNUMBER(DM27:DM223),ROW(DM27:DM223),"")))</f>
        <v>19.166666666666668</v>
      </c>
      <c r="DO27" s="12">
        <f>IF('Données projet'!$A$166&gt;35,DO26+DN27-DW26,IF(A27&lt;'Données projet'!$A$166,$DL$205^A27,IF(A27='Données projet'!$A$166,'Données projet'!$B$166,DO26+DN27-DW26)))</f>
        <v>239</v>
      </c>
      <c r="DP27" s="17">
        <f>DO27*VLOOKUP('Données projet'!$B$14,Paramètres!$A$1:$I$89,3,0)*VLOOKUP('Données projet'!$B$14,Paramètres!$A$1:$I$89,5,0)</f>
        <v>130.494</v>
      </c>
      <c r="DQ27" s="13">
        <f t="shared" si="43"/>
        <v>34.110483018610772</v>
      </c>
      <c r="DR27" s="20">
        <f t="shared" si="16"/>
        <v>286.68614125741374</v>
      </c>
      <c r="DS27" s="59">
        <f t="shared" si="17"/>
        <v>572.68614125741374</v>
      </c>
      <c r="DT27" s="59">
        <f ca="1">AVERAGE(OFFSET($DS$3,0,0,'Données projet'!$E$14+1,1))-AVERAGE(OFFSET($H$3,0,0,'Données projet'!$E$14+1,1))</f>
        <v>164.0740581424559</v>
      </c>
      <c r="DU27" s="59">
        <f t="shared" si="44"/>
        <v>280.99861170359793</v>
      </c>
      <c r="DV27" s="15">
        <f>IF(ISNA(VLOOKUP(A27,'Données projet'!$A$165:$I$185,3,0)),0,VLOOKUP(A27,'Données projet'!$A$165:$I$185,3,0))</f>
        <v>4</v>
      </c>
      <c r="DW27" s="15">
        <f>IF(ISNA(VLOOKUP(A27,'Données projet'!$A$165:$I$185,4,0)),0,VLOOKUP(A27,'Données projet'!$A$165:$I$185,4,0))</f>
        <v>84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0.12</v>
      </c>
      <c r="DZ27" s="16">
        <f>IF(ISNA(VLOOKUP(A27,'Données projet'!$A$165:$I$185,7,0)),0%,VLOOKUP(A27,'Données projet'!$A$165:$I$185,7,0))</f>
        <v>0.8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7.2722394973056845</v>
      </c>
      <c r="EC27" s="21">
        <f>EXP(-LN(2)/2)*EC26+(1-EXP(-LN(2)/2))/(LN(2)/2)*DW27*DZ27*VLOOKUP('Données projet'!$B$14,Paramètres!$A$1:$I$89,3,0)*0.475*44/12</f>
        <v>46.25672778768012</v>
      </c>
      <c r="ED27" s="22">
        <f t="shared" si="18"/>
        <v>53.528967284985804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30.4</v>
      </c>
      <c r="EJ27" s="12">
        <f>IF('Données projet'!$A$192&gt;35,EJ26+EI27-ER26,IF(A27&lt;'Données projet'!$A$192,$EG$205^A27,IF(A27='Données projet'!$A$192,'Données projet'!$B$192,EJ26+EI27-ER26)))</f>
        <v>263.60000000000002</v>
      </c>
      <c r="EK27" s="17">
        <f>EJ27*VLOOKUP('Données projet'!$B$15,Paramètres!$A$1:$I$89,3,0)*VLOOKUP('Données projet'!$B$15,Paramètres!$A$1:$I$89,5,0)</f>
        <v>126.79160000000002</v>
      </c>
      <c r="EL27" s="13">
        <f t="shared" si="45"/>
        <v>33.2539175016191</v>
      </c>
      <c r="EM27" s="20">
        <f t="shared" si="19"/>
        <v>278.74594298198662</v>
      </c>
      <c r="EN27" s="59">
        <f t="shared" si="20"/>
        <v>564.74594298198667</v>
      </c>
      <c r="EO27" s="59">
        <f ca="1">AVERAGE(OFFSET($EN$3,0,0,'Données projet'!$E$15+1,1))-AVERAGE(OFFSET($H$3,0,0,'Données projet'!$E$15+1,1))</f>
        <v>312.1172301514103</v>
      </c>
      <c r="EP27" s="59">
        <f t="shared" si="46"/>
        <v>369.85500533493212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2.6906450915200608</v>
      </c>
      <c r="EX27" s="21">
        <f>EXP(-LN(2)/2)*EX26+(1-EXP(-LN(2)/2))/(LN(2)/2)*ER27*EU27*VLOOKUP('Données projet'!$B$15,Paramètres!$A$1:$I$89,3,0)*0.475*44/12</f>
        <v>4.6835921219479806</v>
      </c>
      <c r="EY27" s="22">
        <f t="shared" si="21"/>
        <v>7.3742372134680414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9.2000000000000011</v>
      </c>
      <c r="FE27" s="12">
        <f>IF('Données projet'!$A$218&gt;35,FE26+FD27-FM26,IF(A27&lt;'Données projet'!$A$218,$FB$205^A27,IF(A27='Données projet'!$A$218,'Données projet'!$B$218,FE26+FD27-FM26)))</f>
        <v>159.79999999999995</v>
      </c>
      <c r="FF27" s="17">
        <f>FE27*VLOOKUP('Données projet'!$B$16,Paramètres!$A$1:$I$89,3,0)*VLOOKUP('Données projet'!$B$16,Paramètres!$A$1:$I$89,5,0)</f>
        <v>74.786399999999986</v>
      </c>
      <c r="FG27" s="13">
        <f t="shared" si="47"/>
        <v>20.857475351088951</v>
      </c>
      <c r="FH27" s="20">
        <f t="shared" si="22"/>
        <v>166.57974956981323</v>
      </c>
      <c r="FI27" s="59">
        <f t="shared" si="23"/>
        <v>452.5797495698132</v>
      </c>
      <c r="FJ27" s="59">
        <f ca="1">AVERAGE(OFFSET($FI$3,0,0,'Données projet'!$E$16+1,1))-AVERAGE(OFFSET($H$3,0,0,'Données projet'!$E$16+1,1))</f>
        <v>87.187251664304199</v>
      </c>
      <c r="FK27" s="59">
        <f t="shared" si="48"/>
        <v>148.84938257884147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2.1308691485325437</v>
      </c>
      <c r="FS27" s="21">
        <f>EXP(-LN(2)/2)*FS26+(1-EXP(-LN(2)/2))/(LN(2)/2)*FM27*FP27*VLOOKUP('Données projet'!$B$16,Paramètres!$A$1:$I$89,3,0)*0.475*44/12</f>
        <v>3.7091930066967032</v>
      </c>
      <c r="FT27" s="22">
        <f t="shared" si="24"/>
        <v>5.8400621552292469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16.399999999999999</v>
      </c>
      <c r="FZ27" s="12">
        <f>IF('Données projet'!$A$244&gt;35,FZ26+FY27-GH26,IF(A27&lt;'Données projet'!$A$244,$FW$205^A27,IF(A27='Données projet'!$A$244,'Données projet'!$B$244,FZ26+FY27-GH26)))</f>
        <v>187.60000000000002</v>
      </c>
      <c r="GA27" s="17">
        <f>FZ27*VLOOKUP('Données projet'!$B$17,Paramètres!$A$1:$I$89,3,0)*VLOOKUP('Données projet'!$B$17,Paramètres!$A$1:$I$89,5,0)</f>
        <v>112.18480000000002</v>
      </c>
      <c r="GB27" s="13">
        <f t="shared" si="49"/>
        <v>29.845149809641946</v>
      </c>
      <c r="GC27" s="20">
        <f t="shared" si="25"/>
        <v>247.36882925179307</v>
      </c>
      <c r="GD27" s="59">
        <f t="shared" si="26"/>
        <v>533.36882925179304</v>
      </c>
      <c r="GE27" s="59">
        <f ca="1">AVERAGE(OFFSET($GD$3,0,0,'Données projet'!$E$17+1,1))-AVERAGE(OFFSET($H$3,0,0,'Données projet'!$E$17+1,1))</f>
        <v>282.94722676586207</v>
      </c>
      <c r="GF27" s="59">
        <f t="shared" si="50"/>
        <v>310.63647941571298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0.95474007304380193</v>
      </c>
      <c r="GN27" s="21">
        <f>EXP(-LN(2)/2)*GN26+(1-EXP(-LN(2)/2))/(LN(2)/2)*GH27*GK27*VLOOKUP('Données projet'!$B$17,Paramètres!$A$1:$I$89,3,0)*0.475*44/12</f>
        <v>2.0312247417624807</v>
      </c>
      <c r="GO27" s="21">
        <f t="shared" si="27"/>
        <v>2.9859648148062825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>
        <f>VLOOKUP(A27,'Données projet'!$A$269:$I$289,2,0)</f>
        <v>197</v>
      </c>
      <c r="GS27" s="12">
        <f>VLOOKUP(A27,'Données projet'!$A$269:$I$289,9,0)</f>
        <v>20</v>
      </c>
      <c r="GT27" s="12">
        <f t="array" ref="GT27">INDEX(GS:GS,MIN(IF(ISNUMBER(GS27:GS223),ROW(GS27:GS223),"")))</f>
        <v>20</v>
      </c>
      <c r="GU27" s="12">
        <f>IF('Données projet'!$A$270&gt;35,GU26+GT27-HC26,IF(A27&lt;'Données projet'!$A$270,$GR$205^A27,IF(A27='Données projet'!$A$270,'Données projet'!$B$270,GU26+GT27-HC26)))</f>
        <v>197</v>
      </c>
      <c r="GV27" s="17">
        <f>GU27*VLOOKUP('Données projet'!$B$18,Paramètres!$A$1:$I$89,3,0)*VLOOKUP('Données projet'!$B$18,Paramètres!$A$1:$I$89,5,0)</f>
        <v>117.80600000000001</v>
      </c>
      <c r="GW27" s="13">
        <f t="shared" si="51"/>
        <v>31.162736572430632</v>
      </c>
      <c r="GX27" s="20">
        <f t="shared" si="28"/>
        <v>259.45388286365005</v>
      </c>
      <c r="GY27" s="59">
        <f t="shared" si="29"/>
        <v>545.45388286365005</v>
      </c>
      <c r="GZ27" s="59">
        <f ca="1">AVERAGE(OFFSET($GY$3,0,0,'Données projet'!$E$18+1,1))-AVERAGE(OFFSET($H$3,0,0,'Données projet'!$E$18+1,1))</f>
        <v>255.54398581450459</v>
      </c>
      <c r="HA27" s="59">
        <f t="shared" si="52"/>
        <v>276.52622328061204</v>
      </c>
      <c r="HB27" s="15">
        <f>IF(ISNA(VLOOKUP(A27,'Données projet'!$A$269:$I$289,3,0)),0,VLOOKUP(A27,'Données projet'!$A$269:$I$289,3,0))</f>
        <v>4</v>
      </c>
      <c r="HC27" s="15">
        <f>IF(ISNA(VLOOKUP(A27,'Données projet'!$A$269:$I$289,4,0)),0,VLOOKUP(A27,'Données projet'!$A$269:$I$289,4,0))</f>
        <v>43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9.0000000000000011E-2</v>
      </c>
      <c r="HF27" s="16">
        <f>IF(ISNA(VLOOKUP(A27,'Données projet'!$A$269:$I$289,7,0)),0%,VLOOKUP(A27,'Données projet'!$A$269:$I$289,7,0))</f>
        <v>0.8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3.0579272376000524</v>
      </c>
      <c r="HI27" s="21">
        <f>EXP(-LN(2)/2)*HI26+(1-EXP(-LN(2)/2))/(LN(2)/2)*HC27*HF27*VLOOKUP('Données projet'!$B$18,Paramètres!$A$1:$I$89,3,0)*0.475*44/12</f>
        <v>30.104443360204755</v>
      </c>
      <c r="HJ27" s="22">
        <f t="shared" si="30"/>
        <v>33.162370597804809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183</v>
      </c>
      <c r="L28" s="12">
        <f>VLOOKUP(A28,'Données projet'!$A$35:$I$55,9,0)</f>
        <v>15.8</v>
      </c>
      <c r="M28" s="12">
        <f t="array" ref="M28">INDEX(L:L,MIN(IF(ISNUMBER(L28:L224),ROW(L28:L224),"")))</f>
        <v>15.8</v>
      </c>
      <c r="N28" s="13">
        <f>IF('Données projet'!$A$36&gt;35,N27+M28-V27,IF(A28&lt;'Données projet'!$A$36,$K$205^A28,IF(A28='Données projet'!$A$36,'Données projet'!$B$36,N27+M28-V27)))</f>
        <v>183.00000000000006</v>
      </c>
      <c r="O28" s="13">
        <f>N28*VLOOKUP('Données projet'!$B$9,Paramètres!$A$1:$I$89,3,0)*VLOOKUP('Données projet'!$B$9,Paramètres!$A$1:$I$89,5,0)</f>
        <v>159.86880000000008</v>
      </c>
      <c r="P28" s="13">
        <f t="shared" si="33"/>
        <v>40.812921467768035</v>
      </c>
      <c r="Q28" s="20">
        <f t="shared" si="2"/>
        <v>349.52066488969609</v>
      </c>
      <c r="R28" s="59">
        <f t="shared" si="0"/>
        <v>636.74288711191832</v>
      </c>
      <c r="S28" s="59">
        <f ca="1">AVERAGE(OFFSET($R$3,0,0,'Données projet'!$E$9+1,1))-AVERAGE(OFFSET($H$3,0,0,'Données projet'!$E$9+1,1))</f>
        <v>248.50221719467663</v>
      </c>
      <c r="T28" s="59">
        <f t="shared" si="34"/>
        <v>366.09064580347183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</v>
      </c>
      <c r="W28" s="16">
        <f>IF(ISNA(VLOOKUP(A28,'Données projet'!$A$35:$I$55,5,0)),0%,VLOOKUP(A28,'Données projet'!$A$35:$I$55,5,0)*VLOOKUP('Données projet'!$B$9,Paramètres!$A$1:$I$89,7,0))</f>
        <v>4.3000000000000003E-2</v>
      </c>
      <c r="X28" s="16">
        <f>IF(ISNA(VLOOKUP(A28,'Données projet'!$A$35:$I$55,6,0)),0%,VLOOKUP(A28,'Données projet'!$A$35:$I$55,6,0)*VLOOKUP('Données projet'!$B$9,Paramètres!$A$1:$I$89,7,0))</f>
        <v>0.215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4.0399813157035434</v>
      </c>
      <c r="AA28" s="21">
        <f>EXP(-LN(2)/25)*AA27+(1-EXP(-LN(2)/25))/(LN(2)/25)*Calculateur!V28*Calculateur!X28*VLOOKUP('Données projet'!$B$9,Paramètres!$A$1:$I$89,3,0)*0.475*44/12</f>
        <v>17.956212489522507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21.996193805226049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93.194400000000002</v>
      </c>
      <c r="AK28" s="13">
        <f t="shared" si="35"/>
        <v>25.33406653691528</v>
      </c>
      <c r="AL28" s="20">
        <f t="shared" si="4"/>
        <v>206.43707921846078</v>
      </c>
      <c r="AM28" s="59">
        <f t="shared" si="5"/>
        <v>493.65930144068301</v>
      </c>
      <c r="AN28" s="59">
        <f ca="1">AVERAGE(OFFSET($AM$3,0,0,'Données projet'!$E$10+1,1))-AVERAGE(OFFSET($H$3,0,0,'Données projet'!$E$10+1,1))</f>
        <v>263.22346936777603</v>
      </c>
      <c r="AO28" s="59">
        <f t="shared" si="36"/>
        <v>217.14714468707939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8.6000000000000007E-2</v>
      </c>
      <c r="AT28" s="16">
        <f>IF(ISNA(VLOOKUP(A28,'Données projet'!$A$61:$I$81,7,0)),0%,VLOOKUP(A28,'Données projet'!$A$61:$I$81,7,0))</f>
        <v>0.8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2.8466076188541125</v>
      </c>
      <c r="AW28" s="21">
        <f>EXP(-LN(2)/2)*AW27+(1-EXP(-LN(2)/2))/(LN(2)/2)*AQ28*AT28*VLOOKUP('Données projet'!$B$10,Paramètres!$A$1:$I$89,3,0)*0.475*44/12</f>
        <v>19.847341758066651</v>
      </c>
      <c r="AX28" s="21">
        <f t="shared" si="6"/>
        <v>22.693949376920763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112.99999999999996</v>
      </c>
      <c r="BE28" s="13">
        <f>BD28*VLOOKUP('Données projet'!$B$11,Paramètres!$A$1:$I$89,3,0)*VLOOKUP('Données projet'!$B$11,Paramètres!$A$1:$I$89,5,0)</f>
        <v>88.139999999999972</v>
      </c>
      <c r="BF28" s="13">
        <f t="shared" si="37"/>
        <v>24.116094026318823</v>
      </c>
      <c r="BG28" s="20">
        <f t="shared" si="7"/>
        <v>195.51269709583855</v>
      </c>
      <c r="BH28" s="59">
        <f t="shared" si="8"/>
        <v>482.73491931806075</v>
      </c>
      <c r="BI28" s="59">
        <f ca="1">AVERAGE(OFFSET($BH$3,0,0,'Données projet'!$E$11+1,1))-AVERAGE(OFFSET($H$3,0,0,'Données projet'!$E$11+1,1))</f>
        <v>219.22204054948094</v>
      </c>
      <c r="BJ28" s="59">
        <f t="shared" si="38"/>
        <v>222.41711966122034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8.6000000000000007E-2</v>
      </c>
      <c r="BO28" s="16">
        <f>IF(ISNA(VLOOKUP(A28,'Données projet'!$A$87:$I$107,7,0)),0%,VLOOKUP(A28,'Données projet'!$A$87:$I$107,7,0))</f>
        <v>0.8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3.6018367728377676</v>
      </c>
      <c r="BR28" s="21">
        <f>EXP(-LN(2)/2)*BR27+(1-EXP(-LN(2)/2))/(LN(2)/2)*BL28*BO28*VLOOKUP('Données projet'!$B$11,Paramètres!$A$1:$I$89,3,0)*0.475*44/12</f>
        <v>18.498521147514595</v>
      </c>
      <c r="BS28" s="22">
        <f t="shared" si="9"/>
        <v>22.100357920352362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1.6</v>
      </c>
      <c r="BY28" s="12">
        <f>IF('Données projet'!$A$114&gt;35,BY27+BX28-CG27,IF(A28&lt;'Données projet'!$A$114,$BV$205^A28,IF(A28='Données projet'!$A$114,'Données projet'!$B$114,BY27+BX28-CG27)))</f>
        <v>25.178761522119551</v>
      </c>
      <c r="BZ28" s="13">
        <f>BY28*VLOOKUP('Données projet'!$B$12,Paramètres!$A$1:$I$89,3,0)*VLOOKUP('Données projet'!$B$12,Paramètres!$A$1:$I$89,5,0)</f>
        <v>21.603377385978579</v>
      </c>
      <c r="CA28" s="13">
        <f t="shared" si="39"/>
        <v>6.962022088893737</v>
      </c>
      <c r="CB28" s="20">
        <f t="shared" si="10"/>
        <v>49.751404085402612</v>
      </c>
      <c r="CC28" s="59">
        <f t="shared" si="11"/>
        <v>336.97362630762484</v>
      </c>
      <c r="CD28" s="59">
        <f ca="1">AVERAGE(OFFSET($CC$3,0,0,'Données projet'!$E$12+1,1))-AVERAGE(OFFSET($H$3,0,0,'Données projet'!$E$12+1,1))</f>
        <v>237.27357081252273</v>
      </c>
      <c r="CE28" s="59">
        <f t="shared" si="40"/>
        <v>68.768479693848576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469</v>
      </c>
      <c r="CR28" s="12">
        <f>VLOOKUP(A28,'Données projet'!$A$139:$I$159,9,0)</f>
        <v>29.8</v>
      </c>
      <c r="CS28" s="12">
        <f t="array" ref="CS28">INDEX(CR:CR,MIN(IF(ISNUMBER(CR28:CR224),ROW(CR28:CR224),"")))</f>
        <v>29.8</v>
      </c>
      <c r="CT28" s="12">
        <f>IF('Données projet'!$A$140&gt;35,CT27+CS28-DB27,IF(A28&lt;'Données projet'!$A$140,$CQ$205^A28,IF(A28='Données projet'!$A$140,'Données projet'!$B$140,CT27+CS28-DB27)))</f>
        <v>469</v>
      </c>
      <c r="CU28" s="17">
        <f>CT28*VLOOKUP('Données projet'!$B$13,Paramètres!$A$1:$I$89,3,0)*VLOOKUP('Données projet'!$B$13,Paramètres!$A$1:$I$89,5,0)</f>
        <v>262.17099999999999</v>
      </c>
      <c r="CV28" s="13">
        <f t="shared" si="41"/>
        <v>63.184923227726436</v>
      </c>
      <c r="CW28" s="20">
        <f t="shared" si="13"/>
        <v>566.66156628829015</v>
      </c>
      <c r="CX28" s="59">
        <f t="shared" si="14"/>
        <v>853.88378851051243</v>
      </c>
      <c r="CY28" s="59">
        <f ca="1">AVERAGE(OFFSET($CX$3,0,0,'Données projet'!$E$13+1,1))-AVERAGE(OFFSET($H$3,0,0,'Données projet'!$E$13+1,1))</f>
        <v>474.03051418249999</v>
      </c>
      <c r="CZ28" s="59">
        <f t="shared" si="42"/>
        <v>649.52271992719091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46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0.22000000000000003</v>
      </c>
      <c r="DE28" s="16">
        <f>IF(ISNA(VLOOKUP(A28,'Données projet'!$A$139:$I$159,7,0)),0%,VLOOKUP(A28,'Données projet'!$A$139:$I$159,7,0))</f>
        <v>0.6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9.0310284831410268</v>
      </c>
      <c r="DH28" s="21">
        <f>EXP(-LN(2)/2)*DH27+(1-EXP(-LN(2)/2))/(LN(2)/2)*DB28*DE28*VLOOKUP('Données projet'!$B$13,Paramètres!$A$1:$I$89,3,0)*0.475*44/12</f>
        <v>18.206974615248292</v>
      </c>
      <c r="DI28" s="22">
        <f t="shared" si="15"/>
        <v>27.238003098389321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16.666666666666668</v>
      </c>
      <c r="DO28" s="12">
        <f>IF('Données projet'!$A$166&gt;35,DO27+DN28-DW27,IF(A28&lt;'Données projet'!$A$166,$DL$205^A28,IF(A28='Données projet'!$A$166,'Données projet'!$B$166,DO27+DN28-DW27)))</f>
        <v>171.66666666666666</v>
      </c>
      <c r="DP28" s="17">
        <f>DO28*VLOOKUP('Données projet'!$B$14,Paramètres!$A$1:$I$89,3,0)*VLOOKUP('Données projet'!$B$14,Paramètres!$A$1:$I$89,5,0)</f>
        <v>93.72999999999999</v>
      </c>
      <c r="DQ28" s="13">
        <f t="shared" si="43"/>
        <v>25.462674063925309</v>
      </c>
      <c r="DR28" s="20">
        <f t="shared" si="16"/>
        <v>207.59390732800321</v>
      </c>
      <c r="DS28" s="59">
        <f t="shared" si="17"/>
        <v>494.81612955022547</v>
      </c>
      <c r="DT28" s="59">
        <f ca="1">AVERAGE(OFFSET($DS$3,0,0,'Données projet'!$E$14+1,1))-AVERAGE(OFFSET($H$3,0,0,'Données projet'!$E$14+1,1))</f>
        <v>164.0740581424559</v>
      </c>
      <c r="DU28" s="59">
        <f t="shared" si="44"/>
        <v>280.99861170359793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7.0733797258214066</v>
      </c>
      <c r="EC28" s="21">
        <f>EXP(-LN(2)/2)*EC27+(1-EXP(-LN(2)/2))/(LN(2)/2)*DW28*DZ28*VLOOKUP('Données projet'!$B$14,Paramètres!$A$1:$I$89,3,0)*0.475*44/12</f>
        <v>32.708445894168818</v>
      </c>
      <c r="ED28" s="22">
        <f t="shared" si="18"/>
        <v>39.781825619990222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294</v>
      </c>
      <c r="EH28" s="12">
        <f>VLOOKUP(A28,'Données projet'!$A$191:$I$211,9,0)</f>
        <v>30.4</v>
      </c>
      <c r="EI28" s="12">
        <f t="array" ref="EI28">INDEX(EH:EH,MIN(IF(ISNUMBER(EH28:EH224),ROW(EH28:EH224),"")))</f>
        <v>30.4</v>
      </c>
      <c r="EJ28" s="12">
        <f>IF('Données projet'!$A$192&gt;35,EJ27+EI28-ER27,IF(A28&lt;'Données projet'!$A$192,$EG$205^A28,IF(A28='Données projet'!$A$192,'Données projet'!$B$192,EJ27+EI28-ER27)))</f>
        <v>294</v>
      </c>
      <c r="EK28" s="17">
        <f>EJ28*VLOOKUP('Données projet'!$B$15,Paramètres!$A$1:$I$89,3,0)*VLOOKUP('Données projet'!$B$15,Paramètres!$A$1:$I$89,5,0)</f>
        <v>141.41400000000002</v>
      </c>
      <c r="EL28" s="13">
        <f t="shared" si="45"/>
        <v>36.620743339746923</v>
      </c>
      <c r="EM28" s="20">
        <f t="shared" si="19"/>
        <v>310.07717798339257</v>
      </c>
      <c r="EN28" s="59">
        <f t="shared" si="20"/>
        <v>597.2994002056148</v>
      </c>
      <c r="EO28" s="59">
        <f ca="1">AVERAGE(OFFSET($EN$3,0,0,'Données projet'!$E$15+1,1))-AVERAGE(OFFSET($H$3,0,0,'Données projet'!$E$15+1,1))</f>
        <v>312.1172301514103</v>
      </c>
      <c r="EP28" s="59">
        <f t="shared" si="46"/>
        <v>369.85500533493212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77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0.11000000000000001</v>
      </c>
      <c r="EU28" s="16">
        <f>IF(ISNA(VLOOKUP(A28,'Données projet'!$A$191:$I$211,7,0)),0%,VLOOKUP(A28,'Données projet'!$A$191:$I$211,7,0))</f>
        <v>0.8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8.0003060704204465</v>
      </c>
      <c r="EX28" s="21">
        <f>EXP(-LN(2)/2)*EX27+(1-EXP(-LN(2)/2))/(LN(2)/2)*ER28*EU28*VLOOKUP('Données projet'!$B$15,Paramètres!$A$1:$I$89,3,0)*0.475*44/12</f>
        <v>36.859389832531484</v>
      </c>
      <c r="EY28" s="22">
        <f t="shared" si="21"/>
        <v>44.859695902951927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9.2000000000000011</v>
      </c>
      <c r="FE28" s="12">
        <f>IF('Données projet'!$A$218&gt;35,FE27+FD28-FM27,IF(A28&lt;'Données projet'!$A$218,$FB$205^A28,IF(A28='Données projet'!$A$218,'Données projet'!$B$218,FE27+FD28-FM27)))</f>
        <v>168.99999999999994</v>
      </c>
      <c r="FF28" s="17">
        <f>FE28*VLOOKUP('Données projet'!$B$16,Paramètres!$A$1:$I$89,3,0)*VLOOKUP('Données projet'!$B$16,Paramètres!$A$1:$I$89,5,0)</f>
        <v>79.09199999999997</v>
      </c>
      <c r="FG28" s="13">
        <f t="shared" si="47"/>
        <v>21.915026131449999</v>
      </c>
      <c r="FH28" s="20">
        <f t="shared" si="22"/>
        <v>175.92057051227536</v>
      </c>
      <c r="FI28" s="59">
        <f t="shared" si="23"/>
        <v>463.14279273449756</v>
      </c>
      <c r="FJ28" s="59">
        <f ca="1">AVERAGE(OFFSET($FI$3,0,0,'Données projet'!$E$16+1,1))-AVERAGE(OFFSET($H$3,0,0,'Données projet'!$E$16+1,1))</f>
        <v>87.187251664304199</v>
      </c>
      <c r="FK28" s="59">
        <f t="shared" si="48"/>
        <v>148.84938257884147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2.0726004196083831</v>
      </c>
      <c r="FS28" s="21">
        <f>EXP(-LN(2)/2)*FS27+(1-EXP(-LN(2)/2))/(LN(2)/2)*FM28*FP28*VLOOKUP('Données projet'!$B$16,Paramètres!$A$1:$I$89,3,0)*0.475*44/12</f>
        <v>2.6227955277649579</v>
      </c>
      <c r="FT28" s="22">
        <f t="shared" si="24"/>
        <v>4.6953959473733411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204</v>
      </c>
      <c r="FX28" s="12">
        <f>VLOOKUP(A28,'Données projet'!$A$243:$I$263,9,0)</f>
        <v>16.399999999999999</v>
      </c>
      <c r="FY28" s="12">
        <f t="array" ref="FY28">INDEX(FX:FX,MIN(IF(ISNUMBER(FX28:FX224),ROW(FX28:FX224),"")))</f>
        <v>16.399999999999999</v>
      </c>
      <c r="FZ28" s="12">
        <f>IF('Données projet'!$A$244&gt;35,FZ27+FY28-GH27,IF(A28&lt;'Données projet'!$A$244,$FW$205^A28,IF(A28='Données projet'!$A$244,'Données projet'!$B$244,FZ27+FY28-GH27)))</f>
        <v>204.00000000000003</v>
      </c>
      <c r="GA28" s="17">
        <f>FZ28*VLOOKUP('Données projet'!$B$17,Paramètres!$A$1:$I$89,3,0)*VLOOKUP('Données projet'!$B$17,Paramètres!$A$1:$I$89,5,0)</f>
        <v>121.99200000000003</v>
      </c>
      <c r="GB28" s="13">
        <f t="shared" si="49"/>
        <v>32.139154469866327</v>
      </c>
      <c r="GC28" s="20">
        <f t="shared" si="25"/>
        <v>268.44509403501723</v>
      </c>
      <c r="GD28" s="59">
        <f t="shared" si="26"/>
        <v>555.66731625723946</v>
      </c>
      <c r="GE28" s="59">
        <f ca="1">AVERAGE(OFFSET($GD$3,0,0,'Données projet'!$E$17+1,1))-AVERAGE(OFFSET($H$3,0,0,'Données projet'!$E$17+1,1))</f>
        <v>282.94722676586207</v>
      </c>
      <c r="GF28" s="59">
        <f t="shared" si="50"/>
        <v>310.63647941571298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36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9.0000000000000011E-2</v>
      </c>
      <c r="GK28" s="16">
        <f>IF(ISNA(VLOOKUP(A28,'Données projet'!$A$243:$I$263,7,0)),0%,VLOOKUP(A28,'Données projet'!$A$243:$I$263,7,0))</f>
        <v>0.8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3.4887577846923539</v>
      </c>
      <c r="GN28" s="21">
        <f>EXP(-LN(2)/2)*GN27+(1-EXP(-LN(2)/2))/(LN(2)/2)*GH28*GK28*VLOOKUP('Données projet'!$B$17,Paramètres!$A$1:$I$89,3,0)*0.475*44/12</f>
        <v>20.936050309933947</v>
      </c>
      <c r="GO28" s="21">
        <f t="shared" si="27"/>
        <v>24.4248080946263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19.75</v>
      </c>
      <c r="GU28" s="12">
        <f>IF('Données projet'!$A$270&gt;35,GU27+GT28-HC27,IF(A28&lt;'Données projet'!$A$270,$GR$205^A28,IF(A28='Données projet'!$A$270,'Données projet'!$B$270,GU27+GT28-HC27)))</f>
        <v>173.75</v>
      </c>
      <c r="GV28" s="17">
        <f>GU28*VLOOKUP('Données projet'!$B$18,Paramètres!$A$1:$I$89,3,0)*VLOOKUP('Données projet'!$B$18,Paramètres!$A$1:$I$89,5,0)</f>
        <v>103.9025</v>
      </c>
      <c r="GW28" s="13">
        <f t="shared" si="51"/>
        <v>27.889632783106542</v>
      </c>
      <c r="GX28" s="20">
        <f t="shared" si="28"/>
        <v>229.5379645972439</v>
      </c>
      <c r="GY28" s="59">
        <f t="shared" si="29"/>
        <v>516.76018681946607</v>
      </c>
      <c r="GZ28" s="59">
        <f ca="1">AVERAGE(OFFSET($GY$3,0,0,'Données projet'!$E$18+1,1))-AVERAGE(OFFSET($H$3,0,0,'Données projet'!$E$18+1,1))</f>
        <v>255.54398581450459</v>
      </c>
      <c r="HA28" s="59">
        <f t="shared" si="52"/>
        <v>276.52622328061204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2.9743080564784745</v>
      </c>
      <c r="HI28" s="21">
        <f>EXP(-LN(2)/2)*HI27+(1-EXP(-LN(2)/2))/(LN(2)/2)*HC28*HF28*VLOOKUP('Données projet'!$B$18,Paramètres!$A$1:$I$89,3,0)*0.475*44/12</f>
        <v>21.287056043847119</v>
      </c>
      <c r="HJ28" s="22">
        <f t="shared" si="30"/>
        <v>24.261364100325594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14.8</v>
      </c>
      <c r="N29" s="13">
        <f>IF('Données projet'!$A$36&gt;35,N28+M29-V28,IF(A29&lt;'Données projet'!$A$36,$K$205^A29,IF(A29='Données projet'!$A$36,'Données projet'!$B$36,N28+M29-V28)))</f>
        <v>145.80000000000007</v>
      </c>
      <c r="O29" s="13">
        <f>N29*VLOOKUP('Données projet'!$B$9,Paramètres!$A$1:$I$89,3,0)*VLOOKUP('Données projet'!$B$9,Paramètres!$A$1:$I$89,5,0)</f>
        <v>127.37088000000008</v>
      </c>
      <c r="P29" s="13">
        <f t="shared" si="33"/>
        <v>33.388126388800522</v>
      </c>
      <c r="Q29" s="20">
        <f t="shared" si="2"/>
        <v>279.98860279382774</v>
      </c>
      <c r="R29" s="59">
        <f t="shared" si="0"/>
        <v>568.43304723827214</v>
      </c>
      <c r="S29" s="59">
        <f ca="1">AVERAGE(OFFSET($R$3,0,0,'Données projet'!$E$9+1,1))-AVERAGE(OFFSET($H$3,0,0,'Données projet'!$E$9+1,1))</f>
        <v>248.50221719467663</v>
      </c>
      <c r="T29" s="59">
        <f t="shared" si="34"/>
        <v>366.09064580347183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3.9607597462478852</v>
      </c>
      <c r="AA29" s="21">
        <f>EXP(-LN(2)/25)*AA28+(1-EXP(-LN(2)/25))/(LN(2)/25)*Calculateur!V29*Calculateur!X29*VLOOKUP('Données projet'!$B$9,Paramètres!$A$1:$I$89,3,0)*0.475*44/12</f>
        <v>17.465198914720339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21.425958660968224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76.184160000000006</v>
      </c>
      <c r="AK29" s="13">
        <f t="shared" si="35"/>
        <v>21.201554232857223</v>
      </c>
      <c r="AL29" s="20">
        <f t="shared" si="4"/>
        <v>169.613452288893</v>
      </c>
      <c r="AM29" s="59">
        <f t="shared" si="5"/>
        <v>458.05789673333743</v>
      </c>
      <c r="AN29" s="59">
        <f ca="1">AVERAGE(OFFSET($AM$3,0,0,'Données projet'!$E$10+1,1))-AVERAGE(OFFSET($H$3,0,0,'Données projet'!$E$10+1,1))</f>
        <v>263.22346936777603</v>
      </c>
      <c r="AO29" s="59">
        <f t="shared" si="36"/>
        <v>217.14714468707939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2.7687669838199582</v>
      </c>
      <c r="AW29" s="21">
        <f>EXP(-LN(2)/2)*AW28+(1-EXP(-LN(2)/2))/(LN(2)/2)*AQ29*AT29*VLOOKUP('Données projet'!$B$10,Paramètres!$A$1:$I$89,3,0)*0.475*44/12</f>
        <v>14.034189945655864</v>
      </c>
      <c r="AX29" s="21">
        <f t="shared" si="6"/>
        <v>16.802956929475823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11.5</v>
      </c>
      <c r="BD29" s="12">
        <f>IF('Données projet'!$A$88&gt;35,BD28+BC29-BL28,IF(A29&lt;'Données projet'!$A$88,$BA$205^A29,IF(A29='Données projet'!$A$88,'Données projet'!$B$88,BD28+BC29-BL28)))</f>
        <v>97.499999999999957</v>
      </c>
      <c r="BE29" s="13">
        <f>BD29*VLOOKUP('Données projet'!$B$11,Paramètres!$A$1:$I$89,3,0)*VLOOKUP('Données projet'!$B$11,Paramètres!$A$1:$I$89,5,0)</f>
        <v>76.049999999999969</v>
      </c>
      <c r="BF29" s="13">
        <f t="shared" si="37"/>
        <v>21.168560890749262</v>
      </c>
      <c r="BG29" s="20">
        <f t="shared" si="7"/>
        <v>169.32232688472158</v>
      </c>
      <c r="BH29" s="59">
        <f t="shared" si="8"/>
        <v>457.76677132916603</v>
      </c>
      <c r="BI29" s="59">
        <f ca="1">AVERAGE(OFFSET($BH$3,0,0,'Données projet'!$E$11+1,1))-AVERAGE(OFFSET($H$3,0,0,'Données projet'!$E$11+1,1))</f>
        <v>219.22204054948094</v>
      </c>
      <c r="BJ29" s="59">
        <f t="shared" si="38"/>
        <v>222.41711966122034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3.5033443568721552</v>
      </c>
      <c r="BR29" s="21">
        <f>EXP(-LN(2)/2)*BR28+(1-EXP(-LN(2)/2))/(LN(2)/2)*BL29*BO29*VLOOKUP('Données projet'!$B$11,Paramètres!$A$1:$I$89,3,0)*0.475*44/12</f>
        <v>13.080429745330326</v>
      </c>
      <c r="BS29" s="22">
        <f t="shared" si="9"/>
        <v>16.583774102202483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1.6</v>
      </c>
      <c r="BY29" s="12">
        <f>IF('Données projet'!$A$114&gt;35,BY28+BX29-CG28,IF(A29&lt;'Données projet'!$A$114,$BV$205^A29,IF(A29='Données projet'!$A$114,'Données projet'!$B$114,BY28+BX29-CG28)))</f>
        <v>28.646775135797593</v>
      </c>
      <c r="BZ29" s="13">
        <f>BY29*VLOOKUP('Données projet'!$B$12,Paramètres!$A$1:$I$89,3,0)*VLOOKUP('Données projet'!$B$12,Paramètres!$A$1:$I$89,5,0)</f>
        <v>24.578933066514338</v>
      </c>
      <c r="CA29" s="13">
        <f t="shared" si="39"/>
        <v>7.8028553399953902</v>
      </c>
      <c r="CB29" s="20">
        <f t="shared" si="10"/>
        <v>56.398281474671109</v>
      </c>
      <c r="CC29" s="59">
        <f t="shared" si="11"/>
        <v>344.84272591911554</v>
      </c>
      <c r="CD29" s="59">
        <f ca="1">AVERAGE(OFFSET($CC$3,0,0,'Données projet'!$E$12+1,1))-AVERAGE(OFFSET($H$3,0,0,'Données projet'!$E$12+1,1))</f>
        <v>237.27357081252273</v>
      </c>
      <c r="CE29" s="59">
        <f t="shared" si="40"/>
        <v>68.768479693848576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27.4</v>
      </c>
      <c r="CT29" s="12">
        <f>IF('Données projet'!$A$140&gt;35,CT28+CS29-DB28,IF(A29&lt;'Données projet'!$A$140,$CQ$205^A29,IF(A29='Données projet'!$A$140,'Données projet'!$B$140,CT28+CS29-DB28)))</f>
        <v>450.4</v>
      </c>
      <c r="CU29" s="17">
        <f>CT29*VLOOKUP('Données projet'!$B$13,Paramètres!$A$1:$I$89,3,0)*VLOOKUP('Données projet'!$B$13,Paramètres!$A$1:$I$89,5,0)</f>
        <v>251.77360000000002</v>
      </c>
      <c r="CV29" s="13">
        <f t="shared" si="41"/>
        <v>60.965574198020335</v>
      </c>
      <c r="CW29" s="20">
        <f t="shared" si="13"/>
        <v>544.68739506155214</v>
      </c>
      <c r="CX29" s="59">
        <f t="shared" si="14"/>
        <v>833.1318395059966</v>
      </c>
      <c r="CY29" s="59">
        <f ca="1">AVERAGE(OFFSET($CX$3,0,0,'Données projet'!$E$13+1,1))-AVERAGE(OFFSET($H$3,0,0,'Données projet'!$E$13+1,1))</f>
        <v>474.03051418249999</v>
      </c>
      <c r="CZ29" s="59">
        <f t="shared" si="42"/>
        <v>649.52271992719091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8.7840745343483881</v>
      </c>
      <c r="DH29" s="21">
        <f>EXP(-LN(2)/2)*DH28+(1-EXP(-LN(2)/2))/(LN(2)/2)*DB29*DE29*VLOOKUP('Données projet'!$B$13,Paramètres!$A$1:$I$89,3,0)*0.475*44/12</f>
        <v>12.8742752153334</v>
      </c>
      <c r="DI29" s="22">
        <f t="shared" si="15"/>
        <v>21.65834974968179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16.666666666666668</v>
      </c>
      <c r="DO29" s="12">
        <f>IF('Données projet'!$A$166&gt;35,DO28+DN29-DW28,IF(A29&lt;'Données projet'!$A$166,$DL$205^A29,IF(A29='Données projet'!$A$166,'Données projet'!$B$166,DO28+DN29-DW28)))</f>
        <v>188.33333333333331</v>
      </c>
      <c r="DP29" s="17">
        <f>DO29*VLOOKUP('Données projet'!$B$14,Paramètres!$A$1:$I$89,3,0)*VLOOKUP('Données projet'!$B$14,Paramètres!$A$1:$I$89,5,0)</f>
        <v>102.83</v>
      </c>
      <c r="DQ29" s="13">
        <f t="shared" si="43"/>
        <v>27.635107084401234</v>
      </c>
      <c r="DR29" s="20">
        <f t="shared" si="16"/>
        <v>227.22672817199881</v>
      </c>
      <c r="DS29" s="59">
        <f t="shared" si="17"/>
        <v>515.6711726164433</v>
      </c>
      <c r="DT29" s="59">
        <f ca="1">AVERAGE(OFFSET($DS$3,0,0,'Données projet'!$E$14+1,1))-AVERAGE(OFFSET($H$3,0,0,'Données projet'!$E$14+1,1))</f>
        <v>164.0740581424559</v>
      </c>
      <c r="DU29" s="59">
        <f t="shared" si="44"/>
        <v>280.99861170359793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6.8799577852459466</v>
      </c>
      <c r="EC29" s="21">
        <f>EXP(-LN(2)/2)*EC28+(1-EXP(-LN(2)/2))/(LN(2)/2)*DW29*DZ29*VLOOKUP('Données projet'!$B$14,Paramètres!$A$1:$I$89,3,0)*0.475*44/12</f>
        <v>23.12836389384006</v>
      </c>
      <c r="ED29" s="22">
        <f t="shared" si="18"/>
        <v>30.008321679086006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31.8</v>
      </c>
      <c r="EJ29" s="12">
        <f>IF('Données projet'!$A$192&gt;35,EJ28+EI29-ER28,IF(A29&lt;'Données projet'!$A$192,$EG$205^A29,IF(A29='Données projet'!$A$192,'Données projet'!$B$192,EJ28+EI29-ER28)))</f>
        <v>248.8</v>
      </c>
      <c r="EK29" s="17">
        <f>EJ29*VLOOKUP('Données projet'!$B$15,Paramètres!$A$1:$I$89,3,0)*VLOOKUP('Données projet'!$B$15,Paramètres!$A$1:$I$89,5,0)</f>
        <v>119.6728</v>
      </c>
      <c r="EL29" s="13">
        <f t="shared" si="45"/>
        <v>31.598673144625497</v>
      </c>
      <c r="EM29" s="20">
        <f t="shared" si="19"/>
        <v>263.46448239355612</v>
      </c>
      <c r="EN29" s="59">
        <f t="shared" si="20"/>
        <v>551.90892683800053</v>
      </c>
      <c r="EO29" s="59">
        <f ca="1">AVERAGE(OFFSET($EN$3,0,0,'Données projet'!$E$15+1,1))-AVERAGE(OFFSET($H$3,0,0,'Données projet'!$E$15+1,1))</f>
        <v>312.1172301514103</v>
      </c>
      <c r="EP29" s="59">
        <f t="shared" si="46"/>
        <v>369.85500533493212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7.7815372802069884</v>
      </c>
      <c r="EX29" s="21">
        <f>EXP(-LN(2)/2)*EX28+(1-EXP(-LN(2)/2))/(LN(2)/2)*ER29*EU29*VLOOKUP('Données projet'!$B$15,Paramètres!$A$1:$I$89,3,0)*0.475*44/12</f>
        <v>26.063524500981497</v>
      </c>
      <c r="EY29" s="22">
        <f t="shared" si="21"/>
        <v>33.845061781188484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9.2000000000000011</v>
      </c>
      <c r="FE29" s="12">
        <f>IF('Données projet'!$A$218&gt;35,FE28+FD29-FM28,IF(A29&lt;'Données projet'!$A$218,$FB$205^A29,IF(A29='Données projet'!$A$218,'Données projet'!$B$218,FE28+FD29-FM28)))</f>
        <v>178.19999999999993</v>
      </c>
      <c r="FF29" s="17">
        <f>FE29*VLOOKUP('Données projet'!$B$16,Paramètres!$A$1:$I$89,3,0)*VLOOKUP('Données projet'!$B$16,Paramètres!$A$1:$I$89,5,0)</f>
        <v>83.397599999999969</v>
      </c>
      <c r="FG29" s="13">
        <f t="shared" si="47"/>
        <v>22.965893371329315</v>
      </c>
      <c r="FH29" s="20">
        <f t="shared" si="22"/>
        <v>185.24975095506514</v>
      </c>
      <c r="FI29" s="59">
        <f t="shared" si="23"/>
        <v>473.69419539950957</v>
      </c>
      <c r="FJ29" s="59">
        <f ca="1">AVERAGE(OFFSET($FI$3,0,0,'Données projet'!$E$16+1,1))-AVERAGE(OFFSET($H$3,0,0,'Données projet'!$E$16+1,1))</f>
        <v>87.187251664304199</v>
      </c>
      <c r="FK29" s="59">
        <f t="shared" si="48"/>
        <v>148.84938257884147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2.0159250521408727</v>
      </c>
      <c r="FS29" s="21">
        <f>EXP(-LN(2)/2)*FS28+(1-EXP(-LN(2)/2))/(LN(2)/2)*FM29*FP29*VLOOKUP('Données projet'!$B$16,Paramètres!$A$1:$I$89,3,0)*0.475*44/12</f>
        <v>1.8545965033483516</v>
      </c>
      <c r="FT29" s="22">
        <f t="shared" si="24"/>
        <v>3.8705215554892245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17.600000000000001</v>
      </c>
      <c r="FZ29" s="12">
        <f>IF('Données projet'!$A$244&gt;35,FZ28+FY29-GH28,IF(A29&lt;'Données projet'!$A$244,$FW$205^A29,IF(A29='Données projet'!$A$244,'Données projet'!$B$244,FZ28+FY29-GH28)))</f>
        <v>185.60000000000002</v>
      </c>
      <c r="GA29" s="17">
        <f>FZ29*VLOOKUP('Données projet'!$B$17,Paramètres!$A$1:$I$89,3,0)*VLOOKUP('Données projet'!$B$17,Paramètres!$A$1:$I$89,5,0)</f>
        <v>110.98880000000003</v>
      </c>
      <c r="GB29" s="13">
        <f t="shared" si="49"/>
        <v>29.56383208945169</v>
      </c>
      <c r="GC29" s="20">
        <f t="shared" si="25"/>
        <v>244.79583422246174</v>
      </c>
      <c r="GD29" s="59">
        <f t="shared" si="26"/>
        <v>533.24027866690619</v>
      </c>
      <c r="GE29" s="59">
        <f ca="1">AVERAGE(OFFSET($GD$3,0,0,'Données projet'!$E$17+1,1))-AVERAGE(OFFSET($H$3,0,0,'Données projet'!$E$17+1,1))</f>
        <v>282.94722676586207</v>
      </c>
      <c r="GF29" s="59">
        <f t="shared" si="50"/>
        <v>310.63647941571298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3.3933575196041432</v>
      </c>
      <c r="GN29" s="21">
        <f>EXP(-LN(2)/2)*GN28+(1-EXP(-LN(2)/2))/(LN(2)/2)*GH29*GK29*VLOOKUP('Données projet'!$B$17,Paramètres!$A$1:$I$89,3,0)*0.475*44/12</f>
        <v>14.804023145417014</v>
      </c>
      <c r="GO29" s="21">
        <f t="shared" si="27"/>
        <v>18.197380665021157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19.75</v>
      </c>
      <c r="GU29" s="12">
        <f>IF('Données projet'!$A$270&gt;35,GU28+GT29-HC28,IF(A29&lt;'Données projet'!$A$270,$GR$205^A29,IF(A29='Données projet'!$A$270,'Données projet'!$B$270,GU28+GT29-HC28)))</f>
        <v>193.5</v>
      </c>
      <c r="GV29" s="17">
        <f>GU29*VLOOKUP('Données projet'!$B$18,Paramètres!$A$1:$I$89,3,0)*VLOOKUP('Données projet'!$B$18,Paramètres!$A$1:$I$89,5,0)</f>
        <v>115.71300000000001</v>
      </c>
      <c r="GW29" s="13">
        <f t="shared" si="51"/>
        <v>30.673019842466044</v>
      </c>
      <c r="GX29" s="20">
        <f t="shared" si="28"/>
        <v>254.95565122562834</v>
      </c>
      <c r="GY29" s="59">
        <f t="shared" si="29"/>
        <v>543.4000956700728</v>
      </c>
      <c r="GZ29" s="59">
        <f ca="1">AVERAGE(OFFSET($GY$3,0,0,'Données projet'!$E$18+1,1))-AVERAGE(OFFSET($H$3,0,0,'Données projet'!$E$18+1,1))</f>
        <v>255.54398581450459</v>
      </c>
      <c r="HA29" s="59">
        <f t="shared" si="52"/>
        <v>276.52622328061204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2.8929754462620076</v>
      </c>
      <c r="HI29" s="21">
        <f>EXP(-LN(2)/2)*HI28+(1-EXP(-LN(2)/2))/(LN(2)/2)*HC29*HF29*VLOOKUP('Données projet'!$B$18,Paramètres!$A$1:$I$89,3,0)*0.475*44/12</f>
        <v>15.052221680102381</v>
      </c>
      <c r="HJ29" s="22">
        <f t="shared" si="30"/>
        <v>17.945197126364388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14.8</v>
      </c>
      <c r="N30" s="13">
        <f>IF('Données projet'!$A$36&gt;35,N29+M30-V29,IF(A30&lt;'Données projet'!$A$36,$K$205^A30,IF(A30='Données projet'!$A$36,'Données projet'!$B$36,N29+M30-V29)))</f>
        <v>160.60000000000008</v>
      </c>
      <c r="O30" s="13">
        <f>N30*VLOOKUP('Données projet'!$B$9,Paramètres!$A$1:$I$89,3,0)*VLOOKUP('Données projet'!$B$9,Paramètres!$A$1:$I$89,5,0)</f>
        <v>140.30016000000009</v>
      </c>
      <c r="P30" s="13">
        <f t="shared" si="33"/>
        <v>36.365759362628388</v>
      </c>
      <c r="Q30" s="20">
        <f t="shared" si="2"/>
        <v>307.69314288991126</v>
      </c>
      <c r="R30" s="59">
        <f t="shared" si="0"/>
        <v>597.35980955657794</v>
      </c>
      <c r="S30" s="59">
        <f ca="1">AVERAGE(OFFSET($R$3,0,0,'Données projet'!$E$9+1,1))-AVERAGE(OFFSET($H$3,0,0,'Données projet'!$E$9+1,1))</f>
        <v>248.50221719467663</v>
      </c>
      <c r="T30" s="59">
        <f t="shared" si="34"/>
        <v>366.09064580347183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3.8830916634488664</v>
      </c>
      <c r="AA30" s="21">
        <f>EXP(-LN(2)/25)*AA29+(1-EXP(-LN(2)/25))/(LN(2)/25)*Calculateur!V30*Calculateur!X30*VLOOKUP('Données projet'!$B$9,Paramètres!$A$1:$I$89,3,0)*0.475*44/12</f>
        <v>16.987612131942416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20.870703795391282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84.508320000000026</v>
      </c>
      <c r="AK30" s="13">
        <f t="shared" si="35"/>
        <v>23.235950088324714</v>
      </c>
      <c r="AL30" s="20">
        <f t="shared" si="4"/>
        <v>187.65460373716556</v>
      </c>
      <c r="AM30" s="59">
        <f t="shared" si="5"/>
        <v>477.32127040383227</v>
      </c>
      <c r="AN30" s="59">
        <f ca="1">AVERAGE(OFFSET($AM$3,0,0,'Données projet'!$E$10+1,1))-AVERAGE(OFFSET($H$3,0,0,'Données projet'!$E$10+1,1))</f>
        <v>263.22346936777603</v>
      </c>
      <c r="AO30" s="59">
        <f t="shared" si="36"/>
        <v>217.14714468707939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2.6930549050442738</v>
      </c>
      <c r="AW30" s="21">
        <f>EXP(-LN(2)/2)*AW29+(1-EXP(-LN(2)/2))/(LN(2)/2)*AQ30*AT30*VLOOKUP('Données projet'!$B$10,Paramètres!$A$1:$I$89,3,0)*0.475*44/12</f>
        <v>9.9236708790333275</v>
      </c>
      <c r="AX30" s="21">
        <f t="shared" si="6"/>
        <v>12.616725784077602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11.5</v>
      </c>
      <c r="BD30" s="12">
        <f>IF('Données projet'!$A$88&gt;35,BD29+BC30-BL29,IF(A30&lt;'Données projet'!$A$88,$BA$205^A30,IF(A30='Données projet'!$A$88,'Données projet'!$B$88,BD29+BC30-BL29)))</f>
        <v>108.99999999999996</v>
      </c>
      <c r="BE30" s="13">
        <f>BD30*VLOOKUP('Données projet'!$B$11,Paramètres!$A$1:$I$89,3,0)*VLOOKUP('Données projet'!$B$11,Paramètres!$A$1:$I$89,5,0)</f>
        <v>85.019999999999968</v>
      </c>
      <c r="BF30" s="13">
        <f t="shared" si="37"/>
        <v>23.360218970693097</v>
      </c>
      <c r="BG30" s="20">
        <f t="shared" si="7"/>
        <v>188.76221470729038</v>
      </c>
      <c r="BH30" s="59">
        <f t="shared" si="8"/>
        <v>478.4288813739571</v>
      </c>
      <c r="BI30" s="59">
        <f ca="1">AVERAGE(OFFSET($BH$3,0,0,'Données projet'!$E$11+1,1))-AVERAGE(OFFSET($H$3,0,0,'Données projet'!$E$11+1,1))</f>
        <v>219.22204054948094</v>
      </c>
      <c r="BJ30" s="59">
        <f t="shared" si="38"/>
        <v>222.41711966122034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3.4075452212006132</v>
      </c>
      <c r="BR30" s="21">
        <f>EXP(-LN(2)/2)*BR29+(1-EXP(-LN(2)/2))/(LN(2)/2)*BL30*BO30*VLOOKUP('Données projet'!$B$11,Paramètres!$A$1:$I$89,3,0)*0.475*44/12</f>
        <v>9.249260573757299</v>
      </c>
      <c r="BS30" s="22">
        <f t="shared" si="9"/>
        <v>12.656805794957911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1.6</v>
      </c>
      <c r="BY30" s="12">
        <f>IF('Données projet'!$A$114&gt;35,BY29+BX30-CG29,IF(A30&lt;'Données projet'!$A$114,$BV$205^A30,IF(A30='Données projet'!$A$114,'Données projet'!$B$114,BY29+BX30-CG29)))</f>
        <v>32.592457931658814</v>
      </c>
      <c r="BZ30" s="13">
        <f>BY30*VLOOKUP('Données projet'!$B$12,Paramètres!$A$1:$I$89,3,0)*VLOOKUP('Données projet'!$B$12,Paramètres!$A$1:$I$89,5,0)</f>
        <v>27.964328905363264</v>
      </c>
      <c r="CA30" s="13">
        <f t="shared" si="39"/>
        <v>8.7452396271510722</v>
      </c>
      <c r="CB30" s="20">
        <f t="shared" si="10"/>
        <v>63.935831860795808</v>
      </c>
      <c r="CC30" s="59">
        <f t="shared" si="11"/>
        <v>353.6024985274625</v>
      </c>
      <c r="CD30" s="59">
        <f ca="1">AVERAGE(OFFSET($CC$3,0,0,'Données projet'!$E$12+1,1))-AVERAGE(OFFSET($H$3,0,0,'Données projet'!$E$12+1,1))</f>
        <v>237.27357081252273</v>
      </c>
      <c r="CE30" s="59">
        <f t="shared" si="40"/>
        <v>68.768479693848576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27.4</v>
      </c>
      <c r="CT30" s="12">
        <f>IF('Données projet'!$A$140&gt;35,CT29+CS30-DB29,IF(A30&lt;'Données projet'!$A$140,$CQ$205^A30,IF(A30='Données projet'!$A$140,'Données projet'!$B$140,CT29+CS30-DB29)))</f>
        <v>477.79999999999995</v>
      </c>
      <c r="CU30" s="17">
        <f>CT30*VLOOKUP('Données projet'!$B$13,Paramètres!$A$1:$I$89,3,0)*VLOOKUP('Données projet'!$B$13,Paramètres!$A$1:$I$89,5,0)</f>
        <v>267.09019999999998</v>
      </c>
      <c r="CV30" s="13">
        <f t="shared" si="41"/>
        <v>64.231347395864233</v>
      </c>
      <c r="CW30" s="20">
        <f t="shared" si="13"/>
        <v>577.0516950477969</v>
      </c>
      <c r="CX30" s="59">
        <f t="shared" si="14"/>
        <v>866.71836171446353</v>
      </c>
      <c r="CY30" s="59">
        <f ca="1">AVERAGE(OFFSET($CX$3,0,0,'Données projet'!$E$13+1,1))-AVERAGE(OFFSET($H$3,0,0,'Données projet'!$E$13+1,1))</f>
        <v>474.03051418249999</v>
      </c>
      <c r="CZ30" s="59">
        <f t="shared" si="42"/>
        <v>649.52271992719091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8.5438735542722277</v>
      </c>
      <c r="DH30" s="21">
        <f>EXP(-LN(2)/2)*DH29+(1-EXP(-LN(2)/2))/(LN(2)/2)*DB30*DE30*VLOOKUP('Données projet'!$B$13,Paramètres!$A$1:$I$89,3,0)*0.475*44/12</f>
        <v>9.1034873076241478</v>
      </c>
      <c r="DI30" s="22">
        <f t="shared" si="15"/>
        <v>17.647360861896374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16.666666666666668</v>
      </c>
      <c r="DO30" s="12">
        <f>IF('Données projet'!$A$166&gt;35,DO29+DN30-DW29,IF(A30&lt;'Données projet'!$A$166,$DL$205^A30,IF(A30='Données projet'!$A$166,'Données projet'!$B$166,DO29+DN30-DW29)))</f>
        <v>204.99999999999997</v>
      </c>
      <c r="DP30" s="17">
        <f>DO30*VLOOKUP('Données projet'!$B$14,Paramètres!$A$1:$I$89,3,0)*VLOOKUP('Données projet'!$B$14,Paramètres!$A$1:$I$89,5,0)</f>
        <v>111.92999999999998</v>
      </c>
      <c r="DQ30" s="13">
        <f t="shared" si="43"/>
        <v>29.785246291563833</v>
      </c>
      <c r="DR30" s="20">
        <f t="shared" si="16"/>
        <v>246.82072062447358</v>
      </c>
      <c r="DS30" s="59">
        <f t="shared" si="17"/>
        <v>536.48738729114029</v>
      </c>
      <c r="DT30" s="59">
        <f ca="1">AVERAGE(OFFSET($DS$3,0,0,'Données projet'!$E$14+1,1))-AVERAGE(OFFSET($H$3,0,0,'Données projet'!$E$14+1,1))</f>
        <v>164.0740581424559</v>
      </c>
      <c r="DU30" s="59">
        <f t="shared" si="44"/>
        <v>280.99861170359793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6.6918249778071406</v>
      </c>
      <c r="EC30" s="21">
        <f>EXP(-LN(2)/2)*EC29+(1-EXP(-LN(2)/2))/(LN(2)/2)*DW30*DZ30*VLOOKUP('Données projet'!$B$14,Paramètres!$A$1:$I$89,3,0)*0.475*44/12</f>
        <v>16.354222947084409</v>
      </c>
      <c r="ED30" s="22">
        <f t="shared" si="18"/>
        <v>23.04604792489155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31.8</v>
      </c>
      <c r="EJ30" s="12">
        <f>IF('Données projet'!$A$192&gt;35,EJ29+EI30-ER29,IF(A30&lt;'Données projet'!$A$192,$EG$205^A30,IF(A30='Données projet'!$A$192,'Données projet'!$B$192,EJ29+EI30-ER29)))</f>
        <v>280.60000000000002</v>
      </c>
      <c r="EK30" s="17">
        <f>EJ30*VLOOKUP('Données projet'!$B$15,Paramètres!$A$1:$I$89,3,0)*VLOOKUP('Données projet'!$B$15,Paramètres!$A$1:$I$89,5,0)</f>
        <v>134.96860000000001</v>
      </c>
      <c r="EL30" s="13">
        <f t="shared" si="45"/>
        <v>35.141938683339475</v>
      </c>
      <c r="EM30" s="20">
        <f t="shared" si="19"/>
        <v>296.2758548734829</v>
      </c>
      <c r="EN30" s="59">
        <f t="shared" si="20"/>
        <v>585.94252154014953</v>
      </c>
      <c r="EO30" s="59">
        <f ca="1">AVERAGE(OFFSET($EN$3,0,0,'Données projet'!$E$15+1,1))-AVERAGE(OFFSET($H$3,0,0,'Données projet'!$E$15+1,1))</f>
        <v>312.1172301514103</v>
      </c>
      <c r="EP30" s="59">
        <f t="shared" si="46"/>
        <v>369.85500533493212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7.5687507340664677</v>
      </c>
      <c r="EX30" s="21">
        <f>EXP(-LN(2)/2)*EX29+(1-EXP(-LN(2)/2))/(LN(2)/2)*ER30*EU30*VLOOKUP('Données projet'!$B$15,Paramètres!$A$1:$I$89,3,0)*0.475*44/12</f>
        <v>18.429694916265746</v>
      </c>
      <c r="EY30" s="22">
        <f t="shared" si="21"/>
        <v>25.998445650332215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>
        <f>VLOOKUP(A30,'Données projet'!$A$217:$I$237,2,0)</f>
        <v>187.4</v>
      </c>
      <c r="FC30" s="12">
        <f>VLOOKUP(A30,'Données projet'!$A$217:$I$237,9,0)</f>
        <v>9.2000000000000011</v>
      </c>
      <c r="FD30" s="12">
        <f t="array" ref="FD30">INDEX(FC:FC,MIN(IF(ISNUMBER(FC30:FC226),ROW(FC30:FC226),"")))</f>
        <v>9.2000000000000011</v>
      </c>
      <c r="FE30" s="12">
        <f>IF('Données projet'!$A$218&gt;35,FE29+FD30-FM29,IF(A30&lt;'Données projet'!$A$218,$FB$205^A30,IF(A30='Données projet'!$A$218,'Données projet'!$B$218,FE29+FD30-FM29)))</f>
        <v>187.39999999999992</v>
      </c>
      <c r="FF30" s="17">
        <f>FE30*VLOOKUP('Données projet'!$B$16,Paramètres!$A$1:$I$89,3,0)*VLOOKUP('Données projet'!$B$16,Paramètres!$A$1:$I$89,5,0)</f>
        <v>87.703199999999967</v>
      </c>
      <c r="FG30" s="13">
        <f t="shared" si="47"/>
        <v>24.010461483601482</v>
      </c>
      <c r="FH30" s="20">
        <f t="shared" si="22"/>
        <v>194.5679604172725</v>
      </c>
      <c r="FI30" s="59">
        <f t="shared" si="23"/>
        <v>484.23462708393919</v>
      </c>
      <c r="FJ30" s="59">
        <f ca="1">AVERAGE(OFFSET($FI$3,0,0,'Données projet'!$E$16+1,1))-AVERAGE(OFFSET($H$3,0,0,'Données projet'!$E$16+1,1))</f>
        <v>87.187251664304199</v>
      </c>
      <c r="FK30" s="59">
        <f t="shared" si="48"/>
        <v>148.84938257884147</v>
      </c>
      <c r="FL30" s="15">
        <f>IF(ISNA(VLOOKUP(A30,'Données projet'!$A$217:$I$237,3,0)),0,VLOOKUP(A30,'Données projet'!$A$217:$I$237,3,0))</f>
        <v>2</v>
      </c>
      <c r="FM30" s="15">
        <f>IF(ISNA(VLOOKUP(A30,'Données projet'!$A$217:$I$237,4,0)),0,VLOOKUP(A30,'Données projet'!$A$217:$I$237,4,0))</f>
        <v>50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0.22000000000000003</v>
      </c>
      <c r="FP30" s="16">
        <f>IF(ISNA(VLOOKUP(A30,'Données projet'!$A$217:$I$237,7,0)),0%,VLOOKUP(A30,'Données projet'!$A$217:$I$237,7,0))</f>
        <v>0.6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8.7630643114923714</v>
      </c>
      <c r="FS30" s="21">
        <f>EXP(-LN(2)/2)*FS29+(1-EXP(-LN(2)/2))/(LN(2)/2)*FM30*FP30*VLOOKUP('Données projet'!$B$16,Paramètres!$A$1:$I$89,3,0)*0.475*44/12</f>
        <v>17.20793922115406</v>
      </c>
      <c r="FT30" s="22">
        <f t="shared" si="24"/>
        <v>25.971003532646431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17.600000000000001</v>
      </c>
      <c r="FZ30" s="12">
        <f>IF('Données projet'!$A$244&gt;35,FZ29+FY30-GH29,IF(A30&lt;'Données projet'!$A$244,$FW$205^A30,IF(A30='Données projet'!$A$244,'Données projet'!$B$244,FZ29+FY30-GH29)))</f>
        <v>203.20000000000002</v>
      </c>
      <c r="GA30" s="17">
        <f>FZ30*VLOOKUP('Données projet'!$B$17,Paramètres!$A$1:$I$89,3,0)*VLOOKUP('Données projet'!$B$17,Paramètres!$A$1:$I$89,5,0)</f>
        <v>121.51360000000001</v>
      </c>
      <c r="GB30" s="13">
        <f t="shared" si="49"/>
        <v>32.027763694063836</v>
      </c>
      <c r="GC30" s="20">
        <f t="shared" si="25"/>
        <v>267.41787510049454</v>
      </c>
      <c r="GD30" s="59">
        <f t="shared" si="26"/>
        <v>557.08454176716123</v>
      </c>
      <c r="GE30" s="59">
        <f ca="1">AVERAGE(OFFSET($GD$3,0,0,'Données projet'!$E$17+1,1))-AVERAGE(OFFSET($H$3,0,0,'Données projet'!$E$17+1,1))</f>
        <v>282.94722676586207</v>
      </c>
      <c r="GF30" s="59">
        <f t="shared" si="50"/>
        <v>310.63647941571298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3.3005659797816516</v>
      </c>
      <c r="GN30" s="21">
        <f>EXP(-LN(2)/2)*GN29+(1-EXP(-LN(2)/2))/(LN(2)/2)*GH30*GK30*VLOOKUP('Données projet'!$B$17,Paramètres!$A$1:$I$89,3,0)*0.475*44/12</f>
        <v>10.468025154966975</v>
      </c>
      <c r="GO30" s="21">
        <f t="shared" si="27"/>
        <v>13.768591134748627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19.75</v>
      </c>
      <c r="GU30" s="12">
        <f>IF('Données projet'!$A$270&gt;35,GU29+GT30-HC29,IF(A30&lt;'Données projet'!$A$270,$GR$205^A30,IF(A30='Données projet'!$A$270,'Données projet'!$B$270,GU29+GT30-HC29)))</f>
        <v>213.25</v>
      </c>
      <c r="GV30" s="17">
        <f>GU30*VLOOKUP('Données projet'!$B$18,Paramètres!$A$1:$I$89,3,0)*VLOOKUP('Données projet'!$B$18,Paramètres!$A$1:$I$89,5,0)</f>
        <v>127.5235</v>
      </c>
      <c r="GW30" s="13">
        <f t="shared" si="51"/>
        <v>33.423473895208211</v>
      </c>
      <c r="GX30" s="20">
        <f t="shared" si="28"/>
        <v>280.31597953415428</v>
      </c>
      <c r="GY30" s="59">
        <f t="shared" si="29"/>
        <v>569.98264620082091</v>
      </c>
      <c r="GZ30" s="59">
        <f ca="1">AVERAGE(OFFSET($GY$3,0,0,'Données projet'!$E$18+1,1))-AVERAGE(OFFSET($H$3,0,0,'Données projet'!$E$18+1,1))</f>
        <v>255.54398581450459</v>
      </c>
      <c r="HA30" s="59">
        <f t="shared" si="52"/>
        <v>276.52622328061204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2.8138668805490061</v>
      </c>
      <c r="HI30" s="21">
        <f>EXP(-LN(2)/2)*HI29+(1-EXP(-LN(2)/2))/(LN(2)/2)*HC30*HF30*VLOOKUP('Données projet'!$B$18,Paramètres!$A$1:$I$89,3,0)*0.475*44/12</f>
        <v>10.643528021923562</v>
      </c>
      <c r="HJ30" s="22">
        <f t="shared" si="30"/>
        <v>13.457394902472569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14.8</v>
      </c>
      <c r="N31" s="13">
        <f>IF('Données projet'!$A$36&gt;35,N30+M31-V30,IF(A31&lt;'Données projet'!$A$36,$K$205^A31,IF(A31='Données projet'!$A$36,'Données projet'!$B$36,N30+M31-V30)))</f>
        <v>175.40000000000009</v>
      </c>
      <c r="O31" s="13">
        <f>N31*VLOOKUP('Données projet'!$B$9,Paramètres!$A$1:$I$89,3,0)*VLOOKUP('Données projet'!$B$9,Paramètres!$A$1:$I$89,5,0)</f>
        <v>153.2294400000001</v>
      </c>
      <c r="P31" s="13">
        <f t="shared" si="33"/>
        <v>39.311575138468363</v>
      </c>
      <c r="Q31" s="20">
        <f t="shared" si="2"/>
        <v>335.34226803283252</v>
      </c>
      <c r="R31" s="59">
        <f t="shared" si="0"/>
        <v>626.23115692172132</v>
      </c>
      <c r="S31" s="59">
        <f ca="1">AVERAGE(OFFSET($R$3,0,0,'Données projet'!$E$9+1,1))-AVERAGE(OFFSET($H$3,0,0,'Données projet'!$E$9+1,1))</f>
        <v>248.50221719467663</v>
      </c>
      <c r="T31" s="59">
        <f t="shared" si="34"/>
        <v>366.09064580347183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3.8069466043806837</v>
      </c>
      <c r="AA31" s="21">
        <f>EXP(-LN(2)/25)*AA30+(1-EXP(-LN(2)/25))/(LN(2)/25)*Calculateur!V31*Calculateur!X31*VLOOKUP('Données projet'!$B$9,Paramètres!$A$1:$I$89,3,0)*0.475*44/12</f>
        <v>16.523084984854755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20.330031589235439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92.832480000000018</v>
      </c>
      <c r="AK31" s="13">
        <f t="shared" si="35"/>
        <v>25.247114117480137</v>
      </c>
      <c r="AL31" s="20">
        <f t="shared" si="4"/>
        <v>205.65529308794461</v>
      </c>
      <c r="AM31" s="59">
        <f t="shared" si="5"/>
        <v>496.54418197683344</v>
      </c>
      <c r="AN31" s="59">
        <f ca="1">AVERAGE(OFFSET($AM$3,0,0,'Données projet'!$E$10+1,1))-AVERAGE(OFFSET($H$3,0,0,'Données projet'!$E$10+1,1))</f>
        <v>263.22346936777603</v>
      </c>
      <c r="AO31" s="59">
        <f t="shared" si="36"/>
        <v>217.14714468707939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2.6194131770442359</v>
      </c>
      <c r="AW31" s="21">
        <f>EXP(-LN(2)/2)*AW30+(1-EXP(-LN(2)/2))/(LN(2)/2)*AQ31*AT31*VLOOKUP('Données projet'!$B$10,Paramètres!$A$1:$I$89,3,0)*0.475*44/12</f>
        <v>7.017094972827933</v>
      </c>
      <c r="AX31" s="21">
        <f t="shared" si="6"/>
        <v>9.636508149872169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11.5</v>
      </c>
      <c r="BD31" s="12">
        <f>IF('Données projet'!$A$88&gt;35,BD30+BC31-BL30,IF(A31&lt;'Données projet'!$A$88,$BA$205^A31,IF(A31='Données projet'!$A$88,'Données projet'!$B$88,BD30+BC31-BL30)))</f>
        <v>120.49999999999996</v>
      </c>
      <c r="BE31" s="13">
        <f>BD31*VLOOKUP('Données projet'!$B$11,Paramètres!$A$1:$I$89,3,0)*VLOOKUP('Données projet'!$B$11,Paramètres!$A$1:$I$89,5,0)</f>
        <v>93.989999999999966</v>
      </c>
      <c r="BF31" s="13">
        <f t="shared" si="37"/>
        <v>25.525074036970054</v>
      </c>
      <c r="BG31" s="20">
        <f t="shared" si="7"/>
        <v>208.15542061438944</v>
      </c>
      <c r="BH31" s="59">
        <f t="shared" si="8"/>
        <v>499.04430950327833</v>
      </c>
      <c r="BI31" s="59">
        <f ca="1">AVERAGE(OFFSET($BH$3,0,0,'Données projet'!$E$11+1,1))-AVERAGE(OFFSET($H$3,0,0,'Données projet'!$E$11+1,1))</f>
        <v>219.22204054948094</v>
      </c>
      <c r="BJ31" s="59">
        <f t="shared" si="38"/>
        <v>222.41711966122034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3.3143657179318673</v>
      </c>
      <c r="BR31" s="21">
        <f>EXP(-LN(2)/2)*BR30+(1-EXP(-LN(2)/2))/(LN(2)/2)*BL31*BO31*VLOOKUP('Données projet'!$B$11,Paramètres!$A$1:$I$89,3,0)*0.475*44/12</f>
        <v>6.5402148726651639</v>
      </c>
      <c r="BS31" s="22">
        <f t="shared" si="9"/>
        <v>9.8545805905970312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1.6</v>
      </c>
      <c r="BY31" s="12">
        <f>IF('Données projet'!$A$114&gt;35,BY30+BX31-CG30,IF(A31&lt;'Données projet'!$A$114,$BV$205^A31,IF(A31='Données projet'!$A$114,'Données projet'!$B$114,BY30+BX31-CG30)))</f>
        <v>37.081601995036351</v>
      </c>
      <c r="BZ31" s="13">
        <f>BY31*VLOOKUP('Données projet'!$B$12,Paramètres!$A$1:$I$89,3,0)*VLOOKUP('Données projet'!$B$12,Paramètres!$A$1:$I$89,5,0)</f>
        <v>31.816014511741194</v>
      </c>
      <c r="CA31" s="13">
        <f t="shared" si="39"/>
        <v>9.8014397042940242</v>
      </c>
      <c r="CB31" s="20">
        <f t="shared" si="10"/>
        <v>72.483732759594673</v>
      </c>
      <c r="CC31" s="59">
        <f t="shared" si="11"/>
        <v>363.37262164848352</v>
      </c>
      <c r="CD31" s="59">
        <f ca="1">AVERAGE(OFFSET($CC$3,0,0,'Données projet'!$E$12+1,1))-AVERAGE(OFFSET($H$3,0,0,'Données projet'!$E$12+1,1))</f>
        <v>237.27357081252273</v>
      </c>
      <c r="CE31" s="59">
        <f t="shared" si="40"/>
        <v>68.768479693848576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27.4</v>
      </c>
      <c r="CT31" s="12">
        <f>IF('Données projet'!$A$140&gt;35,CT30+CS31-DB30,IF(A31&lt;'Données projet'!$A$140,$CQ$205^A31,IF(A31='Données projet'!$A$140,'Données projet'!$B$140,CT30+CS31-DB30)))</f>
        <v>505.19999999999993</v>
      </c>
      <c r="CU31" s="17">
        <f>CT31*VLOOKUP('Données projet'!$B$13,Paramètres!$A$1:$I$89,3,0)*VLOOKUP('Données projet'!$B$13,Paramètres!$A$1:$I$89,5,0)</f>
        <v>282.40679999999998</v>
      </c>
      <c r="CV31" s="13">
        <f t="shared" si="41"/>
        <v>67.475381268028372</v>
      </c>
      <c r="CW31" s="20">
        <f t="shared" si="13"/>
        <v>609.37813237514945</v>
      </c>
      <c r="CX31" s="59">
        <f t="shared" si="14"/>
        <v>900.26702126403825</v>
      </c>
      <c r="CY31" s="59">
        <f ca="1">AVERAGE(OFFSET($CX$3,0,0,'Données projet'!$E$13+1,1))-AVERAGE(OFFSET($H$3,0,0,'Données projet'!$E$13+1,1))</f>
        <v>474.03051418249999</v>
      </c>
      <c r="CZ31" s="59">
        <f t="shared" si="42"/>
        <v>649.52271992719091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8.3102408826278715</v>
      </c>
      <c r="DH31" s="21">
        <f>EXP(-LN(2)/2)*DH30+(1-EXP(-LN(2)/2))/(LN(2)/2)*DB31*DE31*VLOOKUP('Données projet'!$B$13,Paramètres!$A$1:$I$89,3,0)*0.475*44/12</f>
        <v>6.4371376076667017</v>
      </c>
      <c r="DI31" s="22">
        <f t="shared" si="15"/>
        <v>14.747378490294572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16.666666666666668</v>
      </c>
      <c r="DO31" s="12">
        <f>IF('Données projet'!$A$166&gt;35,DO30+DN31-DW30,IF(A31&lt;'Données projet'!$A$166,$DL$205^A31,IF(A31='Données projet'!$A$166,'Données projet'!$B$166,DO30+DN31-DW30)))</f>
        <v>221.66666666666663</v>
      </c>
      <c r="DP31" s="17">
        <f>DO31*VLOOKUP('Données projet'!$B$14,Paramètres!$A$1:$I$89,3,0)*VLOOKUP('Données projet'!$B$14,Paramètres!$A$1:$I$89,5,0)</f>
        <v>121.02999999999997</v>
      </c>
      <c r="DQ31" s="13">
        <f t="shared" si="43"/>
        <v>31.915110254002617</v>
      </c>
      <c r="DR31" s="20">
        <f t="shared" si="16"/>
        <v>266.3794003590545</v>
      </c>
      <c r="DS31" s="59">
        <f t="shared" si="17"/>
        <v>557.26828924794336</v>
      </c>
      <c r="DT31" s="59">
        <f ca="1">AVERAGE(OFFSET($DS$3,0,0,'Données projet'!$E$14+1,1))-AVERAGE(OFFSET($H$3,0,0,'Données projet'!$E$14+1,1))</f>
        <v>164.0740581424559</v>
      </c>
      <c r="DU31" s="59">
        <f t="shared" si="44"/>
        <v>280.99861170359793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6.5088366718812232</v>
      </c>
      <c r="EC31" s="21">
        <f>EXP(-LN(2)/2)*EC30+(1-EXP(-LN(2)/2))/(LN(2)/2)*DW31*DZ31*VLOOKUP('Données projet'!$B$14,Paramètres!$A$1:$I$89,3,0)*0.475*44/12</f>
        <v>11.56418194692003</v>
      </c>
      <c r="ED31" s="22">
        <f t="shared" si="18"/>
        <v>18.073018618801253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31.8</v>
      </c>
      <c r="EJ31" s="12">
        <f>IF('Données projet'!$A$192&gt;35,EJ30+EI31-ER30,IF(A31&lt;'Données projet'!$A$192,$EG$205^A31,IF(A31='Données projet'!$A$192,'Données projet'!$B$192,EJ30+EI31-ER30)))</f>
        <v>312.40000000000003</v>
      </c>
      <c r="EK31" s="17">
        <f>EJ31*VLOOKUP('Données projet'!$B$15,Paramètres!$A$1:$I$89,3,0)*VLOOKUP('Données projet'!$B$15,Paramètres!$A$1:$I$89,5,0)</f>
        <v>150.26440000000002</v>
      </c>
      <c r="EL31" s="13">
        <f t="shared" si="45"/>
        <v>38.63866530961765</v>
      </c>
      <c r="EM31" s="20">
        <f t="shared" si="19"/>
        <v>329.00617208091745</v>
      </c>
      <c r="EN31" s="59">
        <f t="shared" si="20"/>
        <v>619.89506096980631</v>
      </c>
      <c r="EO31" s="59">
        <f ca="1">AVERAGE(OFFSET($EN$3,0,0,'Données projet'!$E$15+1,1))-AVERAGE(OFFSET($H$3,0,0,'Données projet'!$E$15+1,1))</f>
        <v>312.1172301514103</v>
      </c>
      <c r="EP31" s="59">
        <f t="shared" si="46"/>
        <v>369.85500533493212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7.3617828472201179</v>
      </c>
      <c r="EX31" s="21">
        <f>EXP(-LN(2)/2)*EX30+(1-EXP(-LN(2)/2))/(LN(2)/2)*ER31*EU31*VLOOKUP('Données projet'!$B$15,Paramètres!$A$1:$I$89,3,0)*0.475*44/12</f>
        <v>13.03176225049075</v>
      </c>
      <c r="EY31" s="22">
        <f t="shared" si="21"/>
        <v>20.39354509771087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9.6571428571428566</v>
      </c>
      <c r="FE31" s="12">
        <f>IF('Données projet'!$A$218&gt;35,FE30+FD31-FM30,IF(A31&lt;'Données projet'!$A$218,$FB$205^A31,IF(A31='Données projet'!$A$218,'Données projet'!$B$218,FE30+FD31-FM30)))</f>
        <v>147.05714285714276</v>
      </c>
      <c r="FF31" s="17">
        <f>FE31*VLOOKUP('Données projet'!$B$16,Paramètres!$A$1:$I$89,3,0)*VLOOKUP('Données projet'!$B$16,Paramètres!$A$1:$I$89,5,0)</f>
        <v>68.822742857142813</v>
      </c>
      <c r="FG31" s="13">
        <f t="shared" si="47"/>
        <v>19.380815165965345</v>
      </c>
      <c r="FH31" s="20">
        <f t="shared" si="22"/>
        <v>153.62119689024669</v>
      </c>
      <c r="FI31" s="59">
        <f t="shared" si="23"/>
        <v>444.51008577913558</v>
      </c>
      <c r="FJ31" s="59">
        <f ca="1">AVERAGE(OFFSET($FI$3,0,0,'Données projet'!$E$16+1,1))-AVERAGE(OFFSET($H$3,0,0,'Données projet'!$E$16+1,1))</f>
        <v>87.187251664304199</v>
      </c>
      <c r="FK31" s="59">
        <f t="shared" si="48"/>
        <v>148.84938257884147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8.5234378570650886</v>
      </c>
      <c r="FS31" s="21">
        <f>EXP(-LN(2)/2)*FS30+(1-EXP(-LN(2)/2))/(LN(2)/2)*FM31*FP31*VLOOKUP('Données projet'!$B$16,Paramètres!$A$1:$I$89,3,0)*0.475*44/12</f>
        <v>12.167850513523994</v>
      </c>
      <c r="FT31" s="22">
        <f t="shared" si="24"/>
        <v>20.691288370589085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17.600000000000001</v>
      </c>
      <c r="FZ31" s="12">
        <f>IF('Données projet'!$A$244&gt;35,FZ30+FY31-GH30,IF(A31&lt;'Données projet'!$A$244,$FW$205^A31,IF(A31='Données projet'!$A$244,'Données projet'!$B$244,FZ30+FY31-GH30)))</f>
        <v>220.8</v>
      </c>
      <c r="GA31" s="17">
        <f>FZ31*VLOOKUP('Données projet'!$B$17,Paramètres!$A$1:$I$89,3,0)*VLOOKUP('Données projet'!$B$17,Paramètres!$A$1:$I$89,5,0)</f>
        <v>132.03840000000002</v>
      </c>
      <c r="GB31" s="13">
        <f t="shared" si="49"/>
        <v>34.466946374534373</v>
      </c>
      <c r="GC31" s="20">
        <f t="shared" si="25"/>
        <v>289.99681160231404</v>
      </c>
      <c r="GD31" s="59">
        <f t="shared" si="26"/>
        <v>580.8857004912029</v>
      </c>
      <c r="GE31" s="59">
        <f ca="1">AVERAGE(OFFSET($GD$3,0,0,'Données projet'!$E$17+1,1))-AVERAGE(OFFSET($H$3,0,0,'Données projet'!$E$17+1,1))</f>
        <v>282.94722676586207</v>
      </c>
      <c r="GF31" s="59">
        <f t="shared" si="50"/>
        <v>310.63647941571298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3.2103118294953008</v>
      </c>
      <c r="GN31" s="21">
        <f>EXP(-LN(2)/2)*GN30+(1-EXP(-LN(2)/2))/(LN(2)/2)*GH31*GK31*VLOOKUP('Données projet'!$B$17,Paramètres!$A$1:$I$89,3,0)*0.475*44/12</f>
        <v>7.402011572708509</v>
      </c>
      <c r="GO31" s="21">
        <f t="shared" si="27"/>
        <v>10.61232340220381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>
        <f>VLOOKUP(A31,'Données projet'!$A$269:$I$289,2,0)</f>
        <v>233</v>
      </c>
      <c r="GS31" s="12">
        <f>VLOOKUP(A31,'Données projet'!$A$269:$I$289,9,0)</f>
        <v>19.75</v>
      </c>
      <c r="GT31" s="12">
        <f t="array" ref="GT31">INDEX(GS:GS,MIN(IF(ISNUMBER(GS31:GS227),ROW(GS31:GS227),"")))</f>
        <v>19.75</v>
      </c>
      <c r="GU31" s="12">
        <f>IF('Données projet'!$A$270&gt;35,GU30+GT31-HC30,IF(A31&lt;'Données projet'!$A$270,$GR$205^A31,IF(A31='Données projet'!$A$270,'Données projet'!$B$270,GU30+GT31-HC30)))</f>
        <v>233</v>
      </c>
      <c r="GV31" s="17">
        <f>GU31*VLOOKUP('Données projet'!$B$18,Paramètres!$A$1:$I$89,3,0)*VLOOKUP('Données projet'!$B$18,Paramètres!$A$1:$I$89,5,0)</f>
        <v>139.334</v>
      </c>
      <c r="GW31" s="13">
        <f t="shared" si="51"/>
        <v>36.144391930570897</v>
      </c>
      <c r="GX31" s="20">
        <f t="shared" si="28"/>
        <v>305.62486594574432</v>
      </c>
      <c r="GY31" s="59">
        <f t="shared" si="29"/>
        <v>596.51375483463312</v>
      </c>
      <c r="GZ31" s="59">
        <f ca="1">AVERAGE(OFFSET($GY$3,0,0,'Données projet'!$E$18+1,1))-AVERAGE(OFFSET($H$3,0,0,'Données projet'!$E$18+1,1))</f>
        <v>255.54398581450459</v>
      </c>
      <c r="HA31" s="59">
        <f t="shared" si="52"/>
        <v>276.52622328061204</v>
      </c>
      <c r="HB31" s="15">
        <f>IF(ISNA(VLOOKUP(A31,'Données projet'!$A$269:$I$289,3,0)),0,VLOOKUP(A31,'Données projet'!$A$269:$I$289,3,0))</f>
        <v>5</v>
      </c>
      <c r="HC31" s="15">
        <f>IF(ISNA(VLOOKUP(A31,'Données projet'!$A$269:$I$289,4,0)),0,VLOOKUP(A31,'Données projet'!$A$269:$I$289,4,0))</f>
        <v>41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9.0000000000000011E-2</v>
      </c>
      <c r="HF31" s="16">
        <f>IF(ISNA(VLOOKUP(A31,'Données projet'!$A$269:$I$289,7,0)),0%,VLOOKUP(A31,'Données projet'!$A$269:$I$289,7,0))</f>
        <v>0.8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5.6526196064837553</v>
      </c>
      <c r="HI31" s="21">
        <f>EXP(-LN(2)/2)*HI30+(1-EXP(-LN(2)/2))/(LN(2)/2)*HC31*HF31*VLOOKUP('Données projet'!$B$18,Paramètres!$A$1:$I$89,3,0)*0.475*44/12</f>
        <v>29.734168016654309</v>
      </c>
      <c r="HJ31" s="22">
        <f t="shared" si="30"/>
        <v>35.386787623138062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</v>
      </c>
      <c r="N32" s="13">
        <f>IF('Données projet'!$A$36&gt;35,N31+M32-V31,IF(A32&lt;'Données projet'!$A$36,$K$205^A32,IF(A32='Données projet'!$A$36,'Données projet'!$B$36,N31+M32-V31)))</f>
        <v>190.2000000000001</v>
      </c>
      <c r="O32" s="13">
        <f>N32*VLOOKUP('Données projet'!$B$9,Paramètres!$A$1:$I$89,3,0)*VLOOKUP('Données projet'!$B$9,Paramètres!$A$1:$I$89,5,0)</f>
        <v>166.15872000000013</v>
      </c>
      <c r="P32" s="13">
        <f t="shared" si="33"/>
        <v>42.228563636586422</v>
      </c>
      <c r="Q32" s="20">
        <f t="shared" si="2"/>
        <v>362.94118566705487</v>
      </c>
      <c r="R32" s="59">
        <f t="shared" si="0"/>
        <v>655.05229677816601</v>
      </c>
      <c r="S32" s="59">
        <f ca="1">AVERAGE(OFFSET($R$3,0,0,'Données projet'!$E$9+1,1))-AVERAGE(OFFSET($H$3,0,0,'Données projet'!$E$9+1,1))</f>
        <v>248.50221719467663</v>
      </c>
      <c r="T32" s="59">
        <f t="shared" si="34"/>
        <v>366.09064580347183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3.7322947034769278</v>
      </c>
      <c r="AA32" s="21">
        <f>EXP(-LN(2)/25)*AA31+(1-EXP(-LN(2)/25))/(LN(2)/25)*Calculateur!V32*Calculateur!X32*VLOOKUP('Données projet'!$B$9,Paramètres!$A$1:$I$89,3,0)*0.475*44/12</f>
        <v>16.071260357032628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19.803555060509556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101.15664000000001</v>
      </c>
      <c r="AK32" s="13">
        <f t="shared" si="35"/>
        <v>27.237366379381644</v>
      </c>
      <c r="AL32" s="20">
        <f t="shared" si="4"/>
        <v>223.61956111075639</v>
      </c>
      <c r="AM32" s="59">
        <f t="shared" si="5"/>
        <v>515.73067222186751</v>
      </c>
      <c r="AN32" s="59">
        <f ca="1">AVERAGE(OFFSET($AM$3,0,0,'Données projet'!$E$10+1,1))-AVERAGE(OFFSET($H$3,0,0,'Données projet'!$E$10+1,1))</f>
        <v>263.22346936777603</v>
      </c>
      <c r="AO32" s="59">
        <f t="shared" si="36"/>
        <v>217.14714468707939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2.5477851859690093</v>
      </c>
      <c r="AW32" s="21">
        <f>EXP(-LN(2)/2)*AW31+(1-EXP(-LN(2)/2))/(LN(2)/2)*AQ32*AT32*VLOOKUP('Données projet'!$B$10,Paramètres!$A$1:$I$89,3,0)*0.475*44/12</f>
        <v>4.9618354395166646</v>
      </c>
      <c r="AX32" s="21">
        <f t="shared" si="6"/>
        <v>7.5096206254856739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11.5</v>
      </c>
      <c r="BD32" s="12">
        <f>IF('Données projet'!$A$88&gt;35,BD31+BC32-BL31,IF(A32&lt;'Données projet'!$A$88,$BA$205^A32,IF(A32='Données projet'!$A$88,'Données projet'!$B$88,BD31+BC32-BL31)))</f>
        <v>131.99999999999994</v>
      </c>
      <c r="BE32" s="13">
        <f>BD32*VLOOKUP('Données projet'!$B$11,Paramètres!$A$1:$I$89,3,0)*VLOOKUP('Données projet'!$B$11,Paramètres!$A$1:$I$89,5,0)</f>
        <v>102.95999999999997</v>
      </c>
      <c r="BF32" s="13">
        <f t="shared" si="37"/>
        <v>27.665975080374633</v>
      </c>
      <c r="BG32" s="20">
        <f t="shared" si="7"/>
        <v>227.50690659831903</v>
      </c>
      <c r="BH32" s="59">
        <f t="shared" si="8"/>
        <v>519.61801770943021</v>
      </c>
      <c r="BI32" s="59">
        <f ca="1">AVERAGE(OFFSET($BH$3,0,0,'Données projet'!$E$11+1,1))-AVERAGE(OFFSET($H$3,0,0,'Données projet'!$E$11+1,1))</f>
        <v>219.22204054948094</v>
      </c>
      <c r="BJ32" s="59">
        <f t="shared" si="38"/>
        <v>222.41711966122034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3.2237342130801023</v>
      </c>
      <c r="BR32" s="21">
        <f>EXP(-LN(2)/2)*BR31+(1-EXP(-LN(2)/2))/(LN(2)/2)*BL32*BO32*VLOOKUP('Données projet'!$B$11,Paramètres!$A$1:$I$89,3,0)*0.475*44/12</f>
        <v>4.6246302868786504</v>
      </c>
      <c r="BS32" s="22">
        <f t="shared" si="9"/>
        <v>7.8483644999587527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1.6</v>
      </c>
      <c r="BY32" s="12">
        <f>IF('Données projet'!$A$114&gt;35,BY31+BX32-CG31,IF(A32&lt;'Données projet'!$A$114,$BV$205^A32,IF(A32='Données projet'!$A$114,'Données projet'!$B$114,BY31+BX32-CG31)))</f>
        <v>42.189061328284424</v>
      </c>
      <c r="BZ32" s="13">
        <f>BY32*VLOOKUP('Données projet'!$B$12,Paramètres!$A$1:$I$89,3,0)*VLOOKUP('Données projet'!$B$12,Paramètres!$A$1:$I$89,5,0)</f>
        <v>36.198214619668036</v>
      </c>
      <c r="CA32" s="13">
        <f t="shared" si="39"/>
        <v>10.985201592264124</v>
      </c>
      <c r="CB32" s="20">
        <f t="shared" si="10"/>
        <v>82.177783235781845</v>
      </c>
      <c r="CC32" s="59">
        <f t="shared" si="11"/>
        <v>374.28889434689302</v>
      </c>
      <c r="CD32" s="59">
        <f ca="1">AVERAGE(OFFSET($CC$3,0,0,'Données projet'!$E$12+1,1))-AVERAGE(OFFSET($H$3,0,0,'Données projet'!$E$12+1,1))</f>
        <v>237.27357081252273</v>
      </c>
      <c r="CE32" s="59">
        <f t="shared" si="40"/>
        <v>68.768479693848576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27.4</v>
      </c>
      <c r="CT32" s="12">
        <f>IF('Données projet'!$A$140&gt;35,CT31+CS32-DB31,IF(A32&lt;'Données projet'!$A$140,$CQ$205^A32,IF(A32='Données projet'!$A$140,'Données projet'!$B$140,CT31+CS32-DB31)))</f>
        <v>532.59999999999991</v>
      </c>
      <c r="CU32" s="17">
        <f>CT32*VLOOKUP('Données projet'!$B$13,Paramètres!$A$1:$I$89,3,0)*VLOOKUP('Données projet'!$B$13,Paramètres!$A$1:$I$89,5,0)</f>
        <v>297.72339999999991</v>
      </c>
      <c r="CV32" s="13">
        <f t="shared" si="41"/>
        <v>70.698989284770079</v>
      </c>
      <c r="CW32" s="20">
        <f t="shared" si="13"/>
        <v>641.66899467097437</v>
      </c>
      <c r="CX32" s="59">
        <f t="shared" si="14"/>
        <v>933.78010578208546</v>
      </c>
      <c r="CY32" s="59">
        <f ca="1">AVERAGE(OFFSET($CX$3,0,0,'Données projet'!$E$13+1,1))-AVERAGE(OFFSET($H$3,0,0,'Données projet'!$E$13+1,1))</f>
        <v>474.03051418249999</v>
      </c>
      <c r="CZ32" s="59">
        <f t="shared" si="42"/>
        <v>649.52271992719091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8.0829969086758382</v>
      </c>
      <c r="DH32" s="21">
        <f>EXP(-LN(2)/2)*DH31+(1-EXP(-LN(2)/2))/(LN(2)/2)*DB32*DE32*VLOOKUP('Données projet'!$B$13,Paramètres!$A$1:$I$89,3,0)*0.475*44/12</f>
        <v>4.5517436538120748</v>
      </c>
      <c r="DI32" s="22">
        <f t="shared" si="15"/>
        <v>12.634740562487913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16.666666666666668</v>
      </c>
      <c r="DO32" s="12">
        <f>IF('Données projet'!$A$166&gt;35,DO31+DN32-DW31,IF(A32&lt;'Données projet'!$A$166,$DL$205^A32,IF(A32='Données projet'!$A$166,'Données projet'!$B$166,DO31+DN32-DW31)))</f>
        <v>238.33333333333329</v>
      </c>
      <c r="DP32" s="17">
        <f>DO32*VLOOKUP('Données projet'!$B$14,Paramètres!$A$1:$I$89,3,0)*VLOOKUP('Données projet'!$B$14,Paramètres!$A$1:$I$89,5,0)</f>
        <v>130.12999999999997</v>
      </c>
      <c r="DQ32" s="13">
        <f t="shared" si="43"/>
        <v>34.026396767825609</v>
      </c>
      <c r="DR32" s="20">
        <f t="shared" si="16"/>
        <v>285.90572437062957</v>
      </c>
      <c r="DS32" s="59">
        <f t="shared" si="17"/>
        <v>578.01683548174071</v>
      </c>
      <c r="DT32" s="59">
        <f ca="1">AVERAGE(OFFSET($DS$3,0,0,'Données projet'!$E$14+1,1))-AVERAGE(OFFSET($H$3,0,0,'Données projet'!$E$14+1,1))</f>
        <v>164.0740581424559</v>
      </c>
      <c r="DU32" s="59">
        <f t="shared" si="44"/>
        <v>280.99861170359793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6.3308521908037871</v>
      </c>
      <c r="EC32" s="21">
        <f>EXP(-LN(2)/2)*EC31+(1-EXP(-LN(2)/2))/(LN(2)/2)*DW32*DZ32*VLOOKUP('Données projet'!$B$14,Paramètres!$A$1:$I$89,3,0)*0.475*44/12</f>
        <v>8.1771114735422046</v>
      </c>
      <c r="ED32" s="22">
        <f t="shared" si="18"/>
        <v>14.507963664345992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31.8</v>
      </c>
      <c r="EJ32" s="12">
        <f>IF('Données projet'!$A$192&gt;35,EJ31+EI32-ER31,IF(A32&lt;'Données projet'!$A$192,$EG$205^A32,IF(A32='Données projet'!$A$192,'Données projet'!$B$192,EJ31+EI32-ER31)))</f>
        <v>344.20000000000005</v>
      </c>
      <c r="EK32" s="17">
        <f>EJ32*VLOOKUP('Données projet'!$B$15,Paramètres!$A$1:$I$89,3,0)*VLOOKUP('Données projet'!$B$15,Paramètres!$A$1:$I$89,5,0)</f>
        <v>165.56020000000001</v>
      </c>
      <c r="EL32" s="13">
        <f t="shared" si="45"/>
        <v>42.094129765293275</v>
      </c>
      <c r="EM32" s="20">
        <f t="shared" si="19"/>
        <v>361.66462434121917</v>
      </c>
      <c r="EN32" s="59">
        <f t="shared" si="20"/>
        <v>653.77573545233031</v>
      </c>
      <c r="EO32" s="59">
        <f ca="1">AVERAGE(OFFSET($EN$3,0,0,'Données projet'!$E$15+1,1))-AVERAGE(OFFSET($H$3,0,0,'Données projet'!$E$15+1,1))</f>
        <v>312.1172301514103</v>
      </c>
      <c r="EP32" s="59">
        <f t="shared" si="46"/>
        <v>369.85500533493212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7.1604745081235492</v>
      </c>
      <c r="EX32" s="21">
        <f>EXP(-LN(2)/2)*EX31+(1-EXP(-LN(2)/2))/(LN(2)/2)*ER32*EU32*VLOOKUP('Données projet'!$B$15,Paramètres!$A$1:$I$89,3,0)*0.475*44/12</f>
        <v>9.2148474581328745</v>
      </c>
      <c r="EY32" s="22">
        <f t="shared" si="21"/>
        <v>16.375321966256422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9.6571428571428566</v>
      </c>
      <c r="FE32" s="12">
        <f>IF('Données projet'!$A$218&gt;35,FE31+FD32-FM31,IF(A32&lt;'Données projet'!$A$218,$FB$205^A32,IF(A32='Données projet'!$A$218,'Données projet'!$B$218,FE31+FD32-FM31)))</f>
        <v>156.71428571428561</v>
      </c>
      <c r="FF32" s="17">
        <f>FE32*VLOOKUP('Données projet'!$B$16,Paramètres!$A$1:$I$89,3,0)*VLOOKUP('Données projet'!$B$16,Paramètres!$A$1:$I$89,5,0)</f>
        <v>73.342285714285666</v>
      </c>
      <c r="FG32" s="13">
        <f t="shared" si="47"/>
        <v>20.501198403809536</v>
      </c>
      <c r="FH32" s="20">
        <f t="shared" si="22"/>
        <v>163.44406817234915</v>
      </c>
      <c r="FI32" s="59">
        <f t="shared" si="23"/>
        <v>455.55517928346029</v>
      </c>
      <c r="FJ32" s="59">
        <f ca="1">AVERAGE(OFFSET($FI$3,0,0,'Données projet'!$E$16+1,1))-AVERAGE(OFFSET($H$3,0,0,'Données projet'!$E$16+1,1))</f>
        <v>87.187251664304199</v>
      </c>
      <c r="FK32" s="59">
        <f t="shared" si="48"/>
        <v>148.84938257884147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8.2903640006355275</v>
      </c>
      <c r="FS32" s="21">
        <f>EXP(-LN(2)/2)*FS31+(1-EXP(-LN(2)/2))/(LN(2)/2)*FM32*FP32*VLOOKUP('Données projet'!$B$16,Paramètres!$A$1:$I$89,3,0)*0.475*44/12</f>
        <v>8.6039696105770318</v>
      </c>
      <c r="FT32" s="22">
        <f t="shared" si="24"/>
        <v>16.894333611212559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17.600000000000001</v>
      </c>
      <c r="FZ32" s="12">
        <f>IF('Données projet'!$A$244&gt;35,FZ31+FY32-GH31,IF(A32&lt;'Données projet'!$A$244,$FW$205^A32,IF(A32='Données projet'!$A$244,'Données projet'!$B$244,FZ31+FY32-GH31)))</f>
        <v>238.4</v>
      </c>
      <c r="GA32" s="17">
        <f>FZ32*VLOOKUP('Données projet'!$B$17,Paramètres!$A$1:$I$89,3,0)*VLOOKUP('Données projet'!$B$17,Paramètres!$A$1:$I$89,5,0)</f>
        <v>142.56319999999999</v>
      </c>
      <c r="GB32" s="13">
        <f t="shared" si="49"/>
        <v>36.883577154665602</v>
      </c>
      <c r="GC32" s="20">
        <f t="shared" si="25"/>
        <v>312.53647021104257</v>
      </c>
      <c r="GD32" s="59">
        <f t="shared" si="26"/>
        <v>604.64758132215366</v>
      </c>
      <c r="GE32" s="59">
        <f ca="1">AVERAGE(OFFSET($GD$3,0,0,'Données projet'!$E$17+1,1))-AVERAGE(OFFSET($H$3,0,0,'Données projet'!$E$17+1,1))</f>
        <v>282.94722676586207</v>
      </c>
      <c r="GF32" s="59">
        <f t="shared" si="50"/>
        <v>310.63647941571298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3.1225256836947901</v>
      </c>
      <c r="GN32" s="21">
        <f>EXP(-LN(2)/2)*GN31+(1-EXP(-LN(2)/2))/(LN(2)/2)*GH32*GK32*VLOOKUP('Données projet'!$B$17,Paramètres!$A$1:$I$89,3,0)*0.475*44/12</f>
        <v>5.2340125774834885</v>
      </c>
      <c r="GO32" s="21">
        <f t="shared" si="27"/>
        <v>8.3565382611782795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18.666666666666668</v>
      </c>
      <c r="GU32" s="12">
        <f>IF('Données projet'!$A$270&gt;35,GU31+GT32-HC31,IF(A32&lt;'Données projet'!$A$270,$GR$205^A32,IF(A32='Données projet'!$A$270,'Données projet'!$B$270,GU31+GT32-HC31)))</f>
        <v>210.66666666666666</v>
      </c>
      <c r="GV32" s="17">
        <f>GU32*VLOOKUP('Données projet'!$B$18,Paramètres!$A$1:$I$89,3,0)*VLOOKUP('Données projet'!$B$18,Paramètres!$A$1:$I$89,5,0)</f>
        <v>125.97866666666667</v>
      </c>
      <c r="GW32" s="13">
        <f t="shared" si="51"/>
        <v>33.065454810766525</v>
      </c>
      <c r="GX32" s="20">
        <f t="shared" si="28"/>
        <v>277.00184490652941</v>
      </c>
      <c r="GY32" s="59">
        <f t="shared" si="29"/>
        <v>569.1129560176405</v>
      </c>
      <c r="GZ32" s="59">
        <f ca="1">AVERAGE(OFFSET($GY$3,0,0,'Données projet'!$E$18+1,1))-AVERAGE(OFFSET($H$3,0,0,'Données projet'!$E$18+1,1))</f>
        <v>255.54398581450459</v>
      </c>
      <c r="HA32" s="59">
        <f t="shared" si="52"/>
        <v>276.52622328061204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5.4980484260861111</v>
      </c>
      <c r="HI32" s="21">
        <f>EXP(-LN(2)/2)*HI31+(1-EXP(-LN(2)/2))/(LN(2)/2)*HC32*HF32*VLOOKUP('Données projet'!$B$18,Paramètres!$A$1:$I$89,3,0)*0.475*44/12</f>
        <v>21.025231837516419</v>
      </c>
      <c r="HJ32" s="22">
        <f t="shared" si="30"/>
        <v>26.52328026360253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205</v>
      </c>
      <c r="L33" s="12">
        <f>VLOOKUP(A33,'Données projet'!$A$35:$I$55,9,0)</f>
        <v>14.8</v>
      </c>
      <c r="M33" s="12">
        <f t="array" ref="M33">INDEX(L:L,MIN(IF(ISNUMBER(L33:L229),ROW(L33:L229),"")))</f>
        <v>14.8</v>
      </c>
      <c r="N33" s="13">
        <f>IF('Données projet'!$A$36&gt;35,N32+M33-V32,IF(A33&lt;'Données projet'!$A$36,$K$205^A33,IF(A33='Données projet'!$A$36,'Données projet'!$B$36,N32+M33-V32)))</f>
        <v>205.00000000000011</v>
      </c>
      <c r="O33" s="13">
        <f>N33*VLOOKUP('Données projet'!$B$9,Paramètres!$A$1:$I$89,3,0)*VLOOKUP('Données projet'!$B$9,Paramètres!$A$1:$I$89,5,0)</f>
        <v>179.08800000000011</v>
      </c>
      <c r="P33" s="13">
        <f t="shared" si="33"/>
        <v>45.119223023956877</v>
      </c>
      <c r="Q33" s="20">
        <f t="shared" si="2"/>
        <v>390.4942467667251</v>
      </c>
      <c r="R33" s="59">
        <f t="shared" si="0"/>
        <v>683.82758010005841</v>
      </c>
      <c r="S33" s="59">
        <f ca="1">AVERAGE(OFFSET($R$3,0,0,'Données projet'!$E$9+1,1))-AVERAGE(OFFSET($H$3,0,0,'Données projet'!$E$9+1,1))</f>
        <v>248.50221719467663</v>
      </c>
      <c r="T33" s="59">
        <f t="shared" si="34"/>
        <v>366.09064580347183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51</v>
      </c>
      <c r="W33" s="16">
        <f>IF(ISNA(VLOOKUP(A33,'Données projet'!$A$35:$I$55,5,0)),0%,VLOOKUP(A33,'Données projet'!$A$35:$I$55,5,0)*VLOOKUP('Données projet'!$B$9,Paramètres!$A$1:$I$89,7,0))</f>
        <v>8.6000000000000007E-2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7.8948375995508275</v>
      </c>
      <c r="AA33" s="21">
        <f>EXP(-LN(2)/25)*AA32+(1-EXP(-LN(2)/25))/(LN(2)/25)*Calculateur!V33*Calculateur!X33*VLOOKUP('Données projet'!$B$9,Paramètres!$A$1:$I$89,3,0)*0.475*44/12</f>
        <v>24.06989736175278</v>
      </c>
      <c r="AB33" s="21">
        <f>EXP(-LN(2)/2)*AB32+(1-EXP(-LN(2)/2))/(LN(2)/2)*V33*Y33*VLOOKUP('Données projet'!$B$9,Paramètres!$A$1:$I$89,3,0)*0.475*44/12</f>
        <v>0</v>
      </c>
      <c r="AC33" s="22">
        <f t="shared" si="3"/>
        <v>31.964734961303606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109.48080000000002</v>
      </c>
      <c r="AK33" s="13">
        <f t="shared" si="35"/>
        <v>29.208623339903898</v>
      </c>
      <c r="AL33" s="20">
        <f t="shared" si="4"/>
        <v>241.55074565033269</v>
      </c>
      <c r="AM33" s="59">
        <f t="shared" si="5"/>
        <v>534.88407898366597</v>
      </c>
      <c r="AN33" s="59">
        <f ca="1">AVERAGE(OFFSET($AM$3,0,0,'Données projet'!$E$10+1,1))-AVERAGE(OFFSET($H$3,0,0,'Données projet'!$E$10+1,1))</f>
        <v>263.22346936777603</v>
      </c>
      <c r="AO33" s="59">
        <f t="shared" si="36"/>
        <v>217.14714468707939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0.6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7.2762548359919315</v>
      </c>
      <c r="AW33" s="21">
        <f>EXP(-LN(2)/2)*AW32+(1-EXP(-LN(2)/2))/(LN(2)/2)*AQ33*AT33*VLOOKUP('Données projet'!$B$10,Paramètres!$A$1:$I$89,3,0)*0.475*44/12</f>
        <v>17.850760445641214</v>
      </c>
      <c r="AX33" s="21">
        <f t="shared" si="6"/>
        <v>25.127015281633145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</v>
      </c>
      <c r="BD33" s="12">
        <f>IF('Données projet'!$A$88&gt;35,BD32+BC33-BL32,IF(A33&lt;'Données projet'!$A$88,$BA$205^A33,IF(A33='Données projet'!$A$88,'Données projet'!$B$88,BD32+BC33-BL32)))</f>
        <v>143.49999999999994</v>
      </c>
      <c r="BE33" s="13">
        <f>BD33*VLOOKUP('Données projet'!$B$11,Paramètres!$A$1:$I$89,3,0)*VLOOKUP('Données projet'!$B$11,Paramètres!$A$1:$I$89,5,0)</f>
        <v>111.92999999999996</v>
      </c>
      <c r="BF33" s="13">
        <f t="shared" si="37"/>
        <v>29.785246291563833</v>
      </c>
      <c r="BG33" s="20">
        <f t="shared" si="7"/>
        <v>246.82072062447358</v>
      </c>
      <c r="BH33" s="59">
        <f t="shared" si="8"/>
        <v>540.15405395780692</v>
      </c>
      <c r="BI33" s="59">
        <f ca="1">AVERAGE(OFFSET($BH$3,0,0,'Données projet'!$E$11+1,1))-AVERAGE(OFFSET($H$3,0,0,'Données projet'!$E$11+1,1))</f>
        <v>219.22204054948094</v>
      </c>
      <c r="BJ33" s="59">
        <f t="shared" si="38"/>
        <v>222.41711966122034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3.1355810314946124</v>
      </c>
      <c r="BR33" s="21">
        <f>EXP(-LN(2)/2)*BR32+(1-EXP(-LN(2)/2))/(LN(2)/2)*BL33*BO33*VLOOKUP('Données projet'!$B$11,Paramètres!$A$1:$I$89,3,0)*0.475*44/12</f>
        <v>3.2701074363325824</v>
      </c>
      <c r="BS33" s="22">
        <f t="shared" si="9"/>
        <v>6.4056884678271953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48</v>
      </c>
      <c r="BW33" s="12">
        <f>VLOOKUP(A33,'Données projet'!$A$113:$I$133,9,0)</f>
        <v>1.6</v>
      </c>
      <c r="BX33" s="12">
        <f t="array" ref="BX33">INDEX(BW:BW,MIN(IF(ISNUMBER(BW33:BW229),ROW(BW33:BW229),"")))</f>
        <v>1.6</v>
      </c>
      <c r="BY33" s="12">
        <f>IF('Données projet'!$A$114&gt;35,BY32+BX33-CG32,IF(A33&lt;'Données projet'!$A$114,$BV$205^A33,IF(A33='Données projet'!$A$114,'Données projet'!$B$114,BY32+BX33-CG32)))</f>
        <v>48</v>
      </c>
      <c r="BZ33" s="13">
        <f>BY33*VLOOKUP('Données projet'!$B$12,Paramètres!$A$1:$I$89,3,0)*VLOOKUP('Données projet'!$B$12,Paramètres!$A$1:$I$89,5,0)</f>
        <v>41.184000000000005</v>
      </c>
      <c r="CA33" s="13">
        <f t="shared" si="39"/>
        <v>12.31193147776184</v>
      </c>
      <c r="CB33" s="20">
        <f t="shared" si="10"/>
        <v>93.172080657101858</v>
      </c>
      <c r="CC33" s="59">
        <f t="shared" si="11"/>
        <v>386.50541399043516</v>
      </c>
      <c r="CD33" s="59">
        <f ca="1">AVERAGE(OFFSET($CC$3,0,0,'Données projet'!$E$12+1,1))-AVERAGE(OFFSET($H$3,0,0,'Données projet'!$E$12+1,1))</f>
        <v>237.27357081252273</v>
      </c>
      <c r="CE33" s="59">
        <f t="shared" si="40"/>
        <v>68.768479693848576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560</v>
      </c>
      <c r="CR33" s="12">
        <f>VLOOKUP(A33,'Données projet'!$A$139:$I$159,9,0)</f>
        <v>27.4</v>
      </c>
      <c r="CS33" s="12">
        <f t="array" ref="CS33">INDEX(CR:CR,MIN(IF(ISNUMBER(CR33:CR229),ROW(CR33:CR229),"")))</f>
        <v>27.4</v>
      </c>
      <c r="CT33" s="12">
        <f>IF('Données projet'!$A$140&gt;35,CT32+CS33-DB32,IF(A33&lt;'Données projet'!$A$140,$CQ$205^A33,IF(A33='Données projet'!$A$140,'Données projet'!$B$140,CT32+CS33-DB32)))</f>
        <v>559.99999999999989</v>
      </c>
      <c r="CU33" s="17">
        <f>CT33*VLOOKUP('Données projet'!$B$13,Paramètres!$A$1:$I$89,3,0)*VLOOKUP('Données projet'!$B$13,Paramètres!$A$1:$I$89,5,0)</f>
        <v>313.03999999999996</v>
      </c>
      <c r="CV33" s="13">
        <f t="shared" si="41"/>
        <v>73.903342138054057</v>
      </c>
      <c r="CW33" s="20">
        <f t="shared" si="13"/>
        <v>673.92632089044412</v>
      </c>
      <c r="CX33" s="59">
        <f t="shared" si="14"/>
        <v>967.25965422377749</v>
      </c>
      <c r="CY33" s="59">
        <f ca="1">AVERAGE(OFFSET($CX$3,0,0,'Données projet'!$E$13+1,1))-AVERAGE(OFFSET($H$3,0,0,'Données projet'!$E$13+1,1))</f>
        <v>474.03051418249999</v>
      </c>
      <c r="CZ33" s="59">
        <f t="shared" si="42"/>
        <v>649.52271992719091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67</v>
      </c>
      <c r="DC33" s="16">
        <f>IF(ISNA(VLOOKUP(A33,'Données projet'!$A$139:$I$159,5,0)),0%,VLOOKUP(A33,'Données projet'!$A$139:$I$159,5,0)*VLOOKUP('Données projet'!$B$13,Paramètres!$A$1:$I$89,7,0))</f>
        <v>0.11000000000000001</v>
      </c>
      <c r="DD33" s="16">
        <f>IF(ISNA(VLOOKUP(A33,'Données projet'!$A$139:$I$159,6,0)),0%,VLOOKUP(A33,'Données projet'!$A$139:$I$159,6,0)*VLOOKUP('Données projet'!$B$13,Paramètres!$A$1:$I$89,7,0))</f>
        <v>0.33</v>
      </c>
      <c r="DE33" s="16">
        <f>IF(ISNA(VLOOKUP(A33,'Données projet'!$A$139:$I$159,7,0)),0%,VLOOKUP(A33,'Données projet'!$A$139:$I$159,7,0))</f>
        <v>0.2</v>
      </c>
      <c r="DF33" s="21">
        <f>EXP(-LN(2)/35)*DF32+(1-EXP(-LN(2)/35))/(LN(2)/35)*DB33*DC33*VLOOKUP('Données projet'!$B$13,Paramètres!$A$1:$I$89,3,0)*0.475*44/12</f>
        <v>5.465220040453481</v>
      </c>
      <c r="DG33" s="21">
        <f>EXP(-LN(2)/25)*DG32+(1-EXP(-LN(2)/25))/(LN(2)/25)*Calculateur!DB33*Calculateur!DD33*VLOOKUP('Données projet'!$B$13,Paramètres!$A$1:$I$89,3,0)*0.475*44/12</f>
        <v>24.193071093368133</v>
      </c>
      <c r="DH33" s="21">
        <f>EXP(-LN(2)/2)*DH32+(1-EXP(-LN(2)/2))/(LN(2)/2)*DB33*DE33*VLOOKUP('Données projet'!$B$13,Paramètres!$A$1:$I$89,3,0)*0.475*44/12</f>
        <v>11.699668051685096</v>
      </c>
      <c r="DI33" s="22">
        <f t="shared" si="15"/>
        <v>41.357959185506708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255</v>
      </c>
      <c r="DM33" s="12">
        <f>VLOOKUP(A33,'Données projet'!$A$165:$I$185,9,0)</f>
        <v>16.666666666666668</v>
      </c>
      <c r="DN33" s="12">
        <f t="array" ref="DN33">INDEX(DM:DM,MIN(IF(ISNUMBER(DM33:DM229),ROW(DM33:DM229),"")))</f>
        <v>16.666666666666668</v>
      </c>
      <c r="DO33" s="12">
        <f>IF('Données projet'!$A$166&gt;35,DO32+DN33-DW32,IF(A33&lt;'Données projet'!$A$166,$DL$205^A33,IF(A33='Données projet'!$A$166,'Données projet'!$B$166,DO32+DN33-DW32)))</f>
        <v>254.99999999999994</v>
      </c>
      <c r="DP33" s="17">
        <f>DO33*VLOOKUP('Données projet'!$B$14,Paramètres!$A$1:$I$89,3,0)*VLOOKUP('Données projet'!$B$14,Paramètres!$A$1:$I$89,5,0)</f>
        <v>139.22999999999996</v>
      </c>
      <c r="DQ33" s="13">
        <f t="shared" si="43"/>
        <v>36.120552727378737</v>
      </c>
      <c r="DR33" s="20">
        <f t="shared" si="16"/>
        <v>305.4022126668512</v>
      </c>
      <c r="DS33" s="59">
        <f t="shared" si="17"/>
        <v>598.73554600018451</v>
      </c>
      <c r="DT33" s="59">
        <f ca="1">AVERAGE(OFFSET($DS$3,0,0,'Données projet'!$E$14+1,1))-AVERAGE(OFFSET($H$3,0,0,'Données projet'!$E$14+1,1))</f>
        <v>164.0740581424559</v>
      </c>
      <c r="DU33" s="59">
        <f t="shared" si="44"/>
        <v>280.99861170359793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76</v>
      </c>
      <c r="DX33" s="16">
        <f>IF(ISNA(VLOOKUP(A33,'Données projet'!$A$165:$I$185,5,0)),0%,VLOOKUP(A33,'Données projet'!$A$165:$I$185,5,0)*VLOOKUP('Données projet'!$B$14,Paramètres!$A$1:$I$89,7,0))</f>
        <v>0.12</v>
      </c>
      <c r="DY33" s="16">
        <f>IF(ISNA(VLOOKUP(A33,'Données projet'!$A$165:$I$185,6,0)),0%,VLOOKUP(A33,'Données projet'!$A$165:$I$185,6,0)*VLOOKUP('Données projet'!$B$14,Paramètres!$A$1:$I$89,7,0))</f>
        <v>0.36</v>
      </c>
      <c r="DZ33" s="16">
        <f>IF(ISNA(VLOOKUP(A33,'Données projet'!$A$165:$I$185,7,0)),0%,VLOOKUP(A33,'Données projet'!$A$165:$I$185,7,0))</f>
        <v>0.2</v>
      </c>
      <c r="EA33" s="21">
        <f>EXP(-LN(2)/35)*EA32+(1-EXP(-LN(2)/35))/(LN(2)/35)*DW33*DX33*VLOOKUP('Données projet'!$B$14,Paramètres!$A$1:$I$89,3,0)*0.475*44/12</f>
        <v>6.605654237150298</v>
      </c>
      <c r="EB33" s="21">
        <f>EXP(-LN(2)/25)*EB32+(1-EXP(-LN(2)/25))/(LN(2)/25)*Calculateur!DW33*Calculateur!DY33*VLOOKUP('Données projet'!$B$14,Paramètres!$A$1:$I$89,3,0)*0.475*44/12</f>
        <v>25.896670483122353</v>
      </c>
      <c r="EC33" s="21">
        <f>EXP(-LN(2)/2)*EC32+(1-EXP(-LN(2)/2))/(LN(2)/2)*DW33*DZ33*VLOOKUP('Données projet'!$B$14,Paramètres!$A$1:$I$89,3,0)*0.475*44/12</f>
        <v>15.17871325709166</v>
      </c>
      <c r="ED33" s="22">
        <f t="shared" si="18"/>
        <v>47.681037977364312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376</v>
      </c>
      <c r="EH33" s="12">
        <f>VLOOKUP(A33,'Données projet'!$A$191:$I$211,9,0)</f>
        <v>31.8</v>
      </c>
      <c r="EI33" s="12">
        <f t="array" ref="EI33">INDEX(EH:EH,MIN(IF(ISNUMBER(EH33:EH229),ROW(EH33:EH229),"")))</f>
        <v>31.8</v>
      </c>
      <c r="EJ33" s="12">
        <f>IF('Données projet'!$A$192&gt;35,EJ32+EI33-ER32,IF(A33&lt;'Données projet'!$A$192,$EG$205^A33,IF(A33='Données projet'!$A$192,'Données projet'!$B$192,EJ32+EI33-ER32)))</f>
        <v>376.00000000000006</v>
      </c>
      <c r="EK33" s="17">
        <f>EJ33*VLOOKUP('Données projet'!$B$15,Paramètres!$A$1:$I$89,3,0)*VLOOKUP('Données projet'!$B$15,Paramètres!$A$1:$I$89,5,0)</f>
        <v>180.85600000000005</v>
      </c>
      <c r="EL33" s="13">
        <f t="shared" si="45"/>
        <v>45.512577778862394</v>
      </c>
      <c r="EM33" s="20">
        <f t="shared" si="19"/>
        <v>394.25860629818544</v>
      </c>
      <c r="EN33" s="59">
        <f t="shared" si="20"/>
        <v>687.5919396315187</v>
      </c>
      <c r="EO33" s="59">
        <f ca="1">AVERAGE(OFFSET($EN$3,0,0,'Données projet'!$E$15+1,1))-AVERAGE(OFFSET($H$3,0,0,'Données projet'!$E$15+1,1))</f>
        <v>312.1172301514103</v>
      </c>
      <c r="EP33" s="59">
        <f t="shared" si="46"/>
        <v>369.85500533493212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77</v>
      </c>
      <c r="ES33" s="16">
        <f>IF(ISNA(VLOOKUP(A33,'Données projet'!$A$191:$I$211,5,0)),0%,VLOOKUP(A33,'Données projet'!$A$191:$I$211,5,0)*VLOOKUP('Données projet'!$B$15,Paramètres!$A$1:$I$89,7,0))</f>
        <v>5.5000000000000007E-2</v>
      </c>
      <c r="ET33" s="16">
        <f>IF(ISNA(VLOOKUP(A33,'Données projet'!$A$191:$I$211,6,0)),0%,VLOOKUP(A33,'Données projet'!$A$191:$I$211,6,0)*VLOOKUP('Données projet'!$B$15,Paramètres!$A$1:$I$89,7,0))</f>
        <v>0.16500000000000001</v>
      </c>
      <c r="EU33" s="16">
        <f>IF(ISNA(VLOOKUP(A33,'Données projet'!$A$191:$I$211,7,0)),0%,VLOOKUP(A33,'Données projet'!$A$191:$I$211,7,0))</f>
        <v>0.6</v>
      </c>
      <c r="EV33" s="21">
        <f>EXP(-LN(2)/35)*EV32+(1-EXP(-LN(2)/35))/(LN(2)/35)*ER33*ES33*VLOOKUP('Données projet'!$B$15,Paramètres!$A$1:$I$89,3,0)*0.475*44/12</f>
        <v>2.7022582254862839</v>
      </c>
      <c r="EW33" s="21">
        <f>EXP(-LN(2)/25)*EW32+(1-EXP(-LN(2)/25))/(LN(2)/25)*Calculateur!ER33*Calculateur!ET33*VLOOKUP('Données projet'!$B$15,Paramètres!$A$1:$I$89,3,0)*0.475*44/12</f>
        <v>15.039526171780235</v>
      </c>
      <c r="EX33" s="21">
        <f>EXP(-LN(2)/2)*EX32+(1-EXP(-LN(2)/2))/(LN(2)/2)*ER33*EU33*VLOOKUP('Données projet'!$B$15,Paramètres!$A$1:$I$89,3,0)*0.475*44/12</f>
        <v>31.676573687338006</v>
      </c>
      <c r="EY33" s="22">
        <f t="shared" si="21"/>
        <v>49.41835808460452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9.6571428571428566</v>
      </c>
      <c r="FE33" s="12">
        <f>IF('Données projet'!$A$218&gt;35,FE32+FD33-FM32,IF(A33&lt;'Données projet'!$A$218,$FB$205^A33,IF(A33='Données projet'!$A$218,'Données projet'!$B$218,FE32+FD33-FM32)))</f>
        <v>166.37142857142845</v>
      </c>
      <c r="FF33" s="17">
        <f>FE33*VLOOKUP('Données projet'!$B$16,Paramètres!$A$1:$I$89,3,0)*VLOOKUP('Données projet'!$B$16,Paramètres!$A$1:$I$89,5,0)</f>
        <v>77.861828571428518</v>
      </c>
      <c r="FG33" s="13">
        <f t="shared" si="47"/>
        <v>21.613568677621085</v>
      </c>
      <c r="FH33" s="20">
        <f t="shared" si="22"/>
        <v>173.25298354209474</v>
      </c>
      <c r="FI33" s="59">
        <f t="shared" si="23"/>
        <v>466.58631687542805</v>
      </c>
      <c r="FJ33" s="59">
        <f ca="1">AVERAGE(OFFSET($FI$3,0,0,'Données projet'!$E$16+1,1))-AVERAGE(OFFSET($H$3,0,0,'Données projet'!$E$16+1,1))</f>
        <v>87.187251664304199</v>
      </c>
      <c r="FK33" s="59">
        <f t="shared" si="48"/>
        <v>148.84938257884147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8.0636635610668534</v>
      </c>
      <c r="FS33" s="21">
        <f>EXP(-LN(2)/2)*FS32+(1-EXP(-LN(2)/2))/(LN(2)/2)*FM33*FP33*VLOOKUP('Données projet'!$B$16,Paramètres!$A$1:$I$89,3,0)*0.475*44/12</f>
        <v>6.0839252567619981</v>
      </c>
      <c r="FT33" s="22">
        <f t="shared" si="24"/>
        <v>14.147588817828851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256</v>
      </c>
      <c r="FX33" s="12">
        <f>VLOOKUP(A33,'Données projet'!$A$243:$I$263,9,0)</f>
        <v>17.600000000000001</v>
      </c>
      <c r="FY33" s="12">
        <f t="array" ref="FY33">INDEX(FX:FX,MIN(IF(ISNUMBER(FX33:FX229),ROW(FX33:FX229),"")))</f>
        <v>17.600000000000001</v>
      </c>
      <c r="FZ33" s="12">
        <f>IF('Données projet'!$A$244&gt;35,FZ32+FY33-GH32,IF(A33&lt;'Données projet'!$A$244,$FW$205^A33,IF(A33='Données projet'!$A$244,'Données projet'!$B$244,FZ32+FY33-GH32)))</f>
        <v>256</v>
      </c>
      <c r="GA33" s="17">
        <f>FZ33*VLOOKUP('Données projet'!$B$17,Paramètres!$A$1:$I$89,3,0)*VLOOKUP('Données projet'!$B$17,Paramètres!$A$1:$I$89,5,0)</f>
        <v>153.08800000000002</v>
      </c>
      <c r="GB33" s="13">
        <f t="shared" si="49"/>
        <v>39.27951026543515</v>
      </c>
      <c r="GC33" s="20">
        <f t="shared" si="25"/>
        <v>335.04008037896625</v>
      </c>
      <c r="GD33" s="59">
        <f t="shared" si="26"/>
        <v>628.37341371229957</v>
      </c>
      <c r="GE33" s="59">
        <f ca="1">AVERAGE(OFFSET($GD$3,0,0,'Données projet'!$E$17+1,1))-AVERAGE(OFFSET($H$3,0,0,'Données projet'!$E$17+1,1))</f>
        <v>282.94722676586207</v>
      </c>
      <c r="GF33" s="59">
        <f t="shared" si="50"/>
        <v>310.63647941571298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54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0.18000000000000002</v>
      </c>
      <c r="GK33" s="16">
        <f>IF(ISNA(VLOOKUP(A33,'Données projet'!$A$243:$I$263,7,0)),0%,VLOOKUP(A33,'Données projet'!$A$243:$I$263,7,0))</f>
        <v>0.6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10.717515442128263</v>
      </c>
      <c r="GN33" s="21">
        <f>EXP(-LN(2)/2)*GN32+(1-EXP(-LN(2)/2))/(LN(2)/2)*GH33*GK33*VLOOKUP('Données projet'!$B$17,Paramètres!$A$1:$I$89,3,0)*0.475*44/12</f>
        <v>25.638232997389039</v>
      </c>
      <c r="GO33" s="21">
        <f t="shared" si="27"/>
        <v>36.355748439517299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18.666666666666668</v>
      </c>
      <c r="GU33" s="12">
        <f>IF('Données projet'!$A$270&gt;35,GU32+GT33-HC32,IF(A33&lt;'Données projet'!$A$270,$GR$205^A33,IF(A33='Données projet'!$A$270,'Données projet'!$B$270,GU32+GT33-HC32)))</f>
        <v>229.33333333333331</v>
      </c>
      <c r="GV33" s="17">
        <f>GU33*VLOOKUP('Données projet'!$B$18,Paramètres!$A$1:$I$89,3,0)*VLOOKUP('Données projet'!$B$18,Paramètres!$A$1:$I$89,5,0)</f>
        <v>137.14133333333334</v>
      </c>
      <c r="GW33" s="13">
        <f t="shared" si="51"/>
        <v>35.641340873670629</v>
      </c>
      <c r="GX33" s="20">
        <f t="shared" si="28"/>
        <v>300.92982424386526</v>
      </c>
      <c r="GY33" s="59">
        <f t="shared" si="29"/>
        <v>594.26315757719863</v>
      </c>
      <c r="GZ33" s="59">
        <f ca="1">AVERAGE(OFFSET($GY$3,0,0,'Données projet'!$E$18+1,1))-AVERAGE(OFFSET($H$3,0,0,'Données projet'!$E$18+1,1))</f>
        <v>255.54398581450459</v>
      </c>
      <c r="HA33" s="59">
        <f t="shared" si="52"/>
        <v>276.52622328061204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5.3477040027449858</v>
      </c>
      <c r="HI33" s="21">
        <f>EXP(-LN(2)/2)*HI32+(1-EXP(-LN(2)/2))/(LN(2)/2)*HC33*HF33*VLOOKUP('Données projet'!$B$18,Paramètres!$A$1:$I$89,3,0)*0.475*44/12</f>
        <v>14.867084008327156</v>
      </c>
      <c r="HJ33" s="22">
        <f t="shared" si="30"/>
        <v>20.214788011072141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13.6</v>
      </c>
      <c r="N34" s="13">
        <f>IF('Données projet'!$A$36&gt;35,N33+M34-V33,IF(A34&lt;'Données projet'!$A$36,$K$205^A34,IF(A34='Données projet'!$A$36,'Données projet'!$B$36,N33+M34-V33)))</f>
        <v>167.60000000000011</v>
      </c>
      <c r="O34" s="13">
        <f>N34*VLOOKUP('Données projet'!$B$9,Paramètres!$A$1:$I$89,3,0)*VLOOKUP('Données projet'!$B$9,Paramètres!$A$1:$I$89,5,0)</f>
        <v>146.41536000000011</v>
      </c>
      <c r="P34" s="13">
        <f t="shared" si="33"/>
        <v>37.762820103024502</v>
      </c>
      <c r="Q34" s="20">
        <f t="shared" si="2"/>
        <v>320.77699701276782</v>
      </c>
      <c r="R34" s="59">
        <f t="shared" si="0"/>
        <v>614.11033034610114</v>
      </c>
      <c r="S34" s="59">
        <f ca="1">AVERAGE(OFFSET($R$3,0,0,'Données projet'!$E$9+1,1))-AVERAGE(OFFSET($H$3,0,0,'Données projet'!$E$9+1,1))</f>
        <v>248.50221719467663</v>
      </c>
      <c r="T34" s="59">
        <f t="shared" si="34"/>
        <v>366.09064580347183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7.7400246495990928</v>
      </c>
      <c r="AA34" s="21">
        <f>EXP(-LN(2)/25)*AA33+(1-EXP(-LN(2)/25))/(LN(2)/25)*Calculateur!V34*Calculateur!X34*VLOOKUP('Données projet'!$B$9,Paramètres!$A$1:$I$89,3,0)*0.475*44/12</f>
        <v>23.41170475261476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31.151729402213853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93.91824000000004</v>
      </c>
      <c r="AK34" s="13">
        <f t="shared" si="35"/>
        <v>25.507853654186022</v>
      </c>
      <c r="AL34" s="20">
        <f t="shared" si="4"/>
        <v>208.00044644770739</v>
      </c>
      <c r="AM34" s="59">
        <f t="shared" si="5"/>
        <v>501.33377978104068</v>
      </c>
      <c r="AN34" s="59">
        <f ca="1">AVERAGE(OFFSET($AM$3,0,0,'Données projet'!$E$10+1,1))-AVERAGE(OFFSET($H$3,0,0,'Données projet'!$E$10+1,1))</f>
        <v>263.22346936777603</v>
      </c>
      <c r="AO34" s="59">
        <f t="shared" si="36"/>
        <v>217.14714468707939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7.0772852648601203</v>
      </c>
      <c r="AW34" s="21">
        <f>EXP(-LN(2)/2)*AW33+(1-EXP(-LN(2)/2))/(LN(2)/2)*AQ34*AT34*VLOOKUP('Données projet'!$B$10,Paramètres!$A$1:$I$89,3,0)*0.475*44/12</f>
        <v>12.6223937604495</v>
      </c>
      <c r="AX34" s="21">
        <f t="shared" si="6"/>
        <v>19.699679025309621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155</v>
      </c>
      <c r="BB34" s="12">
        <f>VLOOKUP(A34,'Données projet'!$A$87:$I$107,9,0)</f>
        <v>11.5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154.99999999999994</v>
      </c>
      <c r="BE34" s="13">
        <f>BD34*VLOOKUP('Données projet'!$B$11,Paramètres!$A$1:$I$89,3,0)*VLOOKUP('Données projet'!$B$11,Paramètres!$A$1:$I$89,5,0)</f>
        <v>120.89999999999996</v>
      </c>
      <c r="BF34" s="13">
        <f t="shared" si="37"/>
        <v>31.884818143351602</v>
      </c>
      <c r="BG34" s="20">
        <f t="shared" si="7"/>
        <v>266.10022493300397</v>
      </c>
      <c r="BH34" s="59">
        <f t="shared" si="8"/>
        <v>559.43355826633729</v>
      </c>
      <c r="BI34" s="59">
        <f ca="1">AVERAGE(OFFSET($BH$3,0,0,'Données projet'!$E$11+1,1))-AVERAGE(OFFSET($H$3,0,0,'Données projet'!$E$11+1,1))</f>
        <v>219.22204054948094</v>
      </c>
      <c r="BJ34" s="59">
        <f t="shared" si="38"/>
        <v>222.41711966122034</v>
      </c>
      <c r="BK34" s="15">
        <f>IF(ISNA(VLOOKUP(A34,'Données projet'!$A$87:$I$107,3,0)),0,VLOOKUP(A34,'Données projet'!$A$87:$I$107,3,0))</f>
        <v>4</v>
      </c>
      <c r="BL34" s="15">
        <f>IF(ISNA(VLOOKUP(A34,'Données projet'!$A$87:$I$107,4,0)),0,VLOOKUP(A34,'Données projet'!$A$87:$I$107,4,0))</f>
        <v>36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3.0498384032953521</v>
      </c>
      <c r="BR34" s="21">
        <f>EXP(-LN(2)/2)*BR33+(1-EXP(-LN(2)/2))/(LN(2)/2)*BL34*BO34*VLOOKUP('Données projet'!$B$11,Paramètres!$A$1:$I$89,3,0)*0.475*44/12</f>
        <v>2.3123151434393252</v>
      </c>
      <c r="BS34" s="22">
        <f t="shared" si="9"/>
        <v>5.3621535467346773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6.8</v>
      </c>
      <c r="BY34" s="12">
        <f>IF('Données projet'!$A$114&gt;35,BY33+BX34-CG33,IF(A34&lt;'Données projet'!$A$114,$BV$205^A34,IF(A34='Données projet'!$A$114,'Données projet'!$B$114,BY33+BX34-CG33)))</f>
        <v>54.8</v>
      </c>
      <c r="BZ34" s="13">
        <f>BY34*VLOOKUP('Données projet'!$B$12,Paramètres!$A$1:$I$89,3,0)*VLOOKUP('Données projet'!$B$12,Paramètres!$A$1:$I$89,5,0)</f>
        <v>47.0184</v>
      </c>
      <c r="CA34" s="13">
        <f t="shared" si="39"/>
        <v>13.841014827346807</v>
      </c>
      <c r="CB34" s="20">
        <f t="shared" si="10"/>
        <v>105.99681415762903</v>
      </c>
      <c r="CC34" s="59">
        <f t="shared" si="11"/>
        <v>399.33014749096236</v>
      </c>
      <c r="CD34" s="59">
        <f ca="1">AVERAGE(OFFSET($CC$3,0,0,'Données projet'!$E$12+1,1))-AVERAGE(OFFSET($H$3,0,0,'Données projet'!$E$12+1,1))</f>
        <v>237.27357081252273</v>
      </c>
      <c r="CE34" s="59">
        <f t="shared" si="40"/>
        <v>68.768479693848576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24.6</v>
      </c>
      <c r="CT34" s="12">
        <f>IF('Données projet'!$A$140&gt;35,CT33+CS34-DB33,IF(A34&lt;'Données projet'!$A$140,$CQ$205^A34,IF(A34='Données projet'!$A$140,'Données projet'!$B$140,CT33+CS34-DB33)))</f>
        <v>517.59999999999991</v>
      </c>
      <c r="CU34" s="17">
        <f>CT34*VLOOKUP('Données projet'!$B$13,Paramètres!$A$1:$I$89,3,0)*VLOOKUP('Données projet'!$B$13,Paramètres!$A$1:$I$89,5,0)</f>
        <v>289.33839999999998</v>
      </c>
      <c r="CV34" s="13">
        <f t="shared" si="41"/>
        <v>68.936697354141856</v>
      </c>
      <c r="CW34" s="20">
        <f t="shared" si="13"/>
        <v>623.99579455846367</v>
      </c>
      <c r="CX34" s="59">
        <f t="shared" si="14"/>
        <v>917.32912789179704</v>
      </c>
      <c r="CY34" s="59">
        <f ca="1">AVERAGE(OFFSET($CX$3,0,0,'Données projet'!$E$13+1,1))-AVERAGE(OFFSET($H$3,0,0,'Données projet'!$E$13+1,1))</f>
        <v>474.03051418249999</v>
      </c>
      <c r="CZ34" s="59">
        <f t="shared" si="42"/>
        <v>649.52271992719091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5.3580504089152612</v>
      </c>
      <c r="DG34" s="21">
        <f>EXP(-LN(2)/25)*DG33+(1-EXP(-LN(2)/25))/(LN(2)/25)*Calculateur!DB34*Calculateur!DD34*VLOOKUP('Données projet'!$B$13,Paramètres!$A$1:$I$89,3,0)*0.475*44/12</f>
        <v>23.531510292061665</v>
      </c>
      <c r="DH34" s="21">
        <f>EXP(-LN(2)/2)*DH33+(1-EXP(-LN(2)/2))/(LN(2)/2)*DB34*DE34*VLOOKUP('Données projet'!$B$13,Paramètres!$A$1:$I$89,3,0)*0.475*44/12</f>
        <v>8.2729146169781345</v>
      </c>
      <c r="DI34" s="22">
        <f t="shared" si="15"/>
        <v>37.162475317955057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</v>
      </c>
      <c r="DO34" s="12">
        <f>IF('Données projet'!$A$166&gt;35,DO33+DN34-DW33,IF(A34&lt;'Données projet'!$A$166,$DL$205^A34,IF(A34='Données projet'!$A$166,'Données projet'!$B$166,DO33+DN34-DW33)))</f>
        <v>193.99999999999994</v>
      </c>
      <c r="DP34" s="17">
        <f>DO34*VLOOKUP('Données projet'!$B$14,Paramètres!$A$1:$I$89,3,0)*VLOOKUP('Données projet'!$B$14,Paramètres!$A$1:$I$89,5,0)</f>
        <v>105.92399999999998</v>
      </c>
      <c r="DQ34" s="13">
        <f t="shared" si="43"/>
        <v>28.36854701055546</v>
      </c>
      <c r="DR34" s="20">
        <f t="shared" si="16"/>
        <v>233.89285271005073</v>
      </c>
      <c r="DS34" s="59">
        <f t="shared" si="17"/>
        <v>527.22618604338402</v>
      </c>
      <c r="DT34" s="59">
        <f ca="1">AVERAGE(OFFSET($DS$3,0,0,'Données projet'!$E$14+1,1))-AVERAGE(OFFSET($H$3,0,0,'Données projet'!$E$14+1,1))</f>
        <v>164.0740581424559</v>
      </c>
      <c r="DU34" s="59">
        <f t="shared" si="44"/>
        <v>280.99861170359793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6.4761213866110294</v>
      </c>
      <c r="EB34" s="21">
        <f>EXP(-LN(2)/25)*EB33+(1-EXP(-LN(2)/25))/(LN(2)/25)*Calculateur!DW34*Calculateur!DY34*VLOOKUP('Données projet'!$B$14,Paramètres!$A$1:$I$89,3,0)*0.475*44/12</f>
        <v>25.18852466691466</v>
      </c>
      <c r="EC34" s="21">
        <f>EXP(-LN(2)/2)*EC33+(1-EXP(-LN(2)/2))/(LN(2)/2)*DW34*DZ34*VLOOKUP('Données projet'!$B$14,Paramètres!$A$1:$I$89,3,0)*0.475*44/12</f>
        <v>10.732971073775662</v>
      </c>
      <c r="ED34" s="22">
        <f t="shared" si="18"/>
        <v>42.397617127301352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30.8</v>
      </c>
      <c r="EJ34" s="12">
        <f>IF('Données projet'!$A$192&gt;35,EJ33+EI34-ER33,IF(A34&lt;'Données projet'!$A$192,$EG$205^A34,IF(A34='Données projet'!$A$192,'Données projet'!$B$192,EJ33+EI34-ER33)))</f>
        <v>329.80000000000007</v>
      </c>
      <c r="EK34" s="17">
        <f>EJ34*VLOOKUP('Données projet'!$B$15,Paramètres!$A$1:$I$89,3,0)*VLOOKUP('Données projet'!$B$15,Paramètres!$A$1:$I$89,5,0)</f>
        <v>158.63380000000004</v>
      </c>
      <c r="EL34" s="13">
        <f t="shared" si="45"/>
        <v>40.534211557493919</v>
      </c>
      <c r="EM34" s="20">
        <f t="shared" si="19"/>
        <v>346.88428679596865</v>
      </c>
      <c r="EN34" s="59">
        <f t="shared" si="20"/>
        <v>640.21762012930196</v>
      </c>
      <c r="EO34" s="59">
        <f ca="1">AVERAGE(OFFSET($EN$3,0,0,'Données projet'!$E$15+1,1))-AVERAGE(OFFSET($H$3,0,0,'Données projet'!$E$15+1,1))</f>
        <v>312.1172301514103</v>
      </c>
      <c r="EP34" s="59">
        <f t="shared" si="46"/>
        <v>369.85500533493212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2.6492685898992678</v>
      </c>
      <c r="EW34" s="21">
        <f>EXP(-LN(2)/25)*EW33+(1-EXP(-LN(2)/25))/(LN(2)/25)*Calculateur!ER34*Calculateur!ET34*VLOOKUP('Données projet'!$B$15,Paramètres!$A$1:$I$89,3,0)*0.475*44/12</f>
        <v>14.628269537718596</v>
      </c>
      <c r="EX34" s="21">
        <f>EXP(-LN(2)/2)*EX33+(1-EXP(-LN(2)/2))/(LN(2)/2)*ER34*EU34*VLOOKUP('Données projet'!$B$15,Paramètres!$A$1:$I$89,3,0)*0.475*44/12</f>
        <v>22.398720059072065</v>
      </c>
      <c r="EY34" s="22">
        <f t="shared" si="21"/>
        <v>39.676258186689928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9.6571428571428566</v>
      </c>
      <c r="FE34" s="12">
        <f>IF('Données projet'!$A$218&gt;35,FE33+FD34-FM33,IF(A34&lt;'Données projet'!$A$218,$FB$205^A34,IF(A34='Données projet'!$A$218,'Données projet'!$B$218,FE33+FD34-FM33)))</f>
        <v>176.0285714285713</v>
      </c>
      <c r="FF34" s="17">
        <f>FE34*VLOOKUP('Données projet'!$B$16,Paramètres!$A$1:$I$89,3,0)*VLOOKUP('Données projet'!$B$16,Paramètres!$A$1:$I$89,5,0)</f>
        <v>82.38137142857137</v>
      </c>
      <c r="FG34" s="13">
        <f t="shared" si="47"/>
        <v>22.718444093246809</v>
      </c>
      <c r="FH34" s="20">
        <f t="shared" si="22"/>
        <v>183.04884536716665</v>
      </c>
      <c r="FI34" s="59">
        <f t="shared" si="23"/>
        <v>476.38217870049994</v>
      </c>
      <c r="FJ34" s="59">
        <f ca="1">AVERAGE(OFFSET($FI$3,0,0,'Données projet'!$E$16+1,1))-AVERAGE(OFFSET($H$3,0,0,'Données projet'!$E$16+1,1))</f>
        <v>87.187251664304199</v>
      </c>
      <c r="FK34" s="59">
        <f t="shared" si="48"/>
        <v>148.84938257884147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7.8431622569398431</v>
      </c>
      <c r="FS34" s="21">
        <f>EXP(-LN(2)/2)*FS33+(1-EXP(-LN(2)/2))/(LN(2)/2)*FM34*FP34*VLOOKUP('Données projet'!$B$16,Paramètres!$A$1:$I$89,3,0)*0.475*44/12</f>
        <v>4.3019848052885168</v>
      </c>
      <c r="FT34" s="22">
        <f t="shared" si="24"/>
        <v>12.145147062228361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18.8</v>
      </c>
      <c r="FZ34" s="12">
        <f>IF('Données projet'!$A$244&gt;35,FZ33+FY34-GH33,IF(A34&lt;'Données projet'!$A$244,$FW$205^A34,IF(A34='Données projet'!$A$244,'Données projet'!$B$244,FZ33+FY34-GH33)))</f>
        <v>220.8</v>
      </c>
      <c r="GA34" s="17">
        <f>FZ34*VLOOKUP('Données projet'!$B$17,Paramètres!$A$1:$I$89,3,0)*VLOOKUP('Données projet'!$B$17,Paramètres!$A$1:$I$89,5,0)</f>
        <v>132.03840000000002</v>
      </c>
      <c r="GB34" s="13">
        <f t="shared" si="49"/>
        <v>34.466946374534373</v>
      </c>
      <c r="GC34" s="20">
        <f t="shared" si="25"/>
        <v>289.99681160231404</v>
      </c>
      <c r="GD34" s="59">
        <f t="shared" si="26"/>
        <v>583.33014493564735</v>
      </c>
      <c r="GE34" s="59">
        <f ca="1">AVERAGE(OFFSET($GD$3,0,0,'Données projet'!$E$17+1,1))-AVERAGE(OFFSET($H$3,0,0,'Données projet'!$E$17+1,1))</f>
        <v>282.94722676586207</v>
      </c>
      <c r="GF34" s="59">
        <f t="shared" si="50"/>
        <v>310.63647941571298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10.424444418753625</v>
      </c>
      <c r="GN34" s="21">
        <f>EXP(-LN(2)/2)*GN33+(1-EXP(-LN(2)/2))/(LN(2)/2)*GH34*GK34*VLOOKUP('Données projet'!$B$17,Paramètres!$A$1:$I$89,3,0)*0.475*44/12</f>
        <v>18.128968410094494</v>
      </c>
      <c r="GO34" s="21">
        <f t="shared" si="27"/>
        <v>28.553412828848117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18.666666666666668</v>
      </c>
      <c r="GU34" s="12">
        <f>IF('Données projet'!$A$270&gt;35,GU33+GT34-HC33,IF(A34&lt;'Données projet'!$A$270,$GR$205^A34,IF(A34='Données projet'!$A$270,'Données projet'!$B$270,GU33+GT34-HC33)))</f>
        <v>247.99999999999997</v>
      </c>
      <c r="GV34" s="17">
        <f>GU34*VLOOKUP('Données projet'!$B$18,Paramètres!$A$1:$I$89,3,0)*VLOOKUP('Données projet'!$B$18,Paramètres!$A$1:$I$89,5,0)</f>
        <v>148.304</v>
      </c>
      <c r="GW34" s="13">
        <f t="shared" si="51"/>
        <v>38.192908835171721</v>
      </c>
      <c r="GX34" s="20">
        <f t="shared" si="28"/>
        <v>324.81544955459077</v>
      </c>
      <c r="GY34" s="59">
        <f t="shared" si="29"/>
        <v>618.14878288792409</v>
      </c>
      <c r="GZ34" s="59">
        <f ca="1">AVERAGE(OFFSET($GY$3,0,0,'Données projet'!$E$18+1,1))-AVERAGE(OFFSET($H$3,0,0,'Données projet'!$E$18+1,1))</f>
        <v>255.54398581450459</v>
      </c>
      <c r="HA34" s="59">
        <f t="shared" si="52"/>
        <v>276.52622328061204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5.201470755566393</v>
      </c>
      <c r="HI34" s="21">
        <f>EXP(-LN(2)/2)*HI33+(1-EXP(-LN(2)/2))/(LN(2)/2)*HC34*HF34*VLOOKUP('Données projet'!$B$18,Paramètres!$A$1:$I$89,3,0)*0.475*44/12</f>
        <v>10.512615918758211</v>
      </c>
      <c r="HJ34" s="22">
        <f t="shared" si="30"/>
        <v>15.714086674324605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13.6</v>
      </c>
      <c r="N35" s="13">
        <f>IF('Données projet'!$A$36&gt;35,N34+M35-V34,IF(A35&lt;'Données projet'!$A$36,$K$205^A35,IF(A35='Données projet'!$A$36,'Données projet'!$B$36,N34+M35-V34)))</f>
        <v>181.2000000000001</v>
      </c>
      <c r="O35" s="13">
        <f>N35*VLOOKUP('Données projet'!$B$9,Paramètres!$A$1:$I$89,3,0)*VLOOKUP('Données projet'!$B$9,Paramètres!$A$1:$I$89,5,0)</f>
        <v>158.29632000000009</v>
      </c>
      <c r="P35" s="13">
        <f t="shared" si="33"/>
        <v>40.458006540983739</v>
      </c>
      <c r="Q35" s="20">
        <f t="shared" ref="Q35:Q66" si="53">(O35+P35)*0.475*44/12</f>
        <v>346.16378539221347</v>
      </c>
      <c r="R35" s="59">
        <f t="shared" si="0"/>
        <v>639.49711872554678</v>
      </c>
      <c r="S35" s="59">
        <f ca="1">AVERAGE(OFFSET($R$3,0,0,'Données projet'!$E$9+1,1))-AVERAGE(OFFSET($H$3,0,0,'Données projet'!$E$9+1,1))</f>
        <v>248.50221719467663</v>
      </c>
      <c r="T35" s="59">
        <f t="shared" si="34"/>
        <v>366.09064580347183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7.5882474871693359</v>
      </c>
      <c r="AA35" s="21">
        <f>EXP(-LN(2)/25)*AA34+(1-EXP(-LN(2)/25))/(LN(2)/25)*Calculateur!V35*Calculateur!X35*VLOOKUP('Données projet'!$B$9,Paramètres!$A$1:$I$89,3,0)*0.475*44/12</f>
        <v>22.771510454986466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30.359757942155802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103.69008000000004</v>
      </c>
      <c r="AK35" s="13">
        <f t="shared" si="35"/>
        <v>27.83924565319537</v>
      </c>
      <c r="AL35" s="20">
        <f t="shared" si="4"/>
        <v>229.08024217931529</v>
      </c>
      <c r="AM35" s="59">
        <f t="shared" si="5"/>
        <v>522.41357551264855</v>
      </c>
      <c r="AN35" s="59">
        <f ca="1">AVERAGE(OFFSET($AM$3,0,0,'Données projet'!$E$10+1,1))-AVERAGE(OFFSET($H$3,0,0,'Données projet'!$E$10+1,1))</f>
        <v>263.22346936777603</v>
      </c>
      <c r="AO35" s="59">
        <f t="shared" si="36"/>
        <v>217.14714468707939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6.8837565271142633</v>
      </c>
      <c r="AW35" s="21">
        <f>EXP(-LN(2)/2)*AW34+(1-EXP(-LN(2)/2))/(LN(2)/2)*AQ35*AT35*VLOOKUP('Données projet'!$B$10,Paramètres!$A$1:$I$89,3,0)*0.475*44/12</f>
        <v>8.9253802228206069</v>
      </c>
      <c r="AX35" s="21">
        <f t="shared" si="6"/>
        <v>15.80913674993487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130.49999999999994</v>
      </c>
      <c r="BE35" s="13">
        <f>BD35*VLOOKUP('Données projet'!$B$11,Paramètres!$A$1:$I$89,3,0)*VLOOKUP('Données projet'!$B$11,Paramètres!$A$1:$I$89,5,0)</f>
        <v>101.78999999999996</v>
      </c>
      <c r="BF35" s="13">
        <f t="shared" si="37"/>
        <v>27.38799903683508</v>
      </c>
      <c r="BG35" s="20">
        <f t="shared" si="7"/>
        <v>224.98501498915437</v>
      </c>
      <c r="BH35" s="59">
        <f t="shared" si="8"/>
        <v>518.31834832248774</v>
      </c>
      <c r="BI35" s="59">
        <f ca="1">AVERAGE(OFFSET($BH$3,0,0,'Données projet'!$E$11+1,1))-AVERAGE(OFFSET($H$3,0,0,'Données projet'!$E$11+1,1))</f>
        <v>219.22204054948094</v>
      </c>
      <c r="BJ35" s="59">
        <f t="shared" si="38"/>
        <v>222.41711966122034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2.9664404117732097</v>
      </c>
      <c r="BR35" s="21">
        <f>EXP(-LN(2)/2)*BR34+(1-EXP(-LN(2)/2))/(LN(2)/2)*BL35*BO35*VLOOKUP('Données projet'!$B$11,Paramètres!$A$1:$I$89,3,0)*0.475*44/12</f>
        <v>1.6350537181662912</v>
      </c>
      <c r="BS35" s="22">
        <f t="shared" si="9"/>
        <v>4.6014941299395007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6.8</v>
      </c>
      <c r="BY35" s="12">
        <f>IF('Données projet'!$A$114&gt;35,BY34+BX35-CG34,IF(A35&lt;'Données projet'!$A$114,$BV$205^A35,IF(A35='Données projet'!$A$114,'Données projet'!$B$114,BY34+BX35-CG34)))</f>
        <v>61.599999999999994</v>
      </c>
      <c r="BZ35" s="13">
        <f>BY35*VLOOKUP('Données projet'!$B$12,Paramètres!$A$1:$I$89,3,0)*VLOOKUP('Données projet'!$B$12,Paramètres!$A$1:$I$89,5,0)</f>
        <v>52.852800000000009</v>
      </c>
      <c r="CA35" s="13">
        <f t="shared" si="39"/>
        <v>15.348111645179451</v>
      </c>
      <c r="CB35" s="20">
        <f t="shared" si="10"/>
        <v>118.78325444868756</v>
      </c>
      <c r="CC35" s="59">
        <f t="shared" si="11"/>
        <v>412.11658778202087</v>
      </c>
      <c r="CD35" s="59">
        <f ca="1">AVERAGE(OFFSET($CC$3,0,0,'Données projet'!$E$12+1,1))-AVERAGE(OFFSET($H$3,0,0,'Données projet'!$E$12+1,1))</f>
        <v>237.27357081252273</v>
      </c>
      <c r="CE35" s="59">
        <f t="shared" si="40"/>
        <v>68.768479693848576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24.6</v>
      </c>
      <c r="CT35" s="12">
        <f>IF('Données projet'!$A$140&gt;35,CT34+CS35-DB34,IF(A35&lt;'Données projet'!$A$140,$CQ$205^A35,IF(A35='Données projet'!$A$140,'Données projet'!$B$140,CT34+CS35-DB34)))</f>
        <v>542.19999999999993</v>
      </c>
      <c r="CU35" s="17">
        <f>CT35*VLOOKUP('Données projet'!$B$13,Paramètres!$A$1:$I$89,3,0)*VLOOKUP('Données projet'!$B$13,Paramètres!$A$1:$I$89,5,0)</f>
        <v>303.08979999999997</v>
      </c>
      <c r="CV35" s="13">
        <f t="shared" si="41"/>
        <v>71.823817446744386</v>
      </c>
      <c r="CW35" s="20">
        <f t="shared" si="13"/>
        <v>652.97455038641306</v>
      </c>
      <c r="CX35" s="59">
        <f t="shared" si="14"/>
        <v>946.30788371974631</v>
      </c>
      <c r="CY35" s="59">
        <f ca="1">AVERAGE(OFFSET($CX$3,0,0,'Données projet'!$E$13+1,1))-AVERAGE(OFFSET($H$3,0,0,'Données projet'!$E$13+1,1))</f>
        <v>474.03051418249999</v>
      </c>
      <c r="CZ35" s="59">
        <f t="shared" si="42"/>
        <v>649.52271992719091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5.2529823084844853</v>
      </c>
      <c r="DG35" s="21">
        <f>EXP(-LN(2)/25)*DG34+(1-EXP(-LN(2)/25))/(LN(2)/25)*Calculateur!DB35*Calculateur!DD35*VLOOKUP('Données projet'!$B$13,Paramètres!$A$1:$I$89,3,0)*0.475*44/12</f>
        <v>22.888039905656893</v>
      </c>
      <c r="DH35" s="21">
        <f>EXP(-LN(2)/2)*DH34+(1-EXP(-LN(2)/2))/(LN(2)/2)*DB35*DE35*VLOOKUP('Données projet'!$B$13,Paramètres!$A$1:$I$89,3,0)*0.475*44/12</f>
        <v>5.849834025842549</v>
      </c>
      <c r="DI35" s="22">
        <f t="shared" si="15"/>
        <v>33.990856239983927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</v>
      </c>
      <c r="DO35" s="12">
        <f>IF('Données projet'!$A$166&gt;35,DO34+DN35-DW34,IF(A35&lt;'Données projet'!$A$166,$DL$205^A35,IF(A35='Données projet'!$A$166,'Données projet'!$B$166,DO34+DN35-DW34)))</f>
        <v>208.99999999999994</v>
      </c>
      <c r="DP35" s="17">
        <f>DO35*VLOOKUP('Données projet'!$B$14,Paramètres!$A$1:$I$89,3,0)*VLOOKUP('Données projet'!$B$14,Paramètres!$A$1:$I$89,5,0)</f>
        <v>114.11399999999996</v>
      </c>
      <c r="DQ35" s="13">
        <f t="shared" si="43"/>
        <v>30.298194021728271</v>
      </c>
      <c r="DR35" s="20">
        <f t="shared" si="16"/>
        <v>251.5179045878433</v>
      </c>
      <c r="DS35" s="59">
        <f t="shared" si="17"/>
        <v>544.85123792117656</v>
      </c>
      <c r="DT35" s="59">
        <f ca="1">AVERAGE(OFFSET($DS$3,0,0,'Données projet'!$E$14+1,1))-AVERAGE(OFFSET($H$3,0,0,'Données projet'!$E$14+1,1))</f>
        <v>164.0740581424559</v>
      </c>
      <c r="DU35" s="59">
        <f t="shared" si="44"/>
        <v>280.99861170359793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6.3491285962635988</v>
      </c>
      <c r="EB35" s="21">
        <f>EXP(-LN(2)/25)*EB34+(1-EXP(-LN(2)/25))/(LN(2)/25)*Calculateur!DW35*Calculateur!DY35*VLOOKUP('Données projet'!$B$14,Paramètres!$A$1:$I$89,3,0)*0.475*44/12</f>
        <v>24.499743135290935</v>
      </c>
      <c r="EC35" s="21">
        <f>EXP(-LN(2)/2)*EC34+(1-EXP(-LN(2)/2))/(LN(2)/2)*DW35*DZ35*VLOOKUP('Données projet'!$B$14,Paramètres!$A$1:$I$89,3,0)*0.475*44/12</f>
        <v>7.5893566285458318</v>
      </c>
      <c r="ED35" s="22">
        <f t="shared" si="18"/>
        <v>38.438228360100361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30.8</v>
      </c>
      <c r="EJ35" s="12">
        <f>IF('Données projet'!$A$192&gt;35,EJ34+EI35-ER34,IF(A35&lt;'Données projet'!$A$192,$EG$205^A35,IF(A35='Données projet'!$A$192,'Données projet'!$B$192,EJ34+EI35-ER34)))</f>
        <v>360.60000000000008</v>
      </c>
      <c r="EK35" s="17">
        <f>EJ35*VLOOKUP('Données projet'!$B$15,Paramètres!$A$1:$I$89,3,0)*VLOOKUP('Données projet'!$B$15,Paramètres!$A$1:$I$89,5,0)</f>
        <v>173.44860000000003</v>
      </c>
      <c r="EL35" s="13">
        <f t="shared" si="45"/>
        <v>43.861490184725845</v>
      </c>
      <c r="EM35" s="20">
        <f t="shared" si="19"/>
        <v>378.48174040506427</v>
      </c>
      <c r="EN35" s="59">
        <f t="shared" si="20"/>
        <v>671.81507373839759</v>
      </c>
      <c r="EO35" s="59">
        <f ca="1">AVERAGE(OFFSET($EN$3,0,0,'Données projet'!$E$15+1,1))-AVERAGE(OFFSET($H$3,0,0,'Données projet'!$E$15+1,1))</f>
        <v>312.1172301514103</v>
      </c>
      <c r="EP35" s="59">
        <f t="shared" si="46"/>
        <v>369.85500533493212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2.5973180487456267</v>
      </c>
      <c r="EW35" s="21">
        <f>EXP(-LN(2)/25)*EW34+(1-EXP(-LN(2)/25))/(LN(2)/25)*Calculateur!ER35*Calculateur!ET35*VLOOKUP('Données projet'!$B$15,Paramètres!$A$1:$I$89,3,0)*0.475*44/12</f>
        <v>14.22825873794242</v>
      </c>
      <c r="EX35" s="21">
        <f>EXP(-LN(2)/2)*EX34+(1-EXP(-LN(2)/2))/(LN(2)/2)*ER35*EU35*VLOOKUP('Données projet'!$B$15,Paramètres!$A$1:$I$89,3,0)*0.475*44/12</f>
        <v>15.838286843669005</v>
      </c>
      <c r="EY35" s="22">
        <f t="shared" si="21"/>
        <v>32.663863630357049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9.6571428571428566</v>
      </c>
      <c r="FE35" s="12">
        <f>IF('Données projet'!$A$218&gt;35,FE34+FD35-FM34,IF(A35&lt;'Données projet'!$A$218,$FB$205^A35,IF(A35='Données projet'!$A$218,'Données projet'!$B$218,FE34+FD35-FM34)))</f>
        <v>185.68571428571414</v>
      </c>
      <c r="FF35" s="17">
        <f>FE35*VLOOKUP('Données projet'!$B$16,Paramètres!$A$1:$I$89,3,0)*VLOOKUP('Données projet'!$B$16,Paramètres!$A$1:$I$89,5,0)</f>
        <v>86.900914285714222</v>
      </c>
      <c r="FG35" s="13">
        <f t="shared" si="47"/>
        <v>23.816282698029863</v>
      </c>
      <c r="FH35" s="20">
        <f t="shared" si="22"/>
        <v>192.83245141335428</v>
      </c>
      <c r="FI35" s="59">
        <f t="shared" si="23"/>
        <v>486.16578474668756</v>
      </c>
      <c r="FJ35" s="59">
        <f ca="1">AVERAGE(OFFSET($FI$3,0,0,'Données projet'!$E$16+1,1))-AVERAGE(OFFSET($H$3,0,0,'Données projet'!$E$16+1,1))</f>
        <v>87.187251664304199</v>
      </c>
      <c r="FK35" s="59">
        <f t="shared" si="48"/>
        <v>148.84938257884147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7.6286905725698455</v>
      </c>
      <c r="FS35" s="21">
        <f>EXP(-LN(2)/2)*FS34+(1-EXP(-LN(2)/2))/(LN(2)/2)*FM35*FP35*VLOOKUP('Données projet'!$B$16,Paramètres!$A$1:$I$89,3,0)*0.475*44/12</f>
        <v>3.0419626283809995</v>
      </c>
      <c r="FT35" s="22">
        <f t="shared" si="24"/>
        <v>10.670653200950845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18.8</v>
      </c>
      <c r="FZ35" s="12">
        <f>IF('Données projet'!$A$244&gt;35,FZ34+FY35-GH34,IF(A35&lt;'Données projet'!$A$244,$FW$205^A35,IF(A35='Données projet'!$A$244,'Données projet'!$B$244,FZ34+FY35-GH34)))</f>
        <v>239.60000000000002</v>
      </c>
      <c r="GA35" s="17">
        <f>FZ35*VLOOKUP('Données projet'!$B$17,Paramètres!$A$1:$I$89,3,0)*VLOOKUP('Données projet'!$B$17,Paramètres!$A$1:$I$89,5,0)</f>
        <v>143.28080000000003</v>
      </c>
      <c r="GB35" s="13">
        <f t="shared" si="49"/>
        <v>37.047574465948976</v>
      </c>
      <c r="GC35" s="20">
        <f t="shared" si="25"/>
        <v>314.07191886152782</v>
      </c>
      <c r="GD35" s="59">
        <f t="shared" si="26"/>
        <v>607.40525219486108</v>
      </c>
      <c r="GE35" s="59">
        <f ca="1">AVERAGE(OFFSET($GD$3,0,0,'Données projet'!$E$17+1,1))-AVERAGE(OFFSET($H$3,0,0,'Données projet'!$E$17+1,1))</f>
        <v>282.94722676586207</v>
      </c>
      <c r="GF35" s="59">
        <f t="shared" si="50"/>
        <v>310.63647941571298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10.1393874379251</v>
      </c>
      <c r="GN35" s="21">
        <f>EXP(-LN(2)/2)*GN34+(1-EXP(-LN(2)/2))/(LN(2)/2)*GH35*GK35*VLOOKUP('Données projet'!$B$17,Paramètres!$A$1:$I$89,3,0)*0.475*44/12</f>
        <v>12.819116498694521</v>
      </c>
      <c r="GO35" s="21">
        <f t="shared" si="27"/>
        <v>22.958503936619621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18.666666666666668</v>
      </c>
      <c r="GU35" s="12">
        <f>IF('Données projet'!$A$270&gt;35,GU34+GT35-HC34,IF(A35&lt;'Données projet'!$A$270,$GR$205^A35,IF(A35='Données projet'!$A$270,'Données projet'!$B$270,GU34+GT35-HC34)))</f>
        <v>266.66666666666663</v>
      </c>
      <c r="GV35" s="17">
        <f>GU35*VLOOKUP('Données projet'!$B$18,Paramètres!$A$1:$I$89,3,0)*VLOOKUP('Données projet'!$B$18,Paramètres!$A$1:$I$89,5,0)</f>
        <v>159.46666666666667</v>
      </c>
      <c r="GW35" s="13">
        <f t="shared" si="51"/>
        <v>40.722197218456202</v>
      </c>
      <c r="GX35" s="20">
        <f t="shared" si="28"/>
        <v>348.66227126658896</v>
      </c>
      <c r="GY35" s="59">
        <f t="shared" si="29"/>
        <v>641.99560459992222</v>
      </c>
      <c r="GZ35" s="59">
        <f ca="1">AVERAGE(OFFSET($GY$3,0,0,'Données projet'!$E$18+1,1))-AVERAGE(OFFSET($H$3,0,0,'Données projet'!$E$18+1,1))</f>
        <v>255.54398581450459</v>
      </c>
      <c r="HA35" s="59">
        <f t="shared" si="52"/>
        <v>276.52622328061204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5.0592362642219708</v>
      </c>
      <c r="HI35" s="21">
        <f>EXP(-LN(2)/2)*HI34+(1-EXP(-LN(2)/2))/(LN(2)/2)*HC35*HF35*VLOOKUP('Données projet'!$B$18,Paramètres!$A$1:$I$89,3,0)*0.475*44/12</f>
        <v>7.4335420041635789</v>
      </c>
      <c r="HJ35" s="22">
        <f t="shared" si="30"/>
        <v>12.49277826838555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13.6</v>
      </c>
      <c r="N36" s="13">
        <f>IF('Données projet'!$A$36&gt;35,N35+M36-V35,IF(A36&lt;'Données projet'!$A$36,$K$205^A36,IF(A36='Données projet'!$A$36,'Données projet'!$B$36,N35+M36-V35)))</f>
        <v>194.8000000000001</v>
      </c>
      <c r="O36" s="13">
        <f>N36*VLOOKUP('Données projet'!$B$9,Paramètres!$A$1:$I$89,3,0)*VLOOKUP('Données projet'!$B$9,Paramètres!$A$1:$I$89,5,0)</f>
        <v>170.17728000000011</v>
      </c>
      <c r="P36" s="13">
        <f t="shared" si="33"/>
        <v>43.129725999134671</v>
      </c>
      <c r="Q36" s="20">
        <f t="shared" si="53"/>
        <v>371.50970211515977</v>
      </c>
      <c r="R36" s="59">
        <f t="shared" si="0"/>
        <v>664.84303544849308</v>
      </c>
      <c r="S36" s="59">
        <f ca="1">AVERAGE(OFFSET($R$3,0,0,'Données projet'!$E$9+1,1))-AVERAGE(OFFSET($H$3,0,0,'Données projet'!$E$9+1,1))</f>
        <v>248.50221719467663</v>
      </c>
      <c r="T36" s="59">
        <f t="shared" si="34"/>
        <v>366.09064580347183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7.4394465823198983</v>
      </c>
      <c r="AA36" s="21">
        <f>EXP(-LN(2)/25)*AA35+(1-EXP(-LN(2)/25))/(LN(2)/25)*Calculateur!V36*Calculateur!X36*VLOOKUP('Données projet'!$B$9,Paramètres!$A$1:$I$89,3,0)*0.475*44/12</f>
        <v>22.148822304093169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29.588268886413069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113.46192000000002</v>
      </c>
      <c r="AK36" s="13">
        <f t="shared" si="35"/>
        <v>30.145163126535493</v>
      </c>
      <c r="AL36" s="20">
        <f t="shared" si="4"/>
        <v>250.11566977871598</v>
      </c>
      <c r="AM36" s="59">
        <f t="shared" si="5"/>
        <v>543.44900311204924</v>
      </c>
      <c r="AN36" s="59">
        <f ca="1">AVERAGE(OFFSET($AM$3,0,0,'Données projet'!$E$10+1,1))-AVERAGE(OFFSET($H$3,0,0,'Données projet'!$E$10+1,1))</f>
        <v>263.22346936777603</v>
      </c>
      <c r="AO36" s="59">
        <f t="shared" si="36"/>
        <v>217.14714468707939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6.6955198428793015</v>
      </c>
      <c r="AW36" s="21">
        <f>EXP(-LN(2)/2)*AW35+(1-EXP(-LN(2)/2))/(LN(2)/2)*AQ36*AT36*VLOOKUP('Données projet'!$B$10,Paramètres!$A$1:$I$89,3,0)*0.475*44/12</f>
        <v>6.3111968802247498</v>
      </c>
      <c r="AX36" s="21">
        <f t="shared" si="6"/>
        <v>13.006716723104052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141.99999999999994</v>
      </c>
      <c r="BE36" s="13">
        <f>BD36*VLOOKUP('Données projet'!$B$11,Paramètres!$A$1:$I$89,3,0)*VLOOKUP('Données projet'!$B$11,Paramètres!$A$1:$I$89,5,0)</f>
        <v>110.75999999999996</v>
      </c>
      <c r="BF36" s="13">
        <f t="shared" si="37"/>
        <v>29.509974682362923</v>
      </c>
      <c r="BG36" s="20">
        <f t="shared" si="7"/>
        <v>244.30353923844871</v>
      </c>
      <c r="BH36" s="59">
        <f t="shared" si="8"/>
        <v>537.63687257178208</v>
      </c>
      <c r="BI36" s="59">
        <f ca="1">AVERAGE(OFFSET($BH$3,0,0,'Données projet'!$E$11+1,1))-AVERAGE(OFFSET($H$3,0,0,'Données projet'!$E$11+1,1))</f>
        <v>219.22204054948094</v>
      </c>
      <c r="BJ36" s="59">
        <f t="shared" si="38"/>
        <v>222.41711966122034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2.88532294271495</v>
      </c>
      <c r="BR36" s="21">
        <f>EXP(-LN(2)/2)*BR35+(1-EXP(-LN(2)/2))/(LN(2)/2)*BL36*BO36*VLOOKUP('Données projet'!$B$11,Paramètres!$A$1:$I$89,3,0)*0.475*44/12</f>
        <v>1.1561575717196626</v>
      </c>
      <c r="BS36" s="22">
        <f t="shared" si="9"/>
        <v>4.0414805144346122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6.8</v>
      </c>
      <c r="BY36" s="12">
        <f>IF('Données projet'!$A$114&gt;35,BY35+BX36-CG35,IF(A36&lt;'Données projet'!$A$114,$BV$205^A36,IF(A36='Données projet'!$A$114,'Données projet'!$B$114,BY35+BX36-CG35)))</f>
        <v>68.399999999999991</v>
      </c>
      <c r="BZ36" s="13">
        <f>BY36*VLOOKUP('Données projet'!$B$12,Paramètres!$A$1:$I$89,3,0)*VLOOKUP('Données projet'!$B$12,Paramètres!$A$1:$I$89,5,0)</f>
        <v>58.687199999999997</v>
      </c>
      <c r="CA36" s="13">
        <f t="shared" si="39"/>
        <v>16.835925833077539</v>
      </c>
      <c r="CB36" s="20">
        <f t="shared" si="10"/>
        <v>131.53611082594338</v>
      </c>
      <c r="CC36" s="59">
        <f t="shared" si="11"/>
        <v>424.86944415927667</v>
      </c>
      <c r="CD36" s="59">
        <f ca="1">AVERAGE(OFFSET($CC$3,0,0,'Données projet'!$E$12+1,1))-AVERAGE(OFFSET($H$3,0,0,'Données projet'!$E$12+1,1))</f>
        <v>237.27357081252273</v>
      </c>
      <c r="CE36" s="59">
        <f t="shared" si="40"/>
        <v>68.768479693848576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24.6</v>
      </c>
      <c r="CT36" s="12">
        <f>IF('Données projet'!$A$140&gt;35,CT35+CS36-DB35,IF(A36&lt;'Données projet'!$A$140,$CQ$205^A36,IF(A36='Données projet'!$A$140,'Données projet'!$B$140,CT35+CS36-DB35)))</f>
        <v>566.79999999999995</v>
      </c>
      <c r="CU36" s="17">
        <f>CT36*VLOOKUP('Données projet'!$B$13,Paramètres!$A$1:$I$89,3,0)*VLOOKUP('Données projet'!$B$13,Paramètres!$A$1:$I$89,5,0)</f>
        <v>316.84120000000001</v>
      </c>
      <c r="CV36" s="13">
        <f t="shared" si="41"/>
        <v>74.695724902330795</v>
      </c>
      <c r="CW36" s="20">
        <f t="shared" si="13"/>
        <v>681.9268108715595</v>
      </c>
      <c r="CX36" s="59">
        <f t="shared" si="14"/>
        <v>975.26014420489287</v>
      </c>
      <c r="CY36" s="59">
        <f ca="1">AVERAGE(OFFSET($CX$3,0,0,'Données projet'!$E$13+1,1))-AVERAGE(OFFSET($H$3,0,0,'Données projet'!$E$13+1,1))</f>
        <v>474.03051418249999</v>
      </c>
      <c r="CZ36" s="59">
        <f t="shared" si="42"/>
        <v>649.52271992719091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5.1499745294179435</v>
      </c>
      <c r="DG36" s="21">
        <f>EXP(-LN(2)/25)*DG35+(1-EXP(-LN(2)/25))/(LN(2)/25)*Calculateur!DB36*Calculateur!DD36*VLOOKUP('Données projet'!$B$13,Paramètres!$A$1:$I$89,3,0)*0.475*44/12</f>
        <v>22.262165250806998</v>
      </c>
      <c r="DH36" s="21">
        <f>EXP(-LN(2)/2)*DH35+(1-EXP(-LN(2)/2))/(LN(2)/2)*DB36*DE36*VLOOKUP('Données projet'!$B$13,Paramètres!$A$1:$I$89,3,0)*0.475*44/12</f>
        <v>4.1364573084890681</v>
      </c>
      <c r="DI36" s="22">
        <f t="shared" si="15"/>
        <v>31.548597088714008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</v>
      </c>
      <c r="DO36" s="12">
        <f>IF('Données projet'!$A$166&gt;35,DO35+DN36-DW35,IF(A36&lt;'Données projet'!$A$166,$DL$205^A36,IF(A36='Données projet'!$A$166,'Données projet'!$B$166,DO35+DN36-DW35)))</f>
        <v>223.99999999999994</v>
      </c>
      <c r="DP36" s="17">
        <f>DO36*VLOOKUP('Données projet'!$B$14,Paramètres!$A$1:$I$89,3,0)*VLOOKUP('Données projet'!$B$14,Paramètres!$A$1:$I$89,5,0)</f>
        <v>122.30399999999996</v>
      </c>
      <c r="DQ36" s="13">
        <f t="shared" si="43"/>
        <v>32.211773226559373</v>
      </c>
      <c r="DR36" s="20">
        <f t="shared" si="16"/>
        <v>269.11497170292415</v>
      </c>
      <c r="DS36" s="59">
        <f t="shared" si="17"/>
        <v>562.44830503625747</v>
      </c>
      <c r="DT36" s="59">
        <f ca="1">AVERAGE(OFFSET($DS$3,0,0,'Données projet'!$E$14+1,1))-AVERAGE(OFFSET($H$3,0,0,'Données projet'!$E$14+1,1))</f>
        <v>164.0740581424559</v>
      </c>
      <c r="DU36" s="59">
        <f t="shared" si="44"/>
        <v>280.99861170359793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6.224626057076927</v>
      </c>
      <c r="EB36" s="21">
        <f>EXP(-LN(2)/25)*EB35+(1-EXP(-LN(2)/25))/(LN(2)/25)*Calculateur!DW36*Calculateur!DY36*VLOOKUP('Données projet'!$B$14,Paramètres!$A$1:$I$89,3,0)*0.475*44/12</f>
        <v>23.829796370870909</v>
      </c>
      <c r="EC36" s="21">
        <f>EXP(-LN(2)/2)*EC35+(1-EXP(-LN(2)/2))/(LN(2)/2)*DW36*DZ36*VLOOKUP('Données projet'!$B$14,Paramètres!$A$1:$I$89,3,0)*0.475*44/12</f>
        <v>5.3664855368878319</v>
      </c>
      <c r="ED36" s="22">
        <f t="shared" si="18"/>
        <v>35.420907964835664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30.8</v>
      </c>
      <c r="EJ36" s="12">
        <f>IF('Données projet'!$A$192&gt;35,EJ35+EI36-ER35,IF(A36&lt;'Données projet'!$A$192,$EG$205^A36,IF(A36='Données projet'!$A$192,'Données projet'!$B$192,EJ35+EI36-ER35)))</f>
        <v>391.40000000000009</v>
      </c>
      <c r="EK36" s="17">
        <f>EJ36*VLOOKUP('Données projet'!$B$15,Paramètres!$A$1:$I$89,3,0)*VLOOKUP('Données projet'!$B$15,Paramètres!$A$1:$I$89,5,0)</f>
        <v>188.26340000000005</v>
      </c>
      <c r="EL36" s="13">
        <f t="shared" si="45"/>
        <v>47.155810314963865</v>
      </c>
      <c r="EM36" s="20">
        <f t="shared" si="19"/>
        <v>410.02179129856216</v>
      </c>
      <c r="EN36" s="59">
        <f t="shared" si="20"/>
        <v>703.35512463189548</v>
      </c>
      <c r="EO36" s="59">
        <f ca="1">AVERAGE(OFFSET($EN$3,0,0,'Données projet'!$E$15+1,1))-AVERAGE(OFFSET($H$3,0,0,'Données projet'!$E$15+1,1))</f>
        <v>312.1172301514103</v>
      </c>
      <c r="EP36" s="59">
        <f t="shared" si="46"/>
        <v>369.85500533493212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2.5463862260173071</v>
      </c>
      <c r="EW36" s="21">
        <f>EXP(-LN(2)/25)*EW35+(1-EXP(-LN(2)/25))/(LN(2)/25)*Calculateur!ER36*Calculateur!ET36*VLOOKUP('Données projet'!$B$15,Paramètres!$A$1:$I$89,3,0)*0.475*44/12</f>
        <v>13.839186254521778</v>
      </c>
      <c r="EX36" s="21">
        <f>EXP(-LN(2)/2)*EX35+(1-EXP(-LN(2)/2))/(LN(2)/2)*ER36*EU36*VLOOKUP('Données projet'!$B$15,Paramètres!$A$1:$I$89,3,0)*0.475*44/12</f>
        <v>11.199360029536034</v>
      </c>
      <c r="EY36" s="22">
        <f t="shared" si="21"/>
        <v>27.58493251007512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9.6571428571428566</v>
      </c>
      <c r="FE36" s="12">
        <f>IF('Données projet'!$A$218&gt;35,FE35+FD36-FM35,IF(A36&lt;'Données projet'!$A$218,$FB$205^A36,IF(A36='Données projet'!$A$218,'Données projet'!$B$218,FE35+FD36-FM35)))</f>
        <v>195.34285714285699</v>
      </c>
      <c r="FF36" s="17">
        <f>FE36*VLOOKUP('Données projet'!$B$16,Paramètres!$A$1:$I$89,3,0)*VLOOKUP('Données projet'!$B$16,Paramètres!$A$1:$I$89,5,0)</f>
        <v>91.42045714285706</v>
      </c>
      <c r="FG36" s="13">
        <f t="shared" si="47"/>
        <v>24.907492204051447</v>
      </c>
      <c r="FH36" s="20">
        <f t="shared" si="22"/>
        <v>202.60451177919899</v>
      </c>
      <c r="FI36" s="59">
        <f t="shared" si="23"/>
        <v>495.93784511253227</v>
      </c>
      <c r="FJ36" s="59">
        <f ca="1">AVERAGE(OFFSET($FI$3,0,0,'Données projet'!$E$16+1,1))-AVERAGE(OFFSET($H$3,0,0,'Données projet'!$E$16+1,1))</f>
        <v>87.187251664304199</v>
      </c>
      <c r="FK36" s="59">
        <f t="shared" si="48"/>
        <v>148.84938257884147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7.4200836276875215</v>
      </c>
      <c r="FS36" s="21">
        <f>EXP(-LN(2)/2)*FS35+(1-EXP(-LN(2)/2))/(LN(2)/2)*FM36*FP36*VLOOKUP('Données projet'!$B$16,Paramètres!$A$1:$I$89,3,0)*0.475*44/12</f>
        <v>2.1509924026442584</v>
      </c>
      <c r="FT36" s="22">
        <f t="shared" si="24"/>
        <v>9.5710760303317794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18.8</v>
      </c>
      <c r="FZ36" s="12">
        <f>IF('Données projet'!$A$244&gt;35,FZ35+FY36-GH35,IF(A36&lt;'Données projet'!$A$244,$FW$205^A36,IF(A36='Données projet'!$A$244,'Données projet'!$B$244,FZ35+FY36-GH35)))</f>
        <v>258.40000000000003</v>
      </c>
      <c r="GA36" s="17">
        <f>FZ36*VLOOKUP('Données projet'!$B$17,Paramètres!$A$1:$I$89,3,0)*VLOOKUP('Données projet'!$B$17,Paramètres!$A$1:$I$89,5,0)</f>
        <v>154.52320000000003</v>
      </c>
      <c r="GB36" s="13">
        <f t="shared" si="49"/>
        <v>39.60471498856284</v>
      </c>
      <c r="GC36" s="20">
        <f t="shared" si="25"/>
        <v>338.10611860508033</v>
      </c>
      <c r="GD36" s="59">
        <f t="shared" si="26"/>
        <v>631.43945193841364</v>
      </c>
      <c r="GE36" s="59">
        <f ca="1">AVERAGE(OFFSET($GD$3,0,0,'Données projet'!$E$17+1,1))-AVERAGE(OFFSET($H$3,0,0,'Données projet'!$E$17+1,1))</f>
        <v>282.94722676586207</v>
      </c>
      <c r="GF36" s="59">
        <f t="shared" si="50"/>
        <v>310.63647941571298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9.8621253552278265</v>
      </c>
      <c r="GN36" s="21">
        <f>EXP(-LN(2)/2)*GN35+(1-EXP(-LN(2)/2))/(LN(2)/2)*GH36*GK36*VLOOKUP('Données projet'!$B$17,Paramètres!$A$1:$I$89,3,0)*0.475*44/12</f>
        <v>9.0644842050472487</v>
      </c>
      <c r="GO36" s="21">
        <f t="shared" si="27"/>
        <v>18.926609560275075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18.666666666666668</v>
      </c>
      <c r="GU36" s="12">
        <f>IF('Données projet'!$A$270&gt;35,GU35+GT36-HC35,IF(A36&lt;'Données projet'!$A$270,$GR$205^A36,IF(A36='Données projet'!$A$270,'Données projet'!$B$270,GU35+GT36-HC35)))</f>
        <v>285.33333333333331</v>
      </c>
      <c r="GV36" s="17">
        <f>GU36*VLOOKUP('Données projet'!$B$18,Paramètres!$A$1:$I$89,3,0)*VLOOKUP('Données projet'!$B$18,Paramètres!$A$1:$I$89,5,0)</f>
        <v>170.62933333333334</v>
      </c>
      <c r="GW36" s="13">
        <f t="shared" si="51"/>
        <v>43.230942990352332</v>
      </c>
      <c r="GX36" s="20">
        <f t="shared" si="28"/>
        <v>372.47331459708585</v>
      </c>
      <c r="GY36" s="59">
        <f t="shared" si="29"/>
        <v>665.8066479304191</v>
      </c>
      <c r="GZ36" s="59">
        <f ca="1">AVERAGE(OFFSET($GY$3,0,0,'Données projet'!$E$18+1,1))-AVERAGE(OFFSET($H$3,0,0,'Données projet'!$E$18+1,1))</f>
        <v>255.54398581450459</v>
      </c>
      <c r="HA36" s="59">
        <f t="shared" si="52"/>
        <v>276.52622328061204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4.9208911825231487</v>
      </c>
      <c r="HI36" s="21">
        <f>EXP(-LN(2)/2)*HI35+(1-EXP(-LN(2)/2))/(LN(2)/2)*HC36*HF36*VLOOKUP('Données projet'!$B$18,Paramètres!$A$1:$I$89,3,0)*0.475*44/12</f>
        <v>5.2563079593791064</v>
      </c>
      <c r="HJ36" s="22">
        <f t="shared" si="30"/>
        <v>10.177199141902255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13.6</v>
      </c>
      <c r="N37" s="13">
        <f>IF('Données projet'!$A$36&gt;35,N36+M37-V36,IF(A37&lt;'Données projet'!$A$36,$K$205^A37,IF(A37='Données projet'!$A$36,'Données projet'!$B$36,N36+M37-V36)))</f>
        <v>208.40000000000009</v>
      </c>
      <c r="O37" s="13">
        <f>N37*VLOOKUP('Données projet'!$B$9,Paramètres!$A$1:$I$89,3,0)*VLOOKUP('Données projet'!$B$9,Paramètres!$A$1:$I$89,5,0)</f>
        <v>182.0582400000001</v>
      </c>
      <c r="P37" s="13">
        <f t="shared" si="33"/>
        <v>45.779803189729343</v>
      </c>
      <c r="Q37" s="20">
        <f t="shared" si="53"/>
        <v>396.81792522211208</v>
      </c>
      <c r="R37" s="59">
        <f t="shared" si="0"/>
        <v>690.15125855544534</v>
      </c>
      <c r="S37" s="59">
        <f ca="1">AVERAGE(OFFSET($R$3,0,0,'Données projet'!$E$9+1,1))-AVERAGE(OFFSET($H$3,0,0,'Données projet'!$E$9+1,1))</f>
        <v>248.50221719467663</v>
      </c>
      <c r="T37" s="59">
        <f t="shared" si="34"/>
        <v>366.09064580347183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7.2935635724549677</v>
      </c>
      <c r="AA37" s="21">
        <f>EXP(-LN(2)/25)*AA36+(1-EXP(-LN(2)/25))/(LN(2)/25)*Calculateur!V37*Calculateur!X37*VLOOKUP('Données projet'!$B$9,Paramètres!$A$1:$I$89,3,0)*0.475*44/12</f>
        <v>21.543161593431797</v>
      </c>
      <c r="AB37" s="21">
        <f>EXP(-LN(2)/2)*AB36+(1-EXP(-LN(2)/2))/(LN(2)/2)*V37*Y37*VLOOKUP('Données projet'!$B$9,Paramètres!$A$1:$I$89,3,0)*0.475*44/12</f>
        <v>0</v>
      </c>
      <c r="AC37" s="22">
        <f t="shared" si="3"/>
        <v>28.836725165886765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123.23376000000005</v>
      </c>
      <c r="AK37" s="13">
        <f t="shared" si="35"/>
        <v>32.428049504876491</v>
      </c>
      <c r="AL37" s="20">
        <f t="shared" si="4"/>
        <v>271.11098488765998</v>
      </c>
      <c r="AM37" s="59">
        <f t="shared" si="5"/>
        <v>564.4443182209933</v>
      </c>
      <c r="AN37" s="59">
        <f ca="1">AVERAGE(OFFSET($AM$3,0,0,'Données projet'!$E$10+1,1))-AVERAGE(OFFSET($H$3,0,0,'Données projet'!$E$10+1,1))</f>
        <v>263.22346936777603</v>
      </c>
      <c r="AO37" s="59">
        <f t="shared" si="36"/>
        <v>217.14714468707939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6.5124305006736813</v>
      </c>
      <c r="AW37" s="21">
        <f>EXP(-LN(2)/2)*AW36+(1-EXP(-LN(2)/2))/(LN(2)/2)*AQ37*AT37*VLOOKUP('Données projet'!$B$10,Paramètres!$A$1:$I$89,3,0)*0.475*44/12</f>
        <v>4.4626901114103035</v>
      </c>
      <c r="AX37" s="21">
        <f t="shared" si="6"/>
        <v>10.975120612083984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153.49999999999994</v>
      </c>
      <c r="BE37" s="13">
        <f>BD37*VLOOKUP('Données projet'!$B$11,Paramètres!$A$1:$I$89,3,0)*VLOOKUP('Données projet'!$B$11,Paramètres!$A$1:$I$89,5,0)</f>
        <v>119.72999999999996</v>
      </c>
      <c r="BF37" s="13">
        <f t="shared" si="37"/>
        <v>31.612017974790529</v>
      </c>
      <c r="BG37" s="20">
        <f t="shared" si="7"/>
        <v>263.58734797276003</v>
      </c>
      <c r="BH37" s="59">
        <f t="shared" si="8"/>
        <v>556.92068130609334</v>
      </c>
      <c r="BI37" s="59">
        <f ca="1">AVERAGE(OFFSET($BH$3,0,0,'Données projet'!$E$11+1,1))-AVERAGE(OFFSET($H$3,0,0,'Données projet'!$E$11+1,1))</f>
        <v>219.22204054948094</v>
      </c>
      <c r="BJ37" s="59">
        <f t="shared" si="38"/>
        <v>222.41711966122034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2.8064236351138705</v>
      </c>
      <c r="BR37" s="21">
        <f>EXP(-LN(2)/2)*BR36+(1-EXP(-LN(2)/2))/(LN(2)/2)*BL37*BO37*VLOOKUP('Données projet'!$B$11,Paramètres!$A$1:$I$89,3,0)*0.475*44/12</f>
        <v>0.8175268590831456</v>
      </c>
      <c r="BS37" s="22">
        <f t="shared" si="9"/>
        <v>3.623950494197016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6.8</v>
      </c>
      <c r="BY37" s="12">
        <f>IF('Données projet'!$A$114&gt;35,BY36+BX37-CG36,IF(A37&lt;'Données projet'!$A$114,$BV$205^A37,IF(A37='Données projet'!$A$114,'Données projet'!$B$114,BY36+BX37-CG36)))</f>
        <v>75.199999999999989</v>
      </c>
      <c r="BZ37" s="13">
        <f>BY37*VLOOKUP('Données projet'!$B$12,Paramètres!$A$1:$I$89,3,0)*VLOOKUP('Données projet'!$B$12,Paramètres!$A$1:$I$89,5,0)</f>
        <v>64.521600000000007</v>
      </c>
      <c r="CA37" s="13">
        <f t="shared" si="39"/>
        <v>18.306592584126989</v>
      </c>
      <c r="CB37" s="20">
        <f t="shared" si="10"/>
        <v>144.25910208402118</v>
      </c>
      <c r="CC37" s="59">
        <f t="shared" si="11"/>
        <v>437.59243541735452</v>
      </c>
      <c r="CD37" s="59">
        <f ca="1">AVERAGE(OFFSET($CC$3,0,0,'Données projet'!$E$12+1,1))-AVERAGE(OFFSET($H$3,0,0,'Données projet'!$E$12+1,1))</f>
        <v>237.27357081252273</v>
      </c>
      <c r="CE37" s="59">
        <f t="shared" si="40"/>
        <v>68.768479693848576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24.6</v>
      </c>
      <c r="CT37" s="12">
        <f>IF('Données projet'!$A$140&gt;35,CT36+CS37-DB36,IF(A37&lt;'Données projet'!$A$140,$CQ$205^A37,IF(A37='Données projet'!$A$140,'Données projet'!$B$140,CT36+CS37-DB36)))</f>
        <v>591.4</v>
      </c>
      <c r="CU37" s="17">
        <f>CT37*VLOOKUP('Données projet'!$B$13,Paramètres!$A$1:$I$89,3,0)*VLOOKUP('Données projet'!$B$13,Paramètres!$A$1:$I$89,5,0)</f>
        <v>330.5926</v>
      </c>
      <c r="CV37" s="13">
        <f t="shared" si="41"/>
        <v>77.553155439033247</v>
      </c>
      <c r="CW37" s="20">
        <f t="shared" si="13"/>
        <v>710.85385738964942</v>
      </c>
      <c r="CX37" s="59">
        <f t="shared" si="14"/>
        <v>1004.1871907229827</v>
      </c>
      <c r="CY37" s="59">
        <f ca="1">AVERAGE(OFFSET($CX$3,0,0,'Données projet'!$E$13+1,1))-AVERAGE(OFFSET($H$3,0,0,'Données projet'!$E$13+1,1))</f>
        <v>474.03051418249999</v>
      </c>
      <c r="CZ37" s="59">
        <f t="shared" si="42"/>
        <v>649.52271992719091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5.0489866700703558</v>
      </c>
      <c r="DG37" s="21">
        <f>EXP(-LN(2)/25)*DG36+(1-EXP(-LN(2)/25))/(LN(2)/25)*Calculateur!DB37*Calculateur!DD37*VLOOKUP('Données projet'!$B$13,Paramètres!$A$1:$I$89,3,0)*0.475*44/12</f>
        <v>21.653405171307291</v>
      </c>
      <c r="DH37" s="21">
        <f>EXP(-LN(2)/2)*DH36+(1-EXP(-LN(2)/2))/(LN(2)/2)*DB37*DE37*VLOOKUP('Données projet'!$B$13,Paramètres!$A$1:$I$89,3,0)*0.475*44/12</f>
        <v>2.9249170129212749</v>
      </c>
      <c r="DI37" s="22">
        <f t="shared" si="15"/>
        <v>29.627308854298921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</v>
      </c>
      <c r="DO37" s="12">
        <f>IF('Données projet'!$A$166&gt;35,DO36+DN37-DW36,IF(A37&lt;'Données projet'!$A$166,$DL$205^A37,IF(A37='Données projet'!$A$166,'Données projet'!$B$166,DO36+DN37-DW36)))</f>
        <v>238.99999999999994</v>
      </c>
      <c r="DP37" s="17">
        <f>DO37*VLOOKUP('Données projet'!$B$14,Paramètres!$A$1:$I$89,3,0)*VLOOKUP('Données projet'!$B$14,Paramètres!$A$1:$I$89,5,0)</f>
        <v>130.49399999999997</v>
      </c>
      <c r="DQ37" s="13">
        <f t="shared" si="43"/>
        <v>34.110483018610772</v>
      </c>
      <c r="DR37" s="20">
        <f t="shared" si="16"/>
        <v>286.68614125741368</v>
      </c>
      <c r="DS37" s="59">
        <f t="shared" si="17"/>
        <v>580.019474590747</v>
      </c>
      <c r="DT37" s="59">
        <f ca="1">AVERAGE(OFFSET($DS$3,0,0,'Données projet'!$E$14+1,1))-AVERAGE(OFFSET($H$3,0,0,'Données projet'!$E$14+1,1))</f>
        <v>164.0740581424559</v>
      </c>
      <c r="DU37" s="59">
        <f t="shared" si="44"/>
        <v>280.99861170359793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6.1025649367446553</v>
      </c>
      <c r="EB37" s="21">
        <f>EXP(-LN(2)/25)*EB36+(1-EXP(-LN(2)/25))/(LN(2)/25)*Calculateur!DW37*Calculateur!DY37*VLOOKUP('Données projet'!$B$14,Paramètres!$A$1:$I$89,3,0)*0.475*44/12</f>
        <v>23.178169335954916</v>
      </c>
      <c r="EC37" s="21">
        <f>EXP(-LN(2)/2)*EC36+(1-EXP(-LN(2)/2))/(LN(2)/2)*DW37*DZ37*VLOOKUP('Données projet'!$B$14,Paramètres!$A$1:$I$89,3,0)*0.475*44/12</f>
        <v>3.7946783142729164</v>
      </c>
      <c r="ED37" s="22">
        <f t="shared" si="18"/>
        <v>33.07541258697249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30.8</v>
      </c>
      <c r="EJ37" s="12">
        <f>IF('Données projet'!$A$192&gt;35,EJ36+EI37-ER36,IF(A37&lt;'Données projet'!$A$192,$EG$205^A37,IF(A37='Données projet'!$A$192,'Données projet'!$B$192,EJ36+EI37-ER36)))</f>
        <v>422.2000000000001</v>
      </c>
      <c r="EK37" s="17">
        <f>EJ37*VLOOKUP('Données projet'!$B$15,Paramètres!$A$1:$I$89,3,0)*VLOOKUP('Données projet'!$B$15,Paramètres!$A$1:$I$89,5,0)</f>
        <v>203.07820000000004</v>
      </c>
      <c r="EL37" s="13">
        <f t="shared" si="45"/>
        <v>50.420060385502047</v>
      </c>
      <c r="EM37" s="20">
        <f t="shared" si="19"/>
        <v>441.50947017141607</v>
      </c>
      <c r="EN37" s="59">
        <f t="shared" si="20"/>
        <v>734.84280350474933</v>
      </c>
      <c r="EO37" s="59">
        <f ca="1">AVERAGE(OFFSET($EN$3,0,0,'Données projet'!$E$15+1,1))-AVERAGE(OFFSET($H$3,0,0,'Données projet'!$E$15+1,1))</f>
        <v>312.1172301514103</v>
      </c>
      <c r="EP37" s="59">
        <f t="shared" si="46"/>
        <v>369.85500533493212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2.4964531452673455</v>
      </c>
      <c r="EW37" s="21">
        <f>EXP(-LN(2)/25)*EW36+(1-EXP(-LN(2)/25))/(LN(2)/25)*Calculateur!ER37*Calculateur!ET37*VLOOKUP('Données projet'!$B$15,Paramètres!$A$1:$I$89,3,0)*0.475*44/12</f>
        <v>13.460752978620704</v>
      </c>
      <c r="EX37" s="21">
        <f>EXP(-LN(2)/2)*EX36+(1-EXP(-LN(2)/2))/(LN(2)/2)*ER37*EU37*VLOOKUP('Données projet'!$B$15,Paramètres!$A$1:$I$89,3,0)*0.475*44/12</f>
        <v>7.9191434218345034</v>
      </c>
      <c r="EY37" s="22">
        <f t="shared" si="21"/>
        <v>23.876349545722555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>
        <f>VLOOKUP(A37,'Données projet'!$A$217:$I$237,2,0)</f>
        <v>205</v>
      </c>
      <c r="FC37" s="12">
        <f>VLOOKUP(A37,'Données projet'!$A$217:$I$237,9,0)</f>
        <v>9.6571428571428566</v>
      </c>
      <c r="FD37" s="12">
        <f t="array" ref="FD37">INDEX(FC:FC,MIN(IF(ISNUMBER(FC37:FC233),ROW(FC37:FC233),"")))</f>
        <v>9.6571428571428566</v>
      </c>
      <c r="FE37" s="12">
        <f>IF('Données projet'!$A$218&gt;35,FE36+FD37-FM36,IF(A37&lt;'Données projet'!$A$218,$FB$205^A37,IF(A37='Données projet'!$A$218,'Données projet'!$B$218,FE36+FD37-FM36)))</f>
        <v>204.99999999999983</v>
      </c>
      <c r="FF37" s="17">
        <f>FE37*VLOOKUP('Données projet'!$B$16,Paramètres!$A$1:$I$89,3,0)*VLOOKUP('Données projet'!$B$16,Paramètres!$A$1:$I$89,5,0)</f>
        <v>95.939999999999927</v>
      </c>
      <c r="FG37" s="13">
        <f t="shared" si="47"/>
        <v>25.992437734025167</v>
      </c>
      <c r="FH37" s="20">
        <f t="shared" si="22"/>
        <v>212.36566238676036</v>
      </c>
      <c r="FI37" s="59">
        <f t="shared" si="23"/>
        <v>505.69899572009365</v>
      </c>
      <c r="FJ37" s="59">
        <f ca="1">AVERAGE(OFFSET($FI$3,0,0,'Données projet'!$E$16+1,1))-AVERAGE(OFFSET($H$3,0,0,'Données projet'!$E$16+1,1))</f>
        <v>87.187251664304199</v>
      </c>
      <c r="FK37" s="59">
        <f t="shared" si="48"/>
        <v>148.84938257884147</v>
      </c>
      <c r="FL37" s="15">
        <f>IF(ISNA(VLOOKUP(A37,'Données projet'!$A$217:$I$237,3,0)),0,VLOOKUP(A37,'Données projet'!$A$217:$I$237,3,0))</f>
        <v>3</v>
      </c>
      <c r="FM37" s="15">
        <f>IF(ISNA(VLOOKUP(A37,'Données projet'!$A$217:$I$237,4,0)),0,VLOOKUP(A37,'Données projet'!$A$217:$I$237,4,0))</f>
        <v>60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7.2171810506831671</v>
      </c>
      <c r="FS37" s="21">
        <f>EXP(-LN(2)/2)*FS36+(1-EXP(-LN(2)/2))/(LN(2)/2)*FM37*FP37*VLOOKUP('Données projet'!$B$16,Paramètres!$A$1:$I$89,3,0)*0.475*44/12</f>
        <v>1.5209813141904998</v>
      </c>
      <c r="FT37" s="22">
        <f t="shared" si="24"/>
        <v>8.7381623648736664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18.8</v>
      </c>
      <c r="FZ37" s="12">
        <f>IF('Données projet'!$A$244&gt;35,FZ36+FY37-GH36,IF(A37&lt;'Données projet'!$A$244,$FW$205^A37,IF(A37='Données projet'!$A$244,'Données projet'!$B$244,FZ36+FY37-GH36)))</f>
        <v>277.20000000000005</v>
      </c>
      <c r="GA37" s="17">
        <f>FZ37*VLOOKUP('Données projet'!$B$17,Paramètres!$A$1:$I$89,3,0)*VLOOKUP('Données projet'!$B$17,Paramètres!$A$1:$I$89,5,0)</f>
        <v>165.76560000000003</v>
      </c>
      <c r="GB37" s="13">
        <f t="shared" si="49"/>
        <v>42.140271125684265</v>
      </c>
      <c r="GC37" s="20">
        <f t="shared" si="25"/>
        <v>362.10272554390014</v>
      </c>
      <c r="GD37" s="59">
        <f t="shared" si="26"/>
        <v>655.43605887723345</v>
      </c>
      <c r="GE37" s="59">
        <f ca="1">AVERAGE(OFFSET($GD$3,0,0,'Données projet'!$E$17+1,1))-AVERAGE(OFFSET($H$3,0,0,'Données projet'!$E$17+1,1))</f>
        <v>282.94722676586207</v>
      </c>
      <c r="GF37" s="59">
        <f t="shared" si="50"/>
        <v>310.63647941571298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9.5924450187624899</v>
      </c>
      <c r="GN37" s="21">
        <f>EXP(-LN(2)/2)*GN36+(1-EXP(-LN(2)/2))/(LN(2)/2)*GH37*GK37*VLOOKUP('Données projet'!$B$17,Paramètres!$A$1:$I$89,3,0)*0.475*44/12</f>
        <v>6.4095582493472616</v>
      </c>
      <c r="GO37" s="21">
        <f t="shared" si="27"/>
        <v>16.002003268109753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>
        <f>VLOOKUP(A37,'Données projet'!$A$269:$I$289,2,0)</f>
        <v>304</v>
      </c>
      <c r="GS37" s="12">
        <f>VLOOKUP(A37,'Données projet'!$A$269:$I$289,9,0)</f>
        <v>18.666666666666668</v>
      </c>
      <c r="GT37" s="12">
        <f t="array" ref="GT37">INDEX(GS:GS,MIN(IF(ISNUMBER(GS37:GS233),ROW(GS37:GS233),"")))</f>
        <v>18.666666666666668</v>
      </c>
      <c r="GU37" s="12">
        <f>IF('Données projet'!$A$270&gt;35,GU36+GT37-HC36,IF(A37&lt;'Données projet'!$A$270,$GR$205^A37,IF(A37='Données projet'!$A$270,'Données projet'!$B$270,GU36+GT37-HC36)))</f>
        <v>304</v>
      </c>
      <c r="GV37" s="17">
        <f>GU37*VLOOKUP('Données projet'!$B$18,Paramètres!$A$1:$I$89,3,0)*VLOOKUP('Données projet'!$B$18,Paramètres!$A$1:$I$89,5,0)</f>
        <v>181.792</v>
      </c>
      <c r="GW37" s="13">
        <f t="shared" si="51"/>
        <v>45.720642997712531</v>
      </c>
      <c r="GX37" s="20">
        <f t="shared" si="28"/>
        <v>396.25118655434932</v>
      </c>
      <c r="GY37" s="59">
        <f t="shared" si="29"/>
        <v>689.58451988768263</v>
      </c>
      <c r="GZ37" s="59">
        <f ca="1">AVERAGE(OFFSET($GY$3,0,0,'Données projet'!$E$18+1,1))-AVERAGE(OFFSET($H$3,0,0,'Données projet'!$E$18+1,1))</f>
        <v>255.54398581450459</v>
      </c>
      <c r="HA37" s="59">
        <f t="shared" si="52"/>
        <v>276.52622328061204</v>
      </c>
      <c r="HB37" s="15">
        <f>IF(ISNA(VLOOKUP(A37,'Données projet'!$A$269:$I$289,3,0)),0,VLOOKUP(A37,'Données projet'!$A$269:$I$289,3,0))</f>
        <v>6</v>
      </c>
      <c r="HC37" s="15">
        <f>IF(ISNA(VLOOKUP(A37,'Données projet'!$A$269:$I$289,4,0)),0,VLOOKUP(A37,'Données projet'!$A$269:$I$289,4,0))</f>
        <v>60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4.7863291543586328</v>
      </c>
      <c r="HI37" s="21">
        <f>EXP(-LN(2)/2)*HI36+(1-EXP(-LN(2)/2))/(LN(2)/2)*HC37*HF37*VLOOKUP('Données projet'!$B$18,Paramètres!$A$1:$I$89,3,0)*0.475*44/12</f>
        <v>3.7167710020817903</v>
      </c>
      <c r="HJ37" s="22">
        <f t="shared" si="30"/>
        <v>8.5031001564404232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222</v>
      </c>
      <c r="L38" s="12">
        <f>VLOOKUP(A38,'Données projet'!$A$35:$I$55,9,0)</f>
        <v>13.6</v>
      </c>
      <c r="M38" s="12">
        <f t="array" ref="M38">INDEX(L:L,MIN(IF(ISNUMBER(L38:L234),ROW(L38:L234),"")))</f>
        <v>13.6</v>
      </c>
      <c r="N38" s="13">
        <f>IF('Données projet'!$A$36&gt;35,N37+M38-V37,IF(A38&lt;'Données projet'!$A$36,$K$205^A38,IF(A38='Données projet'!$A$36,'Données projet'!$B$36,N37+M38-V37)))</f>
        <v>222.00000000000009</v>
      </c>
      <c r="O38" s="13">
        <f>N38*VLOOKUP('Données projet'!$B$9,Paramètres!$A$1:$I$89,3,0)*VLOOKUP('Données projet'!$B$9,Paramètres!$A$1:$I$89,5,0)</f>
        <v>193.93920000000011</v>
      </c>
      <c r="P38" s="13">
        <f t="shared" si="33"/>
        <v>48.409811198069384</v>
      </c>
      <c r="Q38" s="20">
        <f t="shared" si="53"/>
        <v>422.09119450330428</v>
      </c>
      <c r="R38" s="59">
        <f t="shared" si="0"/>
        <v>715.42452783663759</v>
      </c>
      <c r="S38" s="59">
        <f ca="1">AVERAGE(OFFSET($R$3,0,0,'Données projet'!$E$9+1,1))-AVERAGE(OFFSET($H$3,0,0,'Données projet'!$E$9+1,1))</f>
        <v>248.50221719467663</v>
      </c>
      <c r="T38" s="59">
        <f t="shared" si="34"/>
        <v>366.09064580347183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49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7.1505412394336387</v>
      </c>
      <c r="AA38" s="21">
        <f>EXP(-LN(2)/25)*AA37+(1-EXP(-LN(2)/25))/(LN(2)/25)*Calculateur!V38*Calculateur!X38*VLOOKUP('Données projet'!$B$9,Paramètres!$A$1:$I$89,3,0)*0.475*44/12</f>
        <v>20.954062706753774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28.104603946187414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133.00560000000004</v>
      </c>
      <c r="AK38" s="13">
        <f t="shared" si="35"/>
        <v>34.689938673073549</v>
      </c>
      <c r="AL38" s="20">
        <f t="shared" si="4"/>
        <v>292.06972985560316</v>
      </c>
      <c r="AM38" s="59">
        <f t="shared" si="5"/>
        <v>585.40306318893647</v>
      </c>
      <c r="AN38" s="59">
        <f ca="1">AVERAGE(OFFSET($AM$3,0,0,'Données projet'!$E$10+1,1))-AVERAGE(OFFSET($H$3,0,0,'Données projet'!$E$10+1,1))</f>
        <v>263.22346936777603</v>
      </c>
      <c r="AO38" s="59">
        <f t="shared" si="36"/>
        <v>217.14714468707939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6.3343477461589242</v>
      </c>
      <c r="AW38" s="21">
        <f>EXP(-LN(2)/2)*AW37+(1-EXP(-LN(2)/2))/(LN(2)/2)*AQ38*AT38*VLOOKUP('Données projet'!$B$10,Paramètres!$A$1:$I$89,3,0)*0.475*44/12</f>
        <v>3.1555984401123749</v>
      </c>
      <c r="AX38" s="21">
        <f t="shared" si="6"/>
        <v>9.4899461862712986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164.99999999999994</v>
      </c>
      <c r="BE38" s="13">
        <f>BD38*VLOOKUP('Données projet'!$B$11,Paramètres!$A$1:$I$89,3,0)*VLOOKUP('Données projet'!$B$11,Paramètres!$A$1:$I$89,5,0)</f>
        <v>128.69999999999996</v>
      </c>
      <c r="BF38" s="13">
        <f t="shared" si="37"/>
        <v>33.695792019186115</v>
      </c>
      <c r="BG38" s="20">
        <f t="shared" si="7"/>
        <v>282.83933776674911</v>
      </c>
      <c r="BH38" s="59">
        <f t="shared" si="8"/>
        <v>576.17267110008243</v>
      </c>
      <c r="BI38" s="59">
        <f ca="1">AVERAGE(OFFSET($BH$3,0,0,'Données projet'!$E$11+1,1))-AVERAGE(OFFSET($H$3,0,0,'Données projet'!$E$11+1,1))</f>
        <v>219.22204054948094</v>
      </c>
      <c r="BJ38" s="59">
        <f t="shared" si="38"/>
        <v>222.41711966122034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2.7296818332282768</v>
      </c>
      <c r="BR38" s="21">
        <f>EXP(-LN(2)/2)*BR37+(1-EXP(-LN(2)/2))/(LN(2)/2)*BL38*BO38*VLOOKUP('Données projet'!$B$11,Paramètres!$A$1:$I$89,3,0)*0.475*44/12</f>
        <v>0.5780787858598313</v>
      </c>
      <c r="BS38" s="22">
        <f t="shared" si="9"/>
        <v>3.3077606190881079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82</v>
      </c>
      <c r="BW38" s="12">
        <f>VLOOKUP(A38,'Données projet'!$A$113:$I$133,9,0)</f>
        <v>6.8</v>
      </c>
      <c r="BX38" s="12">
        <f t="array" ref="BX38">INDEX(BW:BW,MIN(IF(ISNUMBER(BW38:BW234),ROW(BW38:BW234),"")))</f>
        <v>6.8</v>
      </c>
      <c r="BY38" s="12">
        <f>IF('Données projet'!$A$114&gt;35,BY37+BX38-CG37,IF(A38&lt;'Données projet'!$A$114,$BV$205^A38,IF(A38='Données projet'!$A$114,'Données projet'!$B$114,BY37+BX38-CG37)))</f>
        <v>81.999999999999986</v>
      </c>
      <c r="BZ38" s="13">
        <f>BY38*VLOOKUP('Données projet'!$B$12,Paramètres!$A$1:$I$89,3,0)*VLOOKUP('Données projet'!$B$12,Paramètres!$A$1:$I$89,5,0)</f>
        <v>70.355999999999995</v>
      </c>
      <c r="CA38" s="13">
        <f t="shared" si="39"/>
        <v>19.761838800222552</v>
      </c>
      <c r="CB38" s="20">
        <f t="shared" si="10"/>
        <v>156.95523591038759</v>
      </c>
      <c r="CC38" s="59">
        <f t="shared" si="11"/>
        <v>450.28856924372087</v>
      </c>
      <c r="CD38" s="59">
        <f ca="1">AVERAGE(OFFSET($CC$3,0,0,'Données projet'!$E$12+1,1))-AVERAGE(OFFSET($H$3,0,0,'Données projet'!$E$12+1,1))</f>
        <v>237.27357081252273</v>
      </c>
      <c r="CE38" s="59">
        <f t="shared" si="40"/>
        <v>68.768479693848576</v>
      </c>
      <c r="CF38" s="15">
        <f>IF(ISNA(VLOOKUP(A38,'Données projet'!$A$113:$I$133,3,0)),0,VLOOKUP(A38,'Données projet'!$A$113:$I$133,3,0))</f>
        <v>2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616</v>
      </c>
      <c r="CR38" s="12">
        <f>VLOOKUP(A38,'Données projet'!$A$139:$I$159,9,0)</f>
        <v>24.6</v>
      </c>
      <c r="CS38" s="12">
        <f t="array" ref="CS38">INDEX(CR:CR,MIN(IF(ISNUMBER(CR38:CR234),ROW(CR38:CR234),"")))</f>
        <v>24.6</v>
      </c>
      <c r="CT38" s="12">
        <f>IF('Données projet'!$A$140&gt;35,CT37+CS38-DB37,IF(A38&lt;'Données projet'!$A$140,$CQ$205^A38,IF(A38='Données projet'!$A$140,'Données projet'!$B$140,CT37+CS38-DB37)))</f>
        <v>616</v>
      </c>
      <c r="CU38" s="17">
        <f>CT38*VLOOKUP('Données projet'!$B$13,Paramètres!$A$1:$I$89,3,0)*VLOOKUP('Données projet'!$B$13,Paramètres!$A$1:$I$89,5,0)</f>
        <v>344.34399999999999</v>
      </c>
      <c r="CV38" s="13">
        <f t="shared" si="41"/>
        <v>80.396780105945552</v>
      </c>
      <c r="CW38" s="20">
        <f t="shared" si="13"/>
        <v>739.75685868452183</v>
      </c>
      <c r="CX38" s="59">
        <f t="shared" si="14"/>
        <v>1033.0901920178551</v>
      </c>
      <c r="CY38" s="59">
        <f ca="1">AVERAGE(OFFSET($CX$3,0,0,'Données projet'!$E$13+1,1))-AVERAGE(OFFSET($H$3,0,0,'Données projet'!$E$13+1,1))</f>
        <v>474.03051418249999</v>
      </c>
      <c r="CZ38" s="59">
        <f t="shared" si="42"/>
        <v>649.52271992719091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72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4.9499791210480621</v>
      </c>
      <c r="DG38" s="21">
        <f>EXP(-LN(2)/25)*DG37+(1-EXP(-LN(2)/25))/(LN(2)/25)*Calculateur!DB38*Calculateur!DD38*VLOOKUP('Données projet'!$B$13,Paramètres!$A$1:$I$89,3,0)*0.475*44/12</f>
        <v>21.061291668194805</v>
      </c>
      <c r="DH38" s="21">
        <f>EXP(-LN(2)/2)*DH37+(1-EXP(-LN(2)/2))/(LN(2)/2)*DB38*DE38*VLOOKUP('Données projet'!$B$13,Paramètres!$A$1:$I$89,3,0)*0.475*44/12</f>
        <v>2.0682286542445345</v>
      </c>
      <c r="DI38" s="22">
        <f t="shared" si="15"/>
        <v>28.079499443487403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15</v>
      </c>
      <c r="DO38" s="12">
        <f>IF('Données projet'!$A$166&gt;35,DO37+DN38-DW37,IF(A38&lt;'Données projet'!$A$166,$DL$205^A38,IF(A38='Données projet'!$A$166,'Données projet'!$B$166,DO37+DN38-DW37)))</f>
        <v>253.99999999999994</v>
      </c>
      <c r="DP38" s="17">
        <f>DO38*VLOOKUP('Données projet'!$B$14,Paramètres!$A$1:$I$89,3,0)*VLOOKUP('Données projet'!$B$14,Paramètres!$A$1:$I$89,5,0)</f>
        <v>138.68399999999997</v>
      </c>
      <c r="DQ38" s="13">
        <f t="shared" si="43"/>
        <v>35.995362862956796</v>
      </c>
      <c r="DR38" s="20">
        <f t="shared" si="16"/>
        <v>304.23322365298299</v>
      </c>
      <c r="DS38" s="59">
        <f t="shared" si="17"/>
        <v>597.5665569863163</v>
      </c>
      <c r="DT38" s="59">
        <f ca="1">AVERAGE(OFFSET($DS$3,0,0,'Données projet'!$E$14+1,1))-AVERAGE(OFFSET($H$3,0,0,'Données projet'!$E$14+1,1))</f>
        <v>164.0740581424559</v>
      </c>
      <c r="DU38" s="59">
        <f t="shared" si="44"/>
        <v>280.99861170359793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5.9828973605321671</v>
      </c>
      <c r="EB38" s="21">
        <f>EXP(-LN(2)/25)*EB37+(1-EXP(-LN(2)/25))/(LN(2)/25)*Calculateur!DW38*Calculateur!DY38*VLOOKUP('Données projet'!$B$14,Paramètres!$A$1:$I$89,3,0)*0.475*44/12</f>
        <v>22.544361076576276</v>
      </c>
      <c r="EC38" s="21">
        <f>EXP(-LN(2)/2)*EC37+(1-EXP(-LN(2)/2))/(LN(2)/2)*DW38*DZ38*VLOOKUP('Données projet'!$B$14,Paramètres!$A$1:$I$89,3,0)*0.475*44/12</f>
        <v>2.6832427684439164</v>
      </c>
      <c r="ED38" s="22">
        <f t="shared" si="18"/>
        <v>31.210501205552362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453</v>
      </c>
      <c r="EH38" s="12">
        <f>VLOOKUP(A38,'Données projet'!$A$191:$I$211,9,0)</f>
        <v>30.8</v>
      </c>
      <c r="EI38" s="12">
        <f t="array" ref="EI38">INDEX(EH:EH,MIN(IF(ISNUMBER(EH38:EH234),ROW(EH38:EH234),"")))</f>
        <v>30.8</v>
      </c>
      <c r="EJ38" s="12">
        <f>IF('Données projet'!$A$192&gt;35,EJ37+EI38-ER37,IF(A38&lt;'Données projet'!$A$192,$EG$205^A38,IF(A38='Données projet'!$A$192,'Données projet'!$B$192,EJ37+EI38-ER37)))</f>
        <v>453.00000000000011</v>
      </c>
      <c r="EK38" s="17">
        <f>EJ38*VLOOKUP('Données projet'!$B$15,Paramètres!$A$1:$I$89,3,0)*VLOOKUP('Données projet'!$B$15,Paramètres!$A$1:$I$89,5,0)</f>
        <v>217.89300000000006</v>
      </c>
      <c r="EL38" s="13">
        <f t="shared" si="45"/>
        <v>53.65668350861781</v>
      </c>
      <c r="EM38" s="20">
        <f t="shared" si="19"/>
        <v>472.94903211084278</v>
      </c>
      <c r="EN38" s="59">
        <f t="shared" si="20"/>
        <v>766.28236544417609</v>
      </c>
      <c r="EO38" s="59">
        <f ca="1">AVERAGE(OFFSET($EN$3,0,0,'Données projet'!$E$15+1,1))-AVERAGE(OFFSET($H$3,0,0,'Données projet'!$E$15+1,1))</f>
        <v>312.1172301514103</v>
      </c>
      <c r="EP38" s="59">
        <f t="shared" si="46"/>
        <v>369.85500533493212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77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2.4474992217747187</v>
      </c>
      <c r="EW38" s="21">
        <f>EXP(-LN(2)/25)*EW37+(1-EXP(-LN(2)/25))/(LN(2)/25)*Calculateur!ER38*Calculateur!ET38*VLOOKUP('Données projet'!$B$15,Paramètres!$A$1:$I$89,3,0)*0.475*44/12</f>
        <v>13.092667980550086</v>
      </c>
      <c r="EX38" s="21">
        <f>EXP(-LN(2)/2)*EX37+(1-EXP(-LN(2)/2))/(LN(2)/2)*ER38*EU38*VLOOKUP('Données projet'!$B$15,Paramètres!$A$1:$I$89,3,0)*0.475*44/12</f>
        <v>5.5996800147680181</v>
      </c>
      <c r="EY38" s="22">
        <f t="shared" si="21"/>
        <v>21.139847217092822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10</v>
      </c>
      <c r="FE38" s="12">
        <f>IF('Données projet'!$A$218&gt;35,FE37+FD38-FM37,IF(A38&lt;'Données projet'!$A$218,$FB$205^A38,IF(A38='Données projet'!$A$218,'Données projet'!$B$218,FE37+FD38-FM37)))</f>
        <v>154.99999999999983</v>
      </c>
      <c r="FF38" s="17">
        <f>FE38*VLOOKUP('Données projet'!$B$16,Paramètres!$A$1:$I$89,3,0)*VLOOKUP('Données projet'!$B$16,Paramètres!$A$1:$I$89,5,0)</f>
        <v>72.539999999999921</v>
      </c>
      <c r="FG38" s="13">
        <f t="shared" si="47"/>
        <v>20.302914660456779</v>
      </c>
      <c r="FH38" s="20">
        <f t="shared" si="22"/>
        <v>161.70140970029539</v>
      </c>
      <c r="FI38" s="59">
        <f t="shared" si="23"/>
        <v>455.03474303362873</v>
      </c>
      <c r="FJ38" s="59">
        <f ca="1">AVERAGE(OFFSET($FI$3,0,0,'Données projet'!$E$16+1,1))-AVERAGE(OFFSET($H$3,0,0,'Données projet'!$E$16+1,1))</f>
        <v>87.187251664304199</v>
      </c>
      <c r="FK38" s="59">
        <f t="shared" si="48"/>
        <v>148.84938257884147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7.0198268553171799</v>
      </c>
      <c r="FS38" s="21">
        <f>EXP(-LN(2)/2)*FS37+(1-EXP(-LN(2)/2))/(LN(2)/2)*FM38*FP38*VLOOKUP('Données projet'!$B$16,Paramètres!$A$1:$I$89,3,0)*0.475*44/12</f>
        <v>1.0754962013221292</v>
      </c>
      <c r="FT38" s="22">
        <f t="shared" si="24"/>
        <v>8.0953230566393088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296</v>
      </c>
      <c r="FX38" s="12">
        <f>VLOOKUP(A38,'Données projet'!$A$243:$I$263,9,0)</f>
        <v>18.8</v>
      </c>
      <c r="FY38" s="12">
        <f t="array" ref="FY38">INDEX(FX:FX,MIN(IF(ISNUMBER(FX38:FX234),ROW(FX38:FX234),"")))</f>
        <v>18.8</v>
      </c>
      <c r="FZ38" s="12">
        <f>IF('Données projet'!$A$244&gt;35,FZ37+FY38-GH37,IF(A38&lt;'Données projet'!$A$244,$FW$205^A38,IF(A38='Données projet'!$A$244,'Données projet'!$B$244,FZ37+FY38-GH37)))</f>
        <v>296.00000000000006</v>
      </c>
      <c r="GA38" s="17">
        <f>FZ38*VLOOKUP('Données projet'!$B$17,Paramètres!$A$1:$I$89,3,0)*VLOOKUP('Données projet'!$B$17,Paramètres!$A$1:$I$89,5,0)</f>
        <v>177.00800000000004</v>
      </c>
      <c r="GB38" s="13">
        <f t="shared" si="49"/>
        <v>44.65587329900309</v>
      </c>
      <c r="GC38" s="20">
        <f t="shared" si="25"/>
        <v>386.06457932909711</v>
      </c>
      <c r="GD38" s="59">
        <f t="shared" si="26"/>
        <v>679.39791266243037</v>
      </c>
      <c r="GE38" s="59">
        <f ca="1">AVERAGE(OFFSET($GD$3,0,0,'Données projet'!$E$17+1,1))-AVERAGE(OFFSET($H$3,0,0,'Données projet'!$E$17+1,1))</f>
        <v>282.94722676586207</v>
      </c>
      <c r="GF38" s="59">
        <f t="shared" si="50"/>
        <v>310.63647941571298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52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9.3301391052796703</v>
      </c>
      <c r="GN38" s="21">
        <f>EXP(-LN(2)/2)*GN37+(1-EXP(-LN(2)/2))/(LN(2)/2)*GH38*GK38*VLOOKUP('Données projet'!$B$17,Paramètres!$A$1:$I$89,3,0)*0.475*44/12</f>
        <v>4.5322421025236252</v>
      </c>
      <c r="GO38" s="21">
        <f t="shared" si="27"/>
        <v>13.862381207803296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14.833333333333334</v>
      </c>
      <c r="GU38" s="12">
        <f>IF('Données projet'!$A$270&gt;35,GU37+GT38-HC37,IF(A38&lt;'Données projet'!$A$270,$GR$205^A38,IF(A38='Données projet'!$A$270,'Données projet'!$B$270,GU37+GT38-HC37)))</f>
        <v>258.83333333333331</v>
      </c>
      <c r="GV38" s="17">
        <f>GU38*VLOOKUP('Données projet'!$B$18,Paramètres!$A$1:$I$89,3,0)*VLOOKUP('Données projet'!$B$18,Paramètres!$A$1:$I$89,5,0)</f>
        <v>154.78233333333333</v>
      </c>
      <c r="GW38" s="13">
        <f t="shared" si="51"/>
        <v>39.663394950666209</v>
      </c>
      <c r="GX38" s="20">
        <f t="shared" si="28"/>
        <v>338.65964342796582</v>
      </c>
      <c r="GY38" s="59">
        <f t="shared" si="29"/>
        <v>631.99297676129913</v>
      </c>
      <c r="GZ38" s="59">
        <f ca="1">AVERAGE(OFFSET($GY$3,0,0,'Données projet'!$E$18+1,1))-AVERAGE(OFFSET($H$3,0,0,'Données projet'!$E$18+1,1))</f>
        <v>255.54398581450459</v>
      </c>
      <c r="HA38" s="59">
        <f t="shared" si="52"/>
        <v>276.52622328061204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4.655446731930585</v>
      </c>
      <c r="HI38" s="21">
        <f>EXP(-LN(2)/2)*HI37+(1-EXP(-LN(2)/2))/(LN(2)/2)*HC38*HF38*VLOOKUP('Données projet'!$B$18,Paramètres!$A$1:$I$89,3,0)*0.475*44/12</f>
        <v>2.6281539796895537</v>
      </c>
      <c r="HJ38" s="22">
        <f t="shared" si="30"/>
        <v>7.2836007116201387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12.4</v>
      </c>
      <c r="N39" s="13">
        <f>IF('Données projet'!$A$36&gt;35,N38+M39-V38,IF(A39&lt;'Données projet'!$A$36,$K$205^A39,IF(A39='Données projet'!$A$36,'Données projet'!$B$36,N38+M39-V38)))</f>
        <v>185.40000000000009</v>
      </c>
      <c r="O39" s="13">
        <f>N39*VLOOKUP('Données projet'!$B$9,Paramètres!$A$1:$I$89,3,0)*VLOOKUP('Données projet'!$B$9,Paramètres!$A$1:$I$89,5,0)</f>
        <v>161.96544000000009</v>
      </c>
      <c r="P39" s="13">
        <f t="shared" si="33"/>
        <v>41.285510388923619</v>
      </c>
      <c r="Q39" s="20">
        <f t="shared" si="53"/>
        <v>353.99540526070876</v>
      </c>
      <c r="R39" s="59">
        <f t="shared" si="0"/>
        <v>647.32873859404208</v>
      </c>
      <c r="S39" s="59">
        <f ca="1">AVERAGE(OFFSET($R$3,0,0,'Données projet'!$E$9+1,1))-AVERAGE(OFFSET($H$3,0,0,'Données projet'!$E$9+1,1))</f>
        <v>248.50221719467663</v>
      </c>
      <c r="T39" s="59">
        <f t="shared" si="34"/>
        <v>366.09064580347183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7.0103234871278488</v>
      </c>
      <c r="AA39" s="21">
        <f>EXP(-LN(2)/25)*AA38+(1-EXP(-LN(2)/25))/(LN(2)/25)*Calculateur!V39*Calculateur!X39*VLOOKUP('Données projet'!$B$9,Paramètres!$A$1:$I$89,3,0)*0.475*44/12</f>
        <v>20.381072760111326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27.391396247239175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117.80496000000004</v>
      </c>
      <c r="AK39" s="13">
        <f t="shared" si="35"/>
        <v>31.162493487829593</v>
      </c>
      <c r="AL39" s="20">
        <f t="shared" si="4"/>
        <v>259.45164815796994</v>
      </c>
      <c r="AM39" s="59">
        <f t="shared" si="5"/>
        <v>552.78498149130326</v>
      </c>
      <c r="AN39" s="59">
        <f ca="1">AVERAGE(OFFSET($AM$3,0,0,'Données projet'!$E$10+1,1))-AVERAGE(OFFSET($H$3,0,0,'Données projet'!$E$10+1,1))</f>
        <v>263.22346936777603</v>
      </c>
      <c r="AO39" s="59">
        <f t="shared" si="36"/>
        <v>217.14714468707939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6.161134673931338</v>
      </c>
      <c r="AW39" s="21">
        <f>EXP(-LN(2)/2)*AW38+(1-EXP(-LN(2)/2))/(LN(2)/2)*AQ39*AT39*VLOOKUP('Données projet'!$B$10,Paramètres!$A$1:$I$89,3,0)*0.475*44/12</f>
        <v>2.2313450557051517</v>
      </c>
      <c r="AX39" s="21">
        <f t="shared" si="6"/>
        <v>8.3924797296364897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176.49999999999994</v>
      </c>
      <c r="BE39" s="13">
        <f>BD39*VLOOKUP('Données projet'!$B$11,Paramètres!$A$1:$I$89,3,0)*VLOOKUP('Données projet'!$B$11,Paramètres!$A$1:$I$89,5,0)</f>
        <v>137.66999999999996</v>
      </c>
      <c r="BF39" s="13">
        <f t="shared" si="37"/>
        <v>35.762714965854656</v>
      </c>
      <c r="BG39" s="20">
        <f t="shared" si="7"/>
        <v>302.06197856553007</v>
      </c>
      <c r="BH39" s="59">
        <f t="shared" si="8"/>
        <v>595.39531189886338</v>
      </c>
      <c r="BI39" s="59">
        <f ca="1">AVERAGE(OFFSET($BH$3,0,0,'Données projet'!$E$11+1,1))-AVERAGE(OFFSET($H$3,0,0,'Données projet'!$E$11+1,1))</f>
        <v>219.22204054948094</v>
      </c>
      <c r="BJ39" s="59">
        <f t="shared" si="38"/>
        <v>222.41711966122034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2.6550385399509207</v>
      </c>
      <c r="BR39" s="21">
        <f>EXP(-LN(2)/2)*BR38+(1-EXP(-LN(2)/2))/(LN(2)/2)*BL39*BO39*VLOOKUP('Données projet'!$B$11,Paramètres!$A$1:$I$89,3,0)*0.475*44/12</f>
        <v>0.4087634295415728</v>
      </c>
      <c r="BS39" s="22">
        <f t="shared" si="9"/>
        <v>3.0638019694924936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9.4</v>
      </c>
      <c r="BY39" s="12">
        <f>IF('Données projet'!$A$114&gt;35,BY38+BX39-CG38,IF(A39&lt;'Données projet'!$A$114,$BV$205^A39,IF(A39='Données projet'!$A$114,'Données projet'!$B$114,BY38+BX39-CG38)))</f>
        <v>91.399999999999991</v>
      </c>
      <c r="BZ39" s="13">
        <f>BY39*VLOOKUP('Données projet'!$B$12,Paramètres!$A$1:$I$89,3,0)*VLOOKUP('Données projet'!$B$12,Paramètres!$A$1:$I$89,5,0)</f>
        <v>78.421199999999999</v>
      </c>
      <c r="CA39" s="13">
        <f t="shared" si="39"/>
        <v>21.750712651112295</v>
      </c>
      <c r="CB39" s="20">
        <f t="shared" si="10"/>
        <v>174.46608120068723</v>
      </c>
      <c r="CC39" s="59">
        <f t="shared" si="11"/>
        <v>467.79941453402057</v>
      </c>
      <c r="CD39" s="59">
        <f ca="1">AVERAGE(OFFSET($CC$3,0,0,'Données projet'!$E$12+1,1))-AVERAGE(OFFSET($H$3,0,0,'Données projet'!$E$12+1,1))</f>
        <v>237.27357081252273</v>
      </c>
      <c r="CE39" s="59">
        <f t="shared" si="40"/>
        <v>68.768479693848576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22</v>
      </c>
      <c r="CT39" s="12">
        <f>IF('Données projet'!$A$140&gt;35,CT38+CS39-DB38,IF(A39&lt;'Données projet'!$A$140,$CQ$205^A39,IF(A39='Données projet'!$A$140,'Données projet'!$B$140,CT38+CS39-DB38)))</f>
        <v>566</v>
      </c>
      <c r="CU39" s="17">
        <f>CT39*VLOOKUP('Données projet'!$B$13,Paramètres!$A$1:$I$89,3,0)*VLOOKUP('Données projet'!$B$13,Paramètres!$A$1:$I$89,5,0)</f>
        <v>316.39400000000001</v>
      </c>
      <c r="CV39" s="13">
        <f t="shared" si="41"/>
        <v>74.602561081494827</v>
      </c>
      <c r="CW39" s="20">
        <f t="shared" si="13"/>
        <v>680.98567721693689</v>
      </c>
      <c r="CX39" s="59">
        <f t="shared" si="14"/>
        <v>974.31901055027015</v>
      </c>
      <c r="CY39" s="59">
        <f ca="1">AVERAGE(OFFSET($CX$3,0,0,'Données projet'!$E$13+1,1))-AVERAGE(OFFSET($H$3,0,0,'Données projet'!$E$13+1,1))</f>
        <v>474.03051418249999</v>
      </c>
      <c r="CZ39" s="59">
        <f t="shared" si="42"/>
        <v>649.52271992719091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4.8529130496734529</v>
      </c>
      <c r="DG39" s="21">
        <f>EXP(-LN(2)/25)*DG38+(1-EXP(-LN(2)/25))/(LN(2)/25)*Calculateur!DB39*Calculateur!DD39*VLOOKUP('Données projet'!$B$13,Paramètres!$A$1:$I$89,3,0)*0.475*44/12</f>
        <v>20.485369539962825</v>
      </c>
      <c r="DH39" s="21">
        <f>EXP(-LN(2)/2)*DH38+(1-EXP(-LN(2)/2))/(LN(2)/2)*DB39*DE39*VLOOKUP('Données projet'!$B$13,Paramètres!$A$1:$I$89,3,0)*0.475*44/12</f>
        <v>1.4624585064606379</v>
      </c>
      <c r="DI39" s="22">
        <f t="shared" si="15"/>
        <v>26.800741096096917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>
        <f>VLOOKUP(A39,'Données projet'!$A$165:$I$185,2,0)</f>
        <v>269</v>
      </c>
      <c r="DM39" s="12">
        <f>VLOOKUP(A39,'Données projet'!$A$165:$I$185,9,0)</f>
        <v>15</v>
      </c>
      <c r="DN39" s="12">
        <f t="array" ref="DN39">INDEX(DM:DM,MIN(IF(ISNUMBER(DM39:DM235),ROW(DM39:DM235),"")))</f>
        <v>15</v>
      </c>
      <c r="DO39" s="12">
        <f>IF('Données projet'!$A$166&gt;35,DO38+DN39-DW38,IF(A39&lt;'Données projet'!$A$166,$DL$205^A39,IF(A39='Données projet'!$A$166,'Données projet'!$B$166,DO38+DN39-DW38)))</f>
        <v>268.99999999999994</v>
      </c>
      <c r="DP39" s="17">
        <f>DO39*VLOOKUP('Données projet'!$B$14,Paramètres!$A$1:$I$89,3,0)*VLOOKUP('Données projet'!$B$14,Paramètres!$A$1:$I$89,5,0)</f>
        <v>146.87399999999997</v>
      </c>
      <c r="DQ39" s="13">
        <f t="shared" si="43"/>
        <v>37.867322517591383</v>
      </c>
      <c r="DR39" s="20">
        <f t="shared" si="16"/>
        <v>321.75780338480496</v>
      </c>
      <c r="DS39" s="59">
        <f t="shared" si="17"/>
        <v>615.09113671813827</v>
      </c>
      <c r="DT39" s="59">
        <f ca="1">AVERAGE(OFFSET($DS$3,0,0,'Données projet'!$E$14+1,1))-AVERAGE(OFFSET($H$3,0,0,'Données projet'!$E$14+1,1))</f>
        <v>164.0740581424559</v>
      </c>
      <c r="DU39" s="59">
        <f t="shared" si="44"/>
        <v>280.99861170359793</v>
      </c>
      <c r="DV39" s="15">
        <f>IF(ISNA(VLOOKUP(A39,'Données projet'!$A$165:$I$185,3,0)),0,VLOOKUP(A39,'Données projet'!$A$165:$I$185,3,0))</f>
        <v>6</v>
      </c>
      <c r="DW39" s="15">
        <f>IF(ISNA(VLOOKUP(A39,'Données projet'!$A$165:$I$185,4,0)),0,VLOOKUP(A39,'Données projet'!$A$165:$I$185,4,0))</f>
        <v>75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5.8655763924991922</v>
      </c>
      <c r="EB39" s="21">
        <f>EXP(-LN(2)/25)*EB38+(1-EXP(-LN(2)/25))/(LN(2)/25)*Calculateur!DW39*Calculateur!DY39*VLOOKUP('Données projet'!$B$14,Paramètres!$A$1:$I$89,3,0)*0.475*44/12</f>
        <v>21.927884337380874</v>
      </c>
      <c r="EC39" s="21">
        <f>EXP(-LN(2)/2)*EC38+(1-EXP(-LN(2)/2))/(LN(2)/2)*DW39*DZ39*VLOOKUP('Données projet'!$B$14,Paramètres!$A$1:$I$89,3,0)*0.475*44/12</f>
        <v>1.8973391571364586</v>
      </c>
      <c r="ED39" s="22">
        <f t="shared" si="18"/>
        <v>29.690799887016524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29.6</v>
      </c>
      <c r="EJ39" s="12">
        <f>IF('Données projet'!$A$192&gt;35,EJ38+EI39-ER38,IF(A39&lt;'Données projet'!$A$192,$EG$205^A39,IF(A39='Données projet'!$A$192,'Données projet'!$B$192,EJ38+EI39-ER38)))</f>
        <v>405.60000000000014</v>
      </c>
      <c r="EK39" s="17">
        <f>EJ39*VLOOKUP('Données projet'!$B$15,Paramètres!$A$1:$I$89,3,0)*VLOOKUP('Données projet'!$B$15,Paramètres!$A$1:$I$89,5,0)</f>
        <v>195.09360000000009</v>
      </c>
      <c r="EL39" s="13">
        <f t="shared" si="45"/>
        <v>48.6643357423848</v>
      </c>
      <c r="EM39" s="20">
        <f t="shared" si="19"/>
        <v>424.545071417987</v>
      </c>
      <c r="EN39" s="59">
        <f t="shared" si="20"/>
        <v>717.87840475132032</v>
      </c>
      <c r="EO39" s="59">
        <f ca="1">AVERAGE(OFFSET($EN$3,0,0,'Données projet'!$E$15+1,1))-AVERAGE(OFFSET($H$3,0,0,'Données projet'!$E$15+1,1))</f>
        <v>312.1172301514103</v>
      </c>
      <c r="EP39" s="59">
        <f t="shared" si="46"/>
        <v>369.85500533493212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2.3995052548628375</v>
      </c>
      <c r="EW39" s="21">
        <f>EXP(-LN(2)/25)*EW38+(1-EXP(-LN(2)/25))/(LN(2)/25)*Calculateur!ER39*Calculateur!ET39*VLOOKUP('Données projet'!$B$15,Paramètres!$A$1:$I$89,3,0)*0.475*44/12</f>
        <v>12.734648286108458</v>
      </c>
      <c r="EX39" s="21">
        <f>EXP(-LN(2)/2)*EX38+(1-EXP(-LN(2)/2))/(LN(2)/2)*ER39*EU39*VLOOKUP('Données projet'!$B$15,Paramètres!$A$1:$I$89,3,0)*0.475*44/12</f>
        <v>3.9595717109172526</v>
      </c>
      <c r="EY39" s="22">
        <f t="shared" si="21"/>
        <v>19.09372525188855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10</v>
      </c>
      <c r="FE39" s="12">
        <f>IF('Données projet'!$A$218&gt;35,FE38+FD39-FM38,IF(A39&lt;'Données projet'!$A$218,$FB$205^A39,IF(A39='Données projet'!$A$218,'Données projet'!$B$218,FE38+FD39-FM38)))</f>
        <v>164.99999999999983</v>
      </c>
      <c r="FF39" s="17">
        <f>FE39*VLOOKUP('Données projet'!$B$16,Paramètres!$A$1:$I$89,3,0)*VLOOKUP('Données projet'!$B$16,Paramètres!$A$1:$I$89,5,0)</f>
        <v>77.219999999999914</v>
      </c>
      <c r="FG39" s="13">
        <f t="shared" si="47"/>
        <v>21.456066856215845</v>
      </c>
      <c r="FH39" s="20">
        <f t="shared" si="22"/>
        <v>171.86081644124246</v>
      </c>
      <c r="FI39" s="59">
        <f t="shared" si="23"/>
        <v>465.19414977457575</v>
      </c>
      <c r="FJ39" s="59">
        <f ca="1">AVERAGE(OFFSET($FI$3,0,0,'Données projet'!$E$16+1,1))-AVERAGE(OFFSET($H$3,0,0,'Données projet'!$E$16+1,1))</f>
        <v>87.187251664304199</v>
      </c>
      <c r="FK39" s="59">
        <f t="shared" si="48"/>
        <v>148.84938257884147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6.8278693208018817</v>
      </c>
      <c r="FS39" s="21">
        <f>EXP(-LN(2)/2)*FS38+(1-EXP(-LN(2)/2))/(LN(2)/2)*FM39*FP39*VLOOKUP('Données projet'!$B$16,Paramètres!$A$1:$I$89,3,0)*0.475*44/12</f>
        <v>0.76049065709524988</v>
      </c>
      <c r="FT39" s="22">
        <f t="shared" si="24"/>
        <v>7.5883599778971318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17.600000000000001</v>
      </c>
      <c r="FZ39" s="12">
        <f>IF('Données projet'!$A$244&gt;35,FZ38+FY39-GH38,IF(A39&lt;'Données projet'!$A$244,$FW$205^A39,IF(A39='Données projet'!$A$244,'Données projet'!$B$244,FZ38+FY39-GH38)))</f>
        <v>261.60000000000008</v>
      </c>
      <c r="GA39" s="17">
        <f>FZ39*VLOOKUP('Données projet'!$B$17,Paramètres!$A$1:$I$89,3,0)*VLOOKUP('Données projet'!$B$17,Paramètres!$A$1:$I$89,5,0)</f>
        <v>156.43680000000006</v>
      </c>
      <c r="GB39" s="13">
        <f t="shared" si="49"/>
        <v>40.037775291207829</v>
      </c>
      <c r="GC39" s="20">
        <f t="shared" si="25"/>
        <v>342.1932186321871</v>
      </c>
      <c r="GD39" s="59">
        <f t="shared" si="26"/>
        <v>635.52655196552041</v>
      </c>
      <c r="GE39" s="59">
        <f ca="1">AVERAGE(OFFSET($GD$3,0,0,'Données projet'!$E$17+1,1))-AVERAGE(OFFSET($H$3,0,0,'Données projet'!$E$17+1,1))</f>
        <v>282.94722676586207</v>
      </c>
      <c r="GF39" s="59">
        <f t="shared" si="50"/>
        <v>310.63647941571298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9.0750059607951066</v>
      </c>
      <c r="GN39" s="21">
        <f>EXP(-LN(2)/2)*GN38+(1-EXP(-LN(2)/2))/(LN(2)/2)*GH39*GK39*VLOOKUP('Données projet'!$B$17,Paramètres!$A$1:$I$89,3,0)*0.475*44/12</f>
        <v>3.2047791246736312</v>
      </c>
      <c r="GO39" s="21">
        <f t="shared" si="27"/>
        <v>12.279785085468738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14.833333333333334</v>
      </c>
      <c r="GU39" s="12">
        <f>IF('Données projet'!$A$270&gt;35,GU38+GT39-HC38,IF(A39&lt;'Données projet'!$A$270,$GR$205^A39,IF(A39='Données projet'!$A$270,'Données projet'!$B$270,GU38+GT39-HC38)))</f>
        <v>273.66666666666663</v>
      </c>
      <c r="GV39" s="17">
        <f>GU39*VLOOKUP('Données projet'!$B$18,Paramètres!$A$1:$I$89,3,0)*VLOOKUP('Données projet'!$B$18,Paramètres!$A$1:$I$89,5,0)</f>
        <v>163.65266666666665</v>
      </c>
      <c r="GW39" s="13">
        <f t="shared" si="51"/>
        <v>41.665299117984198</v>
      </c>
      <c r="GX39" s="20">
        <f t="shared" si="28"/>
        <v>357.59545707493356</v>
      </c>
      <c r="GY39" s="59">
        <f t="shared" si="29"/>
        <v>650.92879040826688</v>
      </c>
      <c r="GZ39" s="59">
        <f ca="1">AVERAGE(OFFSET($GY$3,0,0,'Données projet'!$E$18+1,1))-AVERAGE(OFFSET($H$3,0,0,'Données projet'!$E$18+1,1))</f>
        <v>255.54398581450459</v>
      </c>
      <c r="HA39" s="59">
        <f t="shared" si="52"/>
        <v>276.52622328061204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4.5281432962266397</v>
      </c>
      <c r="HI39" s="21">
        <f>EXP(-LN(2)/2)*HI38+(1-EXP(-LN(2)/2))/(LN(2)/2)*HC39*HF39*VLOOKUP('Données projet'!$B$18,Paramètres!$A$1:$I$89,3,0)*0.475*44/12</f>
        <v>1.8583855010408954</v>
      </c>
      <c r="HJ39" s="22">
        <f t="shared" si="30"/>
        <v>6.3865287972675349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12.4</v>
      </c>
      <c r="N40" s="13">
        <f>IF('Données projet'!$A$36&gt;35,N39+M40-V39,IF(A40&lt;'Données projet'!$A$36,$K$205^A40,IF(A40='Données projet'!$A$36,'Données projet'!$B$36,N39+M40-V39)))</f>
        <v>197.8000000000001</v>
      </c>
      <c r="O40" s="13">
        <f>N40*VLOOKUP('Données projet'!$B$9,Paramètres!$A$1:$I$89,3,0)*VLOOKUP('Données projet'!$B$9,Paramètres!$A$1:$I$89,5,0)</f>
        <v>172.79808000000011</v>
      </c>
      <c r="P40" s="13">
        <f t="shared" si="33"/>
        <v>43.716103757502459</v>
      </c>
      <c r="Q40" s="20">
        <f t="shared" si="53"/>
        <v>377.09553671098365</v>
      </c>
      <c r="R40" s="59">
        <f t="shared" si="0"/>
        <v>670.42887004431691</v>
      </c>
      <c r="S40" s="59">
        <f ca="1">AVERAGE(OFFSET($R$3,0,0,'Données projet'!$E$9+1,1))-AVERAGE(OFFSET($H$3,0,0,'Données projet'!$E$9+1,1))</f>
        <v>248.50221719467663</v>
      </c>
      <c r="T40" s="59">
        <f t="shared" si="34"/>
        <v>366.09064580347183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6.872855319420391</v>
      </c>
      <c r="AA40" s="21">
        <f>EXP(-LN(2)/25)*AA39+(1-EXP(-LN(2)/25))/(LN(2)/25)*Calculateur!V40*Calculateur!X40*VLOOKUP('Données projet'!$B$9,Paramètres!$A$1:$I$89,3,0)*0.475*44/12</f>
        <v>19.823751253692048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26.69660657311244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127.93872000000003</v>
      </c>
      <c r="AK40" s="13">
        <f t="shared" si="35"/>
        <v>33.519615889545641</v>
      </c>
      <c r="AL40" s="20">
        <f t="shared" si="4"/>
        <v>281.20660167429202</v>
      </c>
      <c r="AM40" s="59">
        <f t="shared" si="5"/>
        <v>574.53993500762533</v>
      </c>
      <c r="AN40" s="59">
        <f ca="1">AVERAGE(OFFSET($AM$3,0,0,'Données projet'!$E$10+1,1))-AVERAGE(OFFSET($H$3,0,0,'Données projet'!$E$10+1,1))</f>
        <v>263.22346936777603</v>
      </c>
      <c r="AO40" s="59">
        <f t="shared" si="36"/>
        <v>217.14714468707939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5.9926581222726947</v>
      </c>
      <c r="AW40" s="21">
        <f>EXP(-LN(2)/2)*AW39+(1-EXP(-LN(2)/2))/(LN(2)/2)*AQ40*AT40*VLOOKUP('Données projet'!$B$10,Paramètres!$A$1:$I$89,3,0)*0.475*44/12</f>
        <v>1.5777992200561874</v>
      </c>
      <c r="AX40" s="21">
        <f t="shared" si="6"/>
        <v>7.5704573423288819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188</v>
      </c>
      <c r="BB40" s="12">
        <f>VLOOKUP(A40,'Données projet'!$A$87:$I$107,9,0)</f>
        <v>11.5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187.99999999999994</v>
      </c>
      <c r="BE40" s="13">
        <f>BD40*VLOOKUP('Données projet'!$B$11,Paramètres!$A$1:$I$89,3,0)*VLOOKUP('Données projet'!$B$11,Paramètres!$A$1:$I$89,5,0)</f>
        <v>146.63999999999996</v>
      </c>
      <c r="BF40" s="13">
        <f t="shared" si="37"/>
        <v>37.814009712703026</v>
      </c>
      <c r="BG40" s="20">
        <f t="shared" si="7"/>
        <v>321.25740024962437</v>
      </c>
      <c r="BH40" s="59">
        <f t="shared" si="8"/>
        <v>614.59073358295768</v>
      </c>
      <c r="BI40" s="59">
        <f ca="1">AVERAGE(OFFSET($BH$3,0,0,'Données projet'!$E$11+1,1))-AVERAGE(OFFSET($H$3,0,0,'Données projet'!$E$11+1,1))</f>
        <v>219.22204054948094</v>
      </c>
      <c r="BJ40" s="59">
        <f t="shared" si="38"/>
        <v>222.41711966122034</v>
      </c>
      <c r="BK40" s="15">
        <f>IF(ISNA(VLOOKUP(A40,'Données projet'!$A$87:$I$107,3,0)),0,VLOOKUP(A40,'Données projet'!$A$87:$I$107,3,0))</f>
        <v>5</v>
      </c>
      <c r="BL40" s="15">
        <f>IF(ISNA(VLOOKUP(A40,'Données projet'!$A$87:$I$107,4,0)),0,VLOOKUP(A40,'Données projet'!$A$87:$I$107,4,0))</f>
        <v>36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2.5824363714535541</v>
      </c>
      <c r="BR40" s="21">
        <f>EXP(-LN(2)/2)*BR39+(1-EXP(-LN(2)/2))/(LN(2)/2)*BL40*BO40*VLOOKUP('Données projet'!$B$11,Paramètres!$A$1:$I$89,3,0)*0.475*44/12</f>
        <v>0.28903939292991565</v>
      </c>
      <c r="BS40" s="22">
        <f t="shared" si="9"/>
        <v>2.8714757643834696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9.4</v>
      </c>
      <c r="BY40" s="12">
        <f>IF('Données projet'!$A$114&gt;35,BY39+BX40-CG39,IF(A40&lt;'Données projet'!$A$114,$BV$205^A40,IF(A40='Données projet'!$A$114,'Données projet'!$B$114,BY39+BX40-CG39)))</f>
        <v>100.8</v>
      </c>
      <c r="BZ40" s="13">
        <f>BY40*VLOOKUP('Données projet'!$B$12,Paramètres!$A$1:$I$89,3,0)*VLOOKUP('Données projet'!$B$12,Paramètres!$A$1:$I$89,5,0)</f>
        <v>86.486400000000017</v>
      </c>
      <c r="CA40" s="13">
        <f t="shared" si="39"/>
        <v>23.715875325195146</v>
      </c>
      <c r="CB40" s="20">
        <f t="shared" si="10"/>
        <v>191.93562952471487</v>
      </c>
      <c r="CC40" s="59">
        <f t="shared" si="11"/>
        <v>485.26896285804821</v>
      </c>
      <c r="CD40" s="59">
        <f ca="1">AVERAGE(OFFSET($CC$3,0,0,'Données projet'!$E$12+1,1))-AVERAGE(OFFSET($H$3,0,0,'Données projet'!$E$12+1,1))</f>
        <v>237.27357081252273</v>
      </c>
      <c r="CE40" s="59">
        <f t="shared" si="40"/>
        <v>68.768479693848576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22</v>
      </c>
      <c r="CT40" s="12">
        <f>IF('Données projet'!$A$140&gt;35,CT39+CS40-DB39,IF(A40&lt;'Données projet'!$A$140,$CQ$205^A40,IF(A40='Données projet'!$A$140,'Données projet'!$B$140,CT39+CS40-DB39)))</f>
        <v>588</v>
      </c>
      <c r="CU40" s="17">
        <f>CT40*VLOOKUP('Données projet'!$B$13,Paramètres!$A$1:$I$89,3,0)*VLOOKUP('Données projet'!$B$13,Paramètres!$A$1:$I$89,5,0)</f>
        <v>328.69200000000001</v>
      </c>
      <c r="CV40" s="13">
        <f t="shared" si="41"/>
        <v>77.159062750651316</v>
      </c>
      <c r="CW40" s="20">
        <f t="shared" si="13"/>
        <v>706.85726762405102</v>
      </c>
      <c r="CX40" s="59">
        <f t="shared" si="14"/>
        <v>1000.1906009573843</v>
      </c>
      <c r="CY40" s="59">
        <f ca="1">AVERAGE(OFFSET($CX$3,0,0,'Données projet'!$E$13+1,1))-AVERAGE(OFFSET($H$3,0,0,'Données projet'!$E$13+1,1))</f>
        <v>474.03051418249999</v>
      </c>
      <c r="CZ40" s="59">
        <f t="shared" si="42"/>
        <v>649.52271992719091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4.7577503847540425</v>
      </c>
      <c r="DG40" s="21">
        <f>EXP(-LN(2)/25)*DG39+(1-EXP(-LN(2)/25))/(LN(2)/25)*Calculateur!DB40*Calculateur!DD40*VLOOKUP('Données projet'!$B$13,Paramètres!$A$1:$I$89,3,0)*0.475*44/12</f>
        <v>19.925196032613776</v>
      </c>
      <c r="DH40" s="21">
        <f>EXP(-LN(2)/2)*DH39+(1-EXP(-LN(2)/2))/(LN(2)/2)*DB40*DE40*VLOOKUP('Données projet'!$B$13,Paramètres!$A$1:$I$89,3,0)*0.475*44/12</f>
        <v>1.0341143271222675</v>
      </c>
      <c r="DI40" s="22">
        <f t="shared" si="15"/>
        <v>25.717060744490087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14</v>
      </c>
      <c r="DO40" s="12">
        <f>IF('Données projet'!$A$166&gt;35,DO39+DN40-DW39,IF(A40&lt;'Données projet'!$A$166,$DL$205^A40,IF(A40='Données projet'!$A$166,'Données projet'!$B$166,DO39+DN40-DW39)))</f>
        <v>207.99999999999994</v>
      </c>
      <c r="DP40" s="17">
        <f>DO40*VLOOKUP('Données projet'!$B$14,Paramètres!$A$1:$I$89,3,0)*VLOOKUP('Données projet'!$B$14,Paramètres!$A$1:$I$89,5,0)</f>
        <v>113.56799999999997</v>
      </c>
      <c r="DQ40" s="13">
        <f t="shared" si="43"/>
        <v>30.170065062058185</v>
      </c>
      <c r="DR40" s="20">
        <f t="shared" si="16"/>
        <v>250.34379664975128</v>
      </c>
      <c r="DS40" s="59">
        <f t="shared" si="17"/>
        <v>543.67712998308457</v>
      </c>
      <c r="DT40" s="59">
        <f ca="1">AVERAGE(OFFSET($DS$3,0,0,'Données projet'!$E$14+1,1))-AVERAGE(OFFSET($H$3,0,0,'Données projet'!$E$14+1,1))</f>
        <v>164.0740581424559</v>
      </c>
      <c r="DU40" s="59">
        <f t="shared" si="44"/>
        <v>280.99861170359793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5.7505560170906191</v>
      </c>
      <c r="EB40" s="21">
        <f>EXP(-LN(2)/25)*EB39+(1-EXP(-LN(2)/25))/(LN(2)/25)*Calculateur!DW40*Calculateur!DY40*VLOOKUP('Données projet'!$B$14,Paramètres!$A$1:$I$89,3,0)*0.475*44/12</f>
        <v>21.328265187037875</v>
      </c>
      <c r="EC40" s="21">
        <f>EXP(-LN(2)/2)*EC39+(1-EXP(-LN(2)/2))/(LN(2)/2)*DW40*DZ40*VLOOKUP('Données projet'!$B$14,Paramètres!$A$1:$I$89,3,0)*0.475*44/12</f>
        <v>1.3416213842219584</v>
      </c>
      <c r="ED40" s="22">
        <f t="shared" si="18"/>
        <v>28.420442588350454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29.6</v>
      </c>
      <c r="EJ40" s="12">
        <f>IF('Données projet'!$A$192&gt;35,EJ39+EI40-ER39,IF(A40&lt;'Données projet'!$A$192,$EG$205^A40,IF(A40='Données projet'!$A$192,'Données projet'!$B$192,EJ39+EI40-ER39)))</f>
        <v>435.20000000000016</v>
      </c>
      <c r="EK40" s="17">
        <f>EJ40*VLOOKUP('Données projet'!$B$15,Paramètres!$A$1:$I$89,3,0)*VLOOKUP('Données projet'!$B$15,Paramètres!$A$1:$I$89,5,0)</f>
        <v>209.33120000000008</v>
      </c>
      <c r="EL40" s="13">
        <f t="shared" si="45"/>
        <v>51.789408950086234</v>
      </c>
      <c r="EM40" s="20">
        <f t="shared" si="19"/>
        <v>454.78506058806698</v>
      </c>
      <c r="EN40" s="59">
        <f t="shared" si="20"/>
        <v>748.1183939214003</v>
      </c>
      <c r="EO40" s="59">
        <f ca="1">AVERAGE(OFFSET($EN$3,0,0,'Données projet'!$E$15+1,1))-AVERAGE(OFFSET($H$3,0,0,'Données projet'!$E$15+1,1))</f>
        <v>312.1172301514103</v>
      </c>
      <c r="EP40" s="59">
        <f t="shared" si="46"/>
        <v>369.85500533493212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2.3524524203686688</v>
      </c>
      <c r="EW40" s="21">
        <f>EXP(-LN(2)/25)*EW39+(1-EXP(-LN(2)/25))/(LN(2)/25)*Calculateur!ER40*Calculateur!ET40*VLOOKUP('Données projet'!$B$15,Paramètres!$A$1:$I$89,3,0)*0.475*44/12</f>
        <v>12.386418659038775</v>
      </c>
      <c r="EX40" s="21">
        <f>EXP(-LN(2)/2)*EX39+(1-EXP(-LN(2)/2))/(LN(2)/2)*ER40*EU40*VLOOKUP('Données projet'!$B$15,Paramètres!$A$1:$I$89,3,0)*0.475*44/12</f>
        <v>2.7998400073840095</v>
      </c>
      <c r="EY40" s="22">
        <f t="shared" si="21"/>
        <v>17.538711086791452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10</v>
      </c>
      <c r="FE40" s="12">
        <f>IF('Données projet'!$A$218&gt;35,FE39+FD40-FM39,IF(A40&lt;'Données projet'!$A$218,$FB$205^A40,IF(A40='Données projet'!$A$218,'Données projet'!$B$218,FE39+FD40-FM39)))</f>
        <v>174.99999999999983</v>
      </c>
      <c r="FF40" s="17">
        <f>FE40*VLOOKUP('Données projet'!$B$16,Paramètres!$A$1:$I$89,3,0)*VLOOKUP('Données projet'!$B$16,Paramètres!$A$1:$I$89,5,0)</f>
        <v>81.89999999999992</v>
      </c>
      <c r="FG40" s="13">
        <f t="shared" si="47"/>
        <v>22.601107473346321</v>
      </c>
      <c r="FH40" s="20">
        <f t="shared" si="22"/>
        <v>182.00609551607803</v>
      </c>
      <c r="FI40" s="59">
        <f t="shared" si="23"/>
        <v>475.33942884941132</v>
      </c>
      <c r="FJ40" s="59">
        <f ca="1">AVERAGE(OFFSET($FI$3,0,0,'Données projet'!$E$16+1,1))-AVERAGE(OFFSET($H$3,0,0,'Données projet'!$E$16+1,1))</f>
        <v>87.187251664304199</v>
      </c>
      <c r="FK40" s="59">
        <f t="shared" si="48"/>
        <v>148.84938257884147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6.6411608751625115</v>
      </c>
      <c r="FS40" s="21">
        <f>EXP(-LN(2)/2)*FS39+(1-EXP(-LN(2)/2))/(LN(2)/2)*FM40*FP40*VLOOKUP('Données projet'!$B$16,Paramètres!$A$1:$I$89,3,0)*0.475*44/12</f>
        <v>0.5377481006610646</v>
      </c>
      <c r="FT40" s="22">
        <f t="shared" si="24"/>
        <v>7.1789089758235765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17.600000000000001</v>
      </c>
      <c r="FZ40" s="12">
        <f>IF('Données projet'!$A$244&gt;35,FZ39+FY40-GH39,IF(A40&lt;'Données projet'!$A$244,$FW$205^A40,IF(A40='Données projet'!$A$244,'Données projet'!$B$244,FZ39+FY40-GH39)))</f>
        <v>279.2000000000001</v>
      </c>
      <c r="GA40" s="17">
        <f>FZ40*VLOOKUP('Données projet'!$B$17,Paramètres!$A$1:$I$89,3,0)*VLOOKUP('Données projet'!$B$17,Paramètres!$A$1:$I$89,5,0)</f>
        <v>166.96160000000006</v>
      </c>
      <c r="GB40" s="13">
        <f t="shared" si="49"/>
        <v>42.408810446399933</v>
      </c>
      <c r="GC40" s="20">
        <f t="shared" si="25"/>
        <v>364.6534648608133</v>
      </c>
      <c r="GD40" s="59">
        <f t="shared" si="26"/>
        <v>657.98679819414656</v>
      </c>
      <c r="GE40" s="59">
        <f ca="1">AVERAGE(OFFSET($GD$3,0,0,'Données projet'!$E$17+1,1))-AVERAGE(OFFSET($H$3,0,0,'Données projet'!$E$17+1,1))</f>
        <v>282.94722676586207</v>
      </c>
      <c r="GF40" s="59">
        <f t="shared" si="50"/>
        <v>310.63647941571298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8.8268494455633419</v>
      </c>
      <c r="GN40" s="21">
        <f>EXP(-LN(2)/2)*GN39+(1-EXP(-LN(2)/2))/(LN(2)/2)*GH40*GK40*VLOOKUP('Données projet'!$B$17,Paramètres!$A$1:$I$89,3,0)*0.475*44/12</f>
        <v>2.2661210512618126</v>
      </c>
      <c r="GO40" s="21">
        <f t="shared" si="27"/>
        <v>11.092970496825155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14.833333333333334</v>
      </c>
      <c r="GU40" s="12">
        <f>IF('Données projet'!$A$270&gt;35,GU39+GT40-HC39,IF(A40&lt;'Données projet'!$A$270,$GR$205^A40,IF(A40='Données projet'!$A$270,'Données projet'!$B$270,GU39+GT40-HC39)))</f>
        <v>288.49999999999994</v>
      </c>
      <c r="GV40" s="17">
        <f>GU40*VLOOKUP('Données projet'!$B$18,Paramètres!$A$1:$I$89,3,0)*VLOOKUP('Données projet'!$B$18,Paramètres!$A$1:$I$89,5,0)</f>
        <v>172.52299999999997</v>
      </c>
      <c r="GW40" s="13">
        <f t="shared" si="51"/>
        <v>43.654606249530367</v>
      </c>
      <c r="GX40" s="20">
        <f t="shared" si="28"/>
        <v>376.50933088459868</v>
      </c>
      <c r="GY40" s="59">
        <f t="shared" si="29"/>
        <v>669.842664217932</v>
      </c>
      <c r="GZ40" s="59">
        <f ca="1">AVERAGE(OFFSET($GY$3,0,0,'Données projet'!$E$18+1,1))-AVERAGE(OFFSET($H$3,0,0,'Données projet'!$E$18+1,1))</f>
        <v>255.54398581450459</v>
      </c>
      <c r="HA40" s="59">
        <f t="shared" si="52"/>
        <v>276.52622328061204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4.4043209796666156</v>
      </c>
      <c r="HI40" s="21">
        <f>EXP(-LN(2)/2)*HI39+(1-EXP(-LN(2)/2))/(LN(2)/2)*HC40*HF40*VLOOKUP('Données projet'!$B$18,Paramètres!$A$1:$I$89,3,0)*0.475*44/12</f>
        <v>1.3140769898447771</v>
      </c>
      <c r="HJ40" s="22">
        <f t="shared" si="30"/>
        <v>5.7183979695113925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12.4</v>
      </c>
      <c r="N41" s="13">
        <f>IF('Données projet'!$A$36&gt;35,N40+M41-V40,IF(A41&lt;'Données projet'!$A$36,$K$205^A41,IF(A41='Données projet'!$A$36,'Données projet'!$B$36,N40+M41-V40)))</f>
        <v>210.2000000000001</v>
      </c>
      <c r="O41" s="13">
        <f>N41*VLOOKUP('Données projet'!$B$9,Paramètres!$A$1:$I$89,3,0)*VLOOKUP('Données projet'!$B$9,Paramètres!$A$1:$I$89,5,0)</f>
        <v>183.63072000000011</v>
      </c>
      <c r="P41" s="13">
        <f t="shared" si="33"/>
        <v>46.129013251634483</v>
      </c>
      <c r="Q41" s="20">
        <f t="shared" si="53"/>
        <v>400.16486874659694</v>
      </c>
      <c r="R41" s="59">
        <f t="shared" si="0"/>
        <v>693.49820207993025</v>
      </c>
      <c r="S41" s="59">
        <f ca="1">AVERAGE(OFFSET($R$3,0,0,'Données projet'!$E$9+1,1))-AVERAGE(OFFSET($H$3,0,0,'Données projet'!$E$9+1,1))</f>
        <v>248.50221719467663</v>
      </c>
      <c r="T41" s="59">
        <f t="shared" si="34"/>
        <v>366.09064580347183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6.738082818634374</v>
      </c>
      <c r="AA41" s="21">
        <f>EXP(-LN(2)/25)*AA40+(1-EXP(-LN(2)/25))/(LN(2)/25)*Calculateur!V41*Calculateur!X41*VLOOKUP('Données projet'!$B$9,Paramètres!$A$1:$I$89,3,0)*0.475*44/12</f>
        <v>19.28166973317407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26.019752551808445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138.07248000000001</v>
      </c>
      <c r="AK41" s="13">
        <f t="shared" si="35"/>
        <v>35.85508207677799</v>
      </c>
      <c r="AL41" s="20">
        <f t="shared" si="4"/>
        <v>302.9238372837217</v>
      </c>
      <c r="AM41" s="59">
        <f t="shared" si="5"/>
        <v>596.25717061705495</v>
      </c>
      <c r="AN41" s="59">
        <f ca="1">AVERAGE(OFFSET($AM$3,0,0,'Données projet'!$E$10+1,1))-AVERAGE(OFFSET($H$3,0,0,'Données projet'!$E$10+1,1))</f>
        <v>263.22346936777603</v>
      </c>
      <c r="AO41" s="59">
        <f t="shared" si="36"/>
        <v>217.14714468707939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5.8287885707789533</v>
      </c>
      <c r="AW41" s="21">
        <f>EXP(-LN(2)/2)*AW40+(1-EXP(-LN(2)/2))/(LN(2)/2)*AQ41*AT41*VLOOKUP('Données projet'!$B$10,Paramètres!$A$1:$I$89,3,0)*0.475*44/12</f>
        <v>1.1156725278525759</v>
      </c>
      <c r="AX41" s="21">
        <f t="shared" si="6"/>
        <v>6.9444610986315292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11.142857142857142</v>
      </c>
      <c r="BD41" s="12">
        <f>IF('Données projet'!$A$88&gt;35,BD40+BC41-BL40,IF(A41&lt;'Données projet'!$A$88,$BA$205^A41,IF(A41='Données projet'!$A$88,'Données projet'!$B$88,BD40+BC41-BL40)))</f>
        <v>163.14285714285708</v>
      </c>
      <c r="BE41" s="13">
        <f>BD41*VLOOKUP('Données projet'!$B$11,Paramètres!$A$1:$I$89,3,0)*VLOOKUP('Données projet'!$B$11,Paramètres!$A$1:$I$89,5,0)</f>
        <v>127.25142857142853</v>
      </c>
      <c r="BF41" s="13">
        <f t="shared" si="37"/>
        <v>33.360457439554281</v>
      </c>
      <c r="BG41" s="20">
        <f t="shared" si="7"/>
        <v>279.73236813579501</v>
      </c>
      <c r="BH41" s="59">
        <f t="shared" si="8"/>
        <v>573.06570146912827</v>
      </c>
      <c r="BI41" s="59">
        <f ca="1">AVERAGE(OFFSET($BH$3,0,0,'Données projet'!$E$11+1,1))-AVERAGE(OFFSET($H$3,0,0,'Données projet'!$E$11+1,1))</f>
        <v>219.22204054948094</v>
      </c>
      <c r="BJ41" s="59">
        <f t="shared" si="38"/>
        <v>222.41711966122034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2.51181951307173</v>
      </c>
      <c r="BR41" s="21">
        <f>EXP(-LN(2)/2)*BR40+(1-EXP(-LN(2)/2))/(LN(2)/2)*BL41*BO41*VLOOKUP('Données projet'!$B$11,Paramètres!$A$1:$I$89,3,0)*0.475*44/12</f>
        <v>0.2043817147707864</v>
      </c>
      <c r="BS41" s="22">
        <f t="shared" si="9"/>
        <v>2.7162012278425163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9.4</v>
      </c>
      <c r="BY41" s="12">
        <f>IF('Données projet'!$A$114&gt;35,BY40+BX41-CG40,IF(A41&lt;'Données projet'!$A$114,$BV$205^A41,IF(A41='Données projet'!$A$114,'Données projet'!$B$114,BY40+BX41-CG40)))</f>
        <v>110.2</v>
      </c>
      <c r="BZ41" s="13">
        <f>BY41*VLOOKUP('Données projet'!$B$12,Paramètres!$A$1:$I$89,3,0)*VLOOKUP('Données projet'!$B$12,Paramètres!$A$1:$I$89,5,0)</f>
        <v>94.551600000000008</v>
      </c>
      <c r="CA41" s="13">
        <f t="shared" si="39"/>
        <v>25.659789500392876</v>
      </c>
      <c r="CB41" s="20">
        <f t="shared" si="10"/>
        <v>209.36817004651758</v>
      </c>
      <c r="CC41" s="59">
        <f t="shared" si="11"/>
        <v>502.70150337985092</v>
      </c>
      <c r="CD41" s="59">
        <f ca="1">AVERAGE(OFFSET($CC$3,0,0,'Données projet'!$E$12+1,1))-AVERAGE(OFFSET($H$3,0,0,'Données projet'!$E$12+1,1))</f>
        <v>237.27357081252273</v>
      </c>
      <c r="CE41" s="59">
        <f t="shared" si="40"/>
        <v>68.768479693848576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22</v>
      </c>
      <c r="CT41" s="12">
        <f>IF('Données projet'!$A$140&gt;35,CT40+CS41-DB40,IF(A41&lt;'Données projet'!$A$140,$CQ$205^A41,IF(A41='Données projet'!$A$140,'Données projet'!$B$140,CT40+CS41-DB40)))</f>
        <v>610</v>
      </c>
      <c r="CU41" s="17">
        <f>CT41*VLOOKUP('Données projet'!$B$13,Paramètres!$A$1:$I$89,3,0)*VLOOKUP('Données projet'!$B$13,Paramètres!$A$1:$I$89,5,0)</f>
        <v>340.99</v>
      </c>
      <c r="CV41" s="13">
        <f t="shared" si="41"/>
        <v>79.704452064974646</v>
      </c>
      <c r="CW41" s="20">
        <f t="shared" si="13"/>
        <v>732.70950401316429</v>
      </c>
      <c r="CX41" s="59">
        <f t="shared" si="14"/>
        <v>1026.0428373464977</v>
      </c>
      <c r="CY41" s="59">
        <f ca="1">AVERAGE(OFFSET($CX$3,0,0,'Données projet'!$E$13+1,1))-AVERAGE(OFFSET($H$3,0,0,'Données projet'!$E$13+1,1))</f>
        <v>474.03051418249999</v>
      </c>
      <c r="CZ41" s="59">
        <f t="shared" si="42"/>
        <v>649.52271992719091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4.6644538016502075</v>
      </c>
      <c r="DG41" s="21">
        <f>EXP(-LN(2)/25)*DG40+(1-EXP(-LN(2)/25))/(LN(2)/25)*Calculateur!DB41*Calculateur!DD41*VLOOKUP('Données projet'!$B$13,Paramètres!$A$1:$I$89,3,0)*0.475*44/12</f>
        <v>19.380340499281434</v>
      </c>
      <c r="DH41" s="21">
        <f>EXP(-LN(2)/2)*DH40+(1-EXP(-LN(2)/2))/(LN(2)/2)*DB41*DE41*VLOOKUP('Données projet'!$B$13,Paramètres!$A$1:$I$89,3,0)*0.475*44/12</f>
        <v>0.73122925323031907</v>
      </c>
      <c r="DI41" s="22">
        <f t="shared" si="15"/>
        <v>24.776023554161959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14</v>
      </c>
      <c r="DO41" s="12">
        <f>IF('Données projet'!$A$166&gt;35,DO40+DN41-DW40,IF(A41&lt;'Données projet'!$A$166,$DL$205^A41,IF(A41='Données projet'!$A$166,'Données projet'!$B$166,DO40+DN41-DW40)))</f>
        <v>221.99999999999994</v>
      </c>
      <c r="DP41" s="17">
        <f>DO41*VLOOKUP('Données projet'!$B$14,Paramètres!$A$1:$I$89,3,0)*VLOOKUP('Données projet'!$B$14,Paramètres!$A$1:$I$89,5,0)</f>
        <v>121.21199999999996</v>
      </c>
      <c r="DQ41" s="13">
        <f t="shared" si="43"/>
        <v>31.95751284761706</v>
      </c>
      <c r="DR41" s="20">
        <f t="shared" si="16"/>
        <v>266.77023487626633</v>
      </c>
      <c r="DS41" s="59">
        <f t="shared" si="17"/>
        <v>560.10356820959964</v>
      </c>
      <c r="DT41" s="59">
        <f ca="1">AVERAGE(OFFSET($DS$3,0,0,'Données projet'!$E$14+1,1))-AVERAGE(OFFSET($H$3,0,0,'Données projet'!$E$14+1,1))</f>
        <v>164.0740581424559</v>
      </c>
      <c r="DU41" s="59">
        <f t="shared" si="44"/>
        <v>280.99861170359793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5.6377911210883065</v>
      </c>
      <c r="EB41" s="21">
        <f>EXP(-LN(2)/25)*EB40+(1-EXP(-LN(2)/25))/(LN(2)/25)*Calculateur!DW41*Calculateur!DY41*VLOOKUP('Données projet'!$B$14,Paramètres!$A$1:$I$89,3,0)*0.475*44/12</f>
        <v>20.745042653893606</v>
      </c>
      <c r="EC41" s="21">
        <f>EXP(-LN(2)/2)*EC40+(1-EXP(-LN(2)/2))/(LN(2)/2)*DW41*DZ41*VLOOKUP('Données projet'!$B$14,Paramètres!$A$1:$I$89,3,0)*0.475*44/12</f>
        <v>0.94866957856822942</v>
      </c>
      <c r="ED41" s="22">
        <f t="shared" si="18"/>
        <v>27.33150335355014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29.6</v>
      </c>
      <c r="EJ41" s="12">
        <f>IF('Données projet'!$A$192&gt;35,EJ40+EI41-ER40,IF(A41&lt;'Données projet'!$A$192,$EG$205^A41,IF(A41='Données projet'!$A$192,'Données projet'!$B$192,EJ40+EI41-ER40)))</f>
        <v>464.80000000000018</v>
      </c>
      <c r="EK41" s="17">
        <f>EJ41*VLOOKUP('Données projet'!$B$15,Paramètres!$A$1:$I$89,3,0)*VLOOKUP('Données projet'!$B$15,Paramètres!$A$1:$I$89,5,0)</f>
        <v>223.56880000000007</v>
      </c>
      <c r="EL41" s="13">
        <f t="shared" si="45"/>
        <v>54.889818841790316</v>
      </c>
      <c r="EM41" s="20">
        <f t="shared" si="19"/>
        <v>484.98209448278493</v>
      </c>
      <c r="EN41" s="59">
        <f t="shared" si="20"/>
        <v>778.31542781611824</v>
      </c>
      <c r="EO41" s="59">
        <f ca="1">AVERAGE(OFFSET($EN$3,0,0,'Données projet'!$E$15+1,1))-AVERAGE(OFFSET($H$3,0,0,'Données projet'!$E$15+1,1))</f>
        <v>312.1172301514103</v>
      </c>
      <c r="EP41" s="59">
        <f t="shared" si="46"/>
        <v>369.85500533493212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2.3063222632595353</v>
      </c>
      <c r="EW41" s="21">
        <f>EXP(-LN(2)/25)*EW40+(1-EXP(-LN(2)/25))/(LN(2)/25)*Calculateur!ER41*Calculateur!ET41*VLOOKUP('Données projet'!$B$15,Paramètres!$A$1:$I$89,3,0)*0.475*44/12</f>
        <v>12.047711389433912</v>
      </c>
      <c r="EX41" s="21">
        <f>EXP(-LN(2)/2)*EX40+(1-EXP(-LN(2)/2))/(LN(2)/2)*ER41*EU41*VLOOKUP('Données projet'!$B$15,Paramètres!$A$1:$I$89,3,0)*0.475*44/12</f>
        <v>1.9797858554586265</v>
      </c>
      <c r="EY41" s="22">
        <f t="shared" si="21"/>
        <v>16.333819508152075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10</v>
      </c>
      <c r="FE41" s="12">
        <f>IF('Données projet'!$A$218&gt;35,FE40+FD41-FM40,IF(A41&lt;'Données projet'!$A$218,$FB$205^A41,IF(A41='Données projet'!$A$218,'Données projet'!$B$218,FE40+FD41-FM40)))</f>
        <v>184.99999999999983</v>
      </c>
      <c r="FF41" s="17">
        <f>FE41*VLOOKUP('Données projet'!$B$16,Paramètres!$A$1:$I$89,3,0)*VLOOKUP('Données projet'!$B$16,Paramètres!$A$1:$I$89,5,0)</f>
        <v>86.579999999999927</v>
      </c>
      <c r="FG41" s="13">
        <f t="shared" si="47"/>
        <v>23.738552844733956</v>
      </c>
      <c r="FH41" s="20">
        <f t="shared" si="22"/>
        <v>192.13814620457819</v>
      </c>
      <c r="FI41" s="59">
        <f t="shared" si="23"/>
        <v>485.47147953791148</v>
      </c>
      <c r="FJ41" s="59">
        <f ca="1">AVERAGE(OFFSET($FI$3,0,0,'Données projet'!$E$16+1,1))-AVERAGE(OFFSET($H$3,0,0,'Données projet'!$E$16+1,1))</f>
        <v>87.187251664304199</v>
      </c>
      <c r="FK41" s="59">
        <f t="shared" si="48"/>
        <v>148.84938257884147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6.4595579817877207</v>
      </c>
      <c r="FS41" s="21">
        <f>EXP(-LN(2)/2)*FS40+(1-EXP(-LN(2)/2))/(LN(2)/2)*FM41*FP41*VLOOKUP('Données projet'!$B$16,Paramètres!$A$1:$I$89,3,0)*0.475*44/12</f>
        <v>0.38024532854762494</v>
      </c>
      <c r="FT41" s="22">
        <f t="shared" si="24"/>
        <v>6.8398033103353457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17.600000000000001</v>
      </c>
      <c r="FZ41" s="12">
        <f>IF('Données projet'!$A$244&gt;35,FZ40+FY41-GH40,IF(A41&lt;'Données projet'!$A$244,$FW$205^A41,IF(A41='Données projet'!$A$244,'Données projet'!$B$244,FZ40+FY41-GH40)))</f>
        <v>296.80000000000013</v>
      </c>
      <c r="GA41" s="17">
        <f>FZ41*VLOOKUP('Données projet'!$B$17,Paramètres!$A$1:$I$89,3,0)*VLOOKUP('Données projet'!$B$17,Paramètres!$A$1:$I$89,5,0)</f>
        <v>177.48640000000012</v>
      </c>
      <c r="GB41" s="13">
        <f t="shared" si="49"/>
        <v>44.762499594286361</v>
      </c>
      <c r="GC41" s="20">
        <f t="shared" si="25"/>
        <v>387.08350012671559</v>
      </c>
      <c r="GD41" s="59">
        <f t="shared" si="26"/>
        <v>680.41683346004891</v>
      </c>
      <c r="GE41" s="59">
        <f ca="1">AVERAGE(OFFSET($GD$3,0,0,'Données projet'!$E$17+1,1))-AVERAGE(OFFSET($H$3,0,0,'Données projet'!$E$17+1,1))</f>
        <v>282.94722676586207</v>
      </c>
      <c r="GF41" s="59">
        <f t="shared" si="50"/>
        <v>310.63647941571298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8.5854787832905739</v>
      </c>
      <c r="GN41" s="21">
        <f>EXP(-LN(2)/2)*GN40+(1-EXP(-LN(2)/2))/(LN(2)/2)*GH41*GK41*VLOOKUP('Données projet'!$B$17,Paramètres!$A$1:$I$89,3,0)*0.475*44/12</f>
        <v>1.6023895623368156</v>
      </c>
      <c r="GO41" s="21">
        <f t="shared" si="27"/>
        <v>10.18786834562739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14.833333333333334</v>
      </c>
      <c r="GU41" s="12">
        <f>IF('Données projet'!$A$270&gt;35,GU40+GT41-HC40,IF(A41&lt;'Données projet'!$A$270,$GR$205^A41,IF(A41='Données projet'!$A$270,'Données projet'!$B$270,GU40+GT41-HC40)))</f>
        <v>303.33333333333326</v>
      </c>
      <c r="GV41" s="17">
        <f>GU41*VLOOKUP('Données projet'!$B$18,Paramètres!$A$1:$I$89,3,0)*VLOOKUP('Données projet'!$B$18,Paramètres!$A$1:$I$89,5,0)</f>
        <v>181.39333333333329</v>
      </c>
      <c r="GW41" s="13">
        <f t="shared" si="51"/>
        <v>45.632037908846122</v>
      </c>
      <c r="GX41" s="20">
        <f t="shared" si="28"/>
        <v>395.40252158012913</v>
      </c>
      <c r="GY41" s="59">
        <f t="shared" si="29"/>
        <v>688.73585491346239</v>
      </c>
      <c r="GZ41" s="59">
        <f ca="1">AVERAGE(OFFSET($GY$3,0,0,'Données projet'!$E$18+1,1))-AVERAGE(OFFSET($H$3,0,0,'Données projet'!$E$18+1,1))</f>
        <v>255.54398581450459</v>
      </c>
      <c r="HA41" s="59">
        <f t="shared" si="52"/>
        <v>276.52622328061204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4.2838845908644583</v>
      </c>
      <c r="HI41" s="21">
        <f>EXP(-LN(2)/2)*HI40+(1-EXP(-LN(2)/2))/(LN(2)/2)*HC41*HF41*VLOOKUP('Données projet'!$B$18,Paramètres!$A$1:$I$89,3,0)*0.475*44/12</f>
        <v>0.92919275052044792</v>
      </c>
      <c r="HJ41" s="22">
        <f t="shared" si="30"/>
        <v>5.2130773413849063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12.4</v>
      </c>
      <c r="N42" s="13">
        <f>IF('Données projet'!$A$36&gt;35,N41+M42-V41,IF(A42&lt;'Données projet'!$A$36,$K$205^A42,IF(A42='Données projet'!$A$36,'Données projet'!$B$36,N41+M42-V41)))</f>
        <v>222.60000000000011</v>
      </c>
      <c r="O42" s="13">
        <f>N42*VLOOKUP('Données projet'!$B$9,Paramètres!$A$1:$I$89,3,0)*VLOOKUP('Données projet'!$B$9,Paramètres!$A$1:$I$89,5,0)</f>
        <v>194.46336000000014</v>
      </c>
      <c r="P42" s="13">
        <f t="shared" si="33"/>
        <v>48.525400894162686</v>
      </c>
      <c r="Q42" s="20">
        <f t="shared" si="53"/>
        <v>423.20542522400024</v>
      </c>
      <c r="R42" s="59">
        <f t="shared" si="0"/>
        <v>716.53875855733349</v>
      </c>
      <c r="S42" s="59">
        <f ca="1">AVERAGE(OFFSET($R$3,0,0,'Données projet'!$E$9+1,1))-AVERAGE(OFFSET($H$3,0,0,'Données projet'!$E$9+1,1))</f>
        <v>248.50221719467663</v>
      </c>
      <c r="T42" s="59">
        <f t="shared" si="34"/>
        <v>366.09064580347183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6.6059531243856622</v>
      </c>
      <c r="AA42" s="21">
        <f>EXP(-LN(2)/25)*AA41+(1-EXP(-LN(2)/25))/(LN(2)/25)*Calculateur!V42*Calculateur!X42*VLOOKUP('Données projet'!$B$9,Paramètres!$A$1:$I$89,3,0)*0.475*44/12</f>
        <v>18.754411460341483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25.360364584727144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148.20624000000001</v>
      </c>
      <c r="AK42" s="13">
        <f t="shared" si="35"/>
        <v>38.170662245893794</v>
      </c>
      <c r="AL42" s="20">
        <f t="shared" si="4"/>
        <v>324.60643807826506</v>
      </c>
      <c r="AM42" s="59">
        <f t="shared" si="5"/>
        <v>617.93977141159837</v>
      </c>
      <c r="AN42" s="59">
        <f ca="1">AVERAGE(OFFSET($AM$3,0,0,'Données projet'!$E$10+1,1))-AVERAGE(OFFSET($H$3,0,0,'Données projet'!$E$10+1,1))</f>
        <v>263.22346936777603</v>
      </c>
      <c r="AO42" s="59">
        <f t="shared" si="36"/>
        <v>217.14714468707939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5.669400040788334</v>
      </c>
      <c r="AW42" s="21">
        <f>EXP(-LN(2)/2)*AW41+(1-EXP(-LN(2)/2))/(LN(2)/2)*AQ42*AT42*VLOOKUP('Données projet'!$B$10,Paramètres!$A$1:$I$89,3,0)*0.475*44/12</f>
        <v>0.78889961002809372</v>
      </c>
      <c r="AX42" s="21">
        <f t="shared" si="6"/>
        <v>6.4582996508164277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11.142857142857142</v>
      </c>
      <c r="BD42" s="12">
        <f>IF('Données projet'!$A$88&gt;35,BD41+BC42-BL41,IF(A42&lt;'Données projet'!$A$88,$BA$205^A42,IF(A42='Données projet'!$A$88,'Données projet'!$B$88,BD41+BC42-BL41)))</f>
        <v>174.28571428571422</v>
      </c>
      <c r="BE42" s="13">
        <f>BD42*VLOOKUP('Données projet'!$B$11,Paramètres!$A$1:$I$89,3,0)*VLOOKUP('Données projet'!$B$11,Paramètres!$A$1:$I$89,5,0)</f>
        <v>135.94285714285709</v>
      </c>
      <c r="BF42" s="13">
        <f t="shared" si="37"/>
        <v>35.365986273808367</v>
      </c>
      <c r="BG42" s="20">
        <f t="shared" si="7"/>
        <v>298.36290228402567</v>
      </c>
      <c r="BH42" s="59">
        <f t="shared" si="8"/>
        <v>591.69623561735898</v>
      </c>
      <c r="BI42" s="59">
        <f ca="1">AVERAGE(OFFSET($BH$3,0,0,'Données projet'!$E$11+1,1))-AVERAGE(OFFSET($H$3,0,0,'Données projet'!$E$11+1,1))</f>
        <v>219.22204054948094</v>
      </c>
      <c r="BJ42" s="59">
        <f t="shared" si="38"/>
        <v>222.41711966122034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2.4431336763959361</v>
      </c>
      <c r="BR42" s="21">
        <f>EXP(-LN(2)/2)*BR41+(1-EXP(-LN(2)/2))/(LN(2)/2)*BL42*BO42*VLOOKUP('Données projet'!$B$11,Paramètres!$A$1:$I$89,3,0)*0.475*44/12</f>
        <v>0.14451969646495783</v>
      </c>
      <c r="BS42" s="22">
        <f t="shared" si="9"/>
        <v>2.5876533728608941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9.4</v>
      </c>
      <c r="BY42" s="12">
        <f>IF('Données projet'!$A$114&gt;35,BY41+BX42-CG41,IF(A42&lt;'Données projet'!$A$114,$BV$205^A42,IF(A42='Données projet'!$A$114,'Données projet'!$B$114,BY41+BX42-CG41)))</f>
        <v>119.60000000000001</v>
      </c>
      <c r="BZ42" s="13">
        <f>BY42*VLOOKUP('Données projet'!$B$12,Paramètres!$A$1:$I$89,3,0)*VLOOKUP('Données projet'!$B$12,Paramètres!$A$1:$I$89,5,0)</f>
        <v>102.61680000000003</v>
      </c>
      <c r="CA42" s="13">
        <f t="shared" si="39"/>
        <v>27.584473733936797</v>
      </c>
      <c r="CB42" s="20">
        <f t="shared" si="10"/>
        <v>226.76721841993995</v>
      </c>
      <c r="CC42" s="59">
        <f t="shared" si="11"/>
        <v>520.10055175327329</v>
      </c>
      <c r="CD42" s="59">
        <f ca="1">AVERAGE(OFFSET($CC$3,0,0,'Données projet'!$E$12+1,1))-AVERAGE(OFFSET($H$3,0,0,'Données projet'!$E$12+1,1))</f>
        <v>237.27357081252273</v>
      </c>
      <c r="CE42" s="59">
        <f t="shared" si="40"/>
        <v>68.768479693848576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22</v>
      </c>
      <c r="CT42" s="12">
        <f>IF('Données projet'!$A$140&gt;35,CT41+CS42-DB41,IF(A42&lt;'Données projet'!$A$140,$CQ$205^A42,IF(A42='Données projet'!$A$140,'Données projet'!$B$140,CT41+CS42-DB41)))</f>
        <v>632</v>
      </c>
      <c r="CU42" s="17">
        <f>CT42*VLOOKUP('Données projet'!$B$13,Paramètres!$A$1:$I$89,3,0)*VLOOKUP('Données projet'!$B$13,Paramètres!$A$1:$I$89,5,0)</f>
        <v>353.28800000000001</v>
      </c>
      <c r="CV42" s="13">
        <f t="shared" si="41"/>
        <v>82.239175707062913</v>
      </c>
      <c r="CW42" s="20">
        <f t="shared" si="13"/>
        <v>758.54316435646797</v>
      </c>
      <c r="CX42" s="59">
        <f t="shared" si="14"/>
        <v>1051.8764976898012</v>
      </c>
      <c r="CY42" s="59">
        <f ca="1">AVERAGE(OFFSET($CX$3,0,0,'Données projet'!$E$13+1,1))-AVERAGE(OFFSET($H$3,0,0,'Données projet'!$E$13+1,1))</f>
        <v>474.03051418249999</v>
      </c>
      <c r="CZ42" s="59">
        <f t="shared" si="42"/>
        <v>649.52271992719091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4.5729867076357422</v>
      </c>
      <c r="DG42" s="21">
        <f>EXP(-LN(2)/25)*DG41+(1-EXP(-LN(2)/25))/(LN(2)/25)*Calculateur!DB42*Calculateur!DD42*VLOOKUP('Données projet'!$B$13,Paramètres!$A$1:$I$89,3,0)*0.475*44/12</f>
        <v>18.850384069160771</v>
      </c>
      <c r="DH42" s="21">
        <f>EXP(-LN(2)/2)*DH41+(1-EXP(-LN(2)/2))/(LN(2)/2)*DB42*DE42*VLOOKUP('Données projet'!$B$13,Paramètres!$A$1:$I$89,3,0)*0.475*44/12</f>
        <v>0.51705716356113385</v>
      </c>
      <c r="DI42" s="22">
        <f t="shared" si="15"/>
        <v>23.940427940357647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14</v>
      </c>
      <c r="DO42" s="12">
        <f>IF('Données projet'!$A$166&gt;35,DO41+DN42-DW41,IF(A42&lt;'Données projet'!$A$166,$DL$205^A42,IF(A42='Données projet'!$A$166,'Données projet'!$B$166,DO41+DN42-DW41)))</f>
        <v>235.99999999999994</v>
      </c>
      <c r="DP42" s="17">
        <f>DO42*VLOOKUP('Données projet'!$B$14,Paramètres!$A$1:$I$89,3,0)*VLOOKUP('Données projet'!$B$14,Paramètres!$A$1:$I$89,5,0)</f>
        <v>128.85599999999997</v>
      </c>
      <c r="DQ42" s="13">
        <f t="shared" si="43"/>
        <v>33.731878688740906</v>
      </c>
      <c r="DR42" s="20">
        <f t="shared" si="16"/>
        <v>283.1738887162237</v>
      </c>
      <c r="DS42" s="59">
        <f t="shared" si="17"/>
        <v>576.50722204955696</v>
      </c>
      <c r="DT42" s="59">
        <f ca="1">AVERAGE(OFFSET($DS$3,0,0,'Données projet'!$E$14+1,1))-AVERAGE(OFFSET($H$3,0,0,'Données projet'!$E$14+1,1))</f>
        <v>164.0740581424559</v>
      </c>
      <c r="DU42" s="59">
        <f t="shared" si="44"/>
        <v>280.99861170359793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5.5272374759168041</v>
      </c>
      <c r="EB42" s="21">
        <f>EXP(-LN(2)/25)*EB41+(1-EXP(-LN(2)/25))/(LN(2)/25)*Calculateur!DW42*Calculateur!DY42*VLOOKUP('Données projet'!$B$14,Paramètres!$A$1:$I$89,3,0)*0.475*44/12</f>
        <v>20.177768371588506</v>
      </c>
      <c r="EC42" s="21">
        <f>EXP(-LN(2)/2)*EC41+(1-EXP(-LN(2)/2))/(LN(2)/2)*DW42*DZ42*VLOOKUP('Données projet'!$B$14,Paramètres!$A$1:$I$89,3,0)*0.475*44/12</f>
        <v>0.67081069211097932</v>
      </c>
      <c r="ED42" s="22">
        <f t="shared" si="18"/>
        <v>26.375816539616292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29.6</v>
      </c>
      <c r="EJ42" s="12">
        <f>IF('Données projet'!$A$192&gt;35,EJ41+EI42-ER41,IF(A42&lt;'Données projet'!$A$192,$EG$205^A42,IF(A42='Données projet'!$A$192,'Données projet'!$B$192,EJ41+EI42-ER41)))</f>
        <v>494.4000000000002</v>
      </c>
      <c r="EK42" s="17">
        <f>EJ42*VLOOKUP('Données projet'!$B$15,Paramètres!$A$1:$I$89,3,0)*VLOOKUP('Données projet'!$B$15,Paramètres!$A$1:$I$89,5,0)</f>
        <v>237.80640000000011</v>
      </c>
      <c r="EL42" s="13">
        <f t="shared" si="45"/>
        <v>57.967314838085144</v>
      </c>
      <c r="EM42" s="20">
        <f t="shared" si="19"/>
        <v>515.13922000966511</v>
      </c>
      <c r="EN42" s="59">
        <f t="shared" si="20"/>
        <v>808.47255334299848</v>
      </c>
      <c r="EO42" s="59">
        <f ca="1">AVERAGE(OFFSET($EN$3,0,0,'Données projet'!$E$15+1,1))-AVERAGE(OFFSET($H$3,0,0,'Données projet'!$E$15+1,1))</f>
        <v>312.1172301514103</v>
      </c>
      <c r="EP42" s="59">
        <f t="shared" si="46"/>
        <v>369.85500533493212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2.2610966903946945</v>
      </c>
      <c r="EW42" s="21">
        <f>EXP(-LN(2)/25)*EW41+(1-EXP(-LN(2)/25))/(LN(2)/25)*Calculateur!ER42*Calculateur!ET42*VLOOKUP('Données projet'!$B$15,Paramètres!$A$1:$I$89,3,0)*0.475*44/12</f>
        <v>11.718266087928235</v>
      </c>
      <c r="EX42" s="21">
        <f>EXP(-LN(2)/2)*EX41+(1-EXP(-LN(2)/2))/(LN(2)/2)*ER42*EU42*VLOOKUP('Données projet'!$B$15,Paramètres!$A$1:$I$89,3,0)*0.475*44/12</f>
        <v>1.399920003692005</v>
      </c>
      <c r="EY42" s="22">
        <f t="shared" si="21"/>
        <v>15.379282782014934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10</v>
      </c>
      <c r="FE42" s="12">
        <f>IF('Données projet'!$A$218&gt;35,FE41+FD42-FM41,IF(A42&lt;'Données projet'!$A$218,$FB$205^A42,IF(A42='Données projet'!$A$218,'Données projet'!$B$218,FE41+FD42-FM41)))</f>
        <v>194.99999999999983</v>
      </c>
      <c r="FF42" s="17">
        <f>FE42*VLOOKUP('Données projet'!$B$16,Paramètres!$A$1:$I$89,3,0)*VLOOKUP('Données projet'!$B$16,Paramètres!$A$1:$I$89,5,0)</f>
        <v>91.25999999999992</v>
      </c>
      <c r="FG42" s="13">
        <f t="shared" si="47"/>
        <v>24.868860330902756</v>
      </c>
      <c r="FH42" s="20">
        <f t="shared" si="22"/>
        <v>202.25776507632216</v>
      </c>
      <c r="FI42" s="59">
        <f t="shared" si="23"/>
        <v>495.5910984096555</v>
      </c>
      <c r="FJ42" s="59">
        <f ca="1">AVERAGE(OFFSET($FI$3,0,0,'Données projet'!$E$16+1,1))-AVERAGE(OFFSET($H$3,0,0,'Données projet'!$E$16+1,1))</f>
        <v>87.187251664304199</v>
      </c>
      <c r="FK42" s="59">
        <f t="shared" si="48"/>
        <v>148.84938257884147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6.2829210290823445</v>
      </c>
      <c r="FS42" s="21">
        <f>EXP(-LN(2)/2)*FS41+(1-EXP(-LN(2)/2))/(LN(2)/2)*FM42*FP42*VLOOKUP('Données projet'!$B$16,Paramètres!$A$1:$I$89,3,0)*0.475*44/12</f>
        <v>0.2688740503305323</v>
      </c>
      <c r="FT42" s="22">
        <f t="shared" si="24"/>
        <v>6.5517950794128765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17.600000000000001</v>
      </c>
      <c r="FZ42" s="12">
        <f>IF('Données projet'!$A$244&gt;35,FZ41+FY42-GH41,IF(A42&lt;'Données projet'!$A$244,$FW$205^A42,IF(A42='Données projet'!$A$244,'Données projet'!$B$244,FZ41+FY42-GH41)))</f>
        <v>314.40000000000015</v>
      </c>
      <c r="GA42" s="17">
        <f>FZ42*VLOOKUP('Données projet'!$B$17,Paramètres!$A$1:$I$89,3,0)*VLOOKUP('Données projet'!$B$17,Paramètres!$A$1:$I$89,5,0)</f>
        <v>188.01120000000012</v>
      </c>
      <c r="GB42" s="13">
        <f t="shared" si="49"/>
        <v>47.099988496591031</v>
      </c>
      <c r="GC42" s="20">
        <f t="shared" si="25"/>
        <v>409.48531996489623</v>
      </c>
      <c r="GD42" s="59">
        <f t="shared" si="26"/>
        <v>702.81865329822949</v>
      </c>
      <c r="GE42" s="59">
        <f ca="1">AVERAGE(OFFSET($GD$3,0,0,'Données projet'!$E$17+1,1))-AVERAGE(OFFSET($H$3,0,0,'Données projet'!$E$17+1,1))</f>
        <v>282.94722676586207</v>
      </c>
      <c r="GF42" s="59">
        <f t="shared" si="50"/>
        <v>310.63647941571298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8.3507084144707857</v>
      </c>
      <c r="GN42" s="21">
        <f>EXP(-LN(2)/2)*GN41+(1-EXP(-LN(2)/2))/(LN(2)/2)*GH42*GK42*VLOOKUP('Données projet'!$B$17,Paramètres!$A$1:$I$89,3,0)*0.475*44/12</f>
        <v>1.1330605256309063</v>
      </c>
      <c r="GO42" s="21">
        <f t="shared" si="27"/>
        <v>9.483768940101692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14.833333333333334</v>
      </c>
      <c r="GU42" s="12">
        <f>IF('Données projet'!$A$270&gt;35,GU41+GT42-HC41,IF(A42&lt;'Données projet'!$A$270,$GR$205^A42,IF(A42='Données projet'!$A$270,'Données projet'!$B$270,GU41+GT42-HC41)))</f>
        <v>318.16666666666657</v>
      </c>
      <c r="GV42" s="17">
        <f>GU42*VLOOKUP('Données projet'!$B$18,Paramètres!$A$1:$I$89,3,0)*VLOOKUP('Données projet'!$B$18,Paramètres!$A$1:$I$89,5,0)</f>
        <v>190.26366666666661</v>
      </c>
      <c r="GW42" s="13">
        <f t="shared" si="51"/>
        <v>47.598241102015862</v>
      </c>
      <c r="GX42" s="20">
        <f t="shared" si="28"/>
        <v>414.27615603045524</v>
      </c>
      <c r="GY42" s="59">
        <f t="shared" si="29"/>
        <v>707.6094893637885</v>
      </c>
      <c r="GZ42" s="59">
        <f ca="1">AVERAGE(OFFSET($GY$3,0,0,'Données projet'!$E$18+1,1))-AVERAGE(OFFSET($H$3,0,0,'Données projet'!$E$18+1,1))</f>
        <v>255.54398581450459</v>
      </c>
      <c r="HA42" s="59">
        <f t="shared" si="52"/>
        <v>276.52622328061204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4.1667415414475704</v>
      </c>
      <c r="HI42" s="21">
        <f>EXP(-LN(2)/2)*HI41+(1-EXP(-LN(2)/2))/(LN(2)/2)*HC42*HF42*VLOOKUP('Données projet'!$B$18,Paramètres!$A$1:$I$89,3,0)*0.475*44/12</f>
        <v>0.65703849492238864</v>
      </c>
      <c r="HJ42" s="22">
        <f t="shared" si="30"/>
        <v>4.8237800363699588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235</v>
      </c>
      <c r="L43" s="12">
        <f>VLOOKUP(A43,'Données projet'!$A$35:$I$55,9,0)</f>
        <v>12.4</v>
      </c>
      <c r="M43" s="12">
        <f t="array" ref="M43">INDEX(L:L,MIN(IF(ISNUMBER(L43:L239),ROW(L43:L239),"")))</f>
        <v>12.4</v>
      </c>
      <c r="N43" s="13">
        <f>IF('Données projet'!$A$36&gt;35,N42+M43-V42,IF(A43&lt;'Données projet'!$A$36,$K$205^A43,IF(A43='Données projet'!$A$36,'Données projet'!$B$36,N42+M43-V42)))</f>
        <v>235.00000000000011</v>
      </c>
      <c r="O43" s="13">
        <f>N43*VLOOKUP('Données projet'!$B$9,Paramètres!$A$1:$I$89,3,0)*VLOOKUP('Données projet'!$B$9,Paramètres!$A$1:$I$89,5,0)</f>
        <v>205.29600000000013</v>
      </c>
      <c r="P43" s="13">
        <f t="shared" si="33"/>
        <v>50.906291934375396</v>
      </c>
      <c r="Q43" s="20">
        <f t="shared" si="53"/>
        <v>446.21899178570402</v>
      </c>
      <c r="R43" s="59">
        <f t="shared" si="0"/>
        <v>739.55232511903728</v>
      </c>
      <c r="S43" s="59">
        <f ca="1">AVERAGE(OFFSET($R$3,0,0,'Données projet'!$E$9+1,1))-AVERAGE(OFFSET($H$3,0,0,'Données projet'!$E$9+1,1))</f>
        <v>248.50221719467663</v>
      </c>
      <c r="T43" s="59">
        <f t="shared" si="34"/>
        <v>366.09064580347183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45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6.4764144128500112</v>
      </c>
      <c r="AA43" s="21">
        <f>EXP(-LN(2)/25)*AA42+(1-EXP(-LN(2)/25))/(LN(2)/25)*Calculateur!V43*Calculateur!X43*VLOOKUP('Données projet'!$B$9,Paramètres!$A$1:$I$89,3,0)*0.475*44/12</f>
        <v>18.24157109270681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24.717985505556822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158.34</v>
      </c>
      <c r="AK43" s="13">
        <f t="shared" si="35"/>
        <v>40.467870812652819</v>
      </c>
      <c r="AL43" s="20">
        <f t="shared" si="4"/>
        <v>346.25704166537031</v>
      </c>
      <c r="AM43" s="59">
        <f t="shared" si="5"/>
        <v>639.59037499870362</v>
      </c>
      <c r="AN43" s="59">
        <f ca="1">AVERAGE(OFFSET($AM$3,0,0,'Données projet'!$E$10+1,1))-AVERAGE(OFFSET($H$3,0,0,'Données projet'!$E$10+1,1))</f>
        <v>263.22346936777603</v>
      </c>
      <c r="AO43" s="59">
        <f t="shared" si="36"/>
        <v>217.14714468707939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5.5143699985321861</v>
      </c>
      <c r="AW43" s="21">
        <f>EXP(-LN(2)/2)*AW42+(1-EXP(-LN(2)/2))/(LN(2)/2)*AQ43*AT43*VLOOKUP('Données projet'!$B$10,Paramètres!$A$1:$I$89,3,0)*0.475*44/12</f>
        <v>0.55783626392628793</v>
      </c>
      <c r="AX43" s="21">
        <f t="shared" si="6"/>
        <v>6.0722062624584741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11.142857142857142</v>
      </c>
      <c r="BD43" s="12">
        <f>IF('Données projet'!$A$88&gt;35,BD42+BC43-BL42,IF(A43&lt;'Données projet'!$A$88,$BA$205^A43,IF(A43='Données projet'!$A$88,'Données projet'!$B$88,BD42+BC43-BL42)))</f>
        <v>185.42857142857136</v>
      </c>
      <c r="BE43" s="13">
        <f>BD43*VLOOKUP('Données projet'!$B$11,Paramètres!$A$1:$I$89,3,0)*VLOOKUP('Données projet'!$B$11,Paramètres!$A$1:$I$89,5,0)</f>
        <v>144.63428571428565</v>
      </c>
      <c r="BF43" s="13">
        <f t="shared" si="37"/>
        <v>37.356634728420524</v>
      </c>
      <c r="BG43" s="20">
        <f t="shared" si="7"/>
        <v>316.96751977104657</v>
      </c>
      <c r="BH43" s="59">
        <f t="shared" si="8"/>
        <v>610.30085310437994</v>
      </c>
      <c r="BI43" s="59">
        <f ca="1">AVERAGE(OFFSET($BH$3,0,0,'Données projet'!$E$11+1,1))-AVERAGE(OFFSET($H$3,0,0,'Données projet'!$E$11+1,1))</f>
        <v>219.22204054948094</v>
      </c>
      <c r="BJ43" s="59">
        <f t="shared" si="38"/>
        <v>222.41711966122034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2.376326057536073</v>
      </c>
      <c r="BR43" s="21">
        <f>EXP(-LN(2)/2)*BR42+(1-EXP(-LN(2)/2))/(LN(2)/2)*BL43*BO43*VLOOKUP('Données projet'!$B$11,Paramètres!$A$1:$I$89,3,0)*0.475*44/12</f>
        <v>0.1021908573853932</v>
      </c>
      <c r="BS43" s="22">
        <f t="shared" si="9"/>
        <v>2.4785169149214661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129</v>
      </c>
      <c r="BW43" s="12">
        <f>VLOOKUP(A43,'Données projet'!$A$113:$I$133,9,0)</f>
        <v>9.4</v>
      </c>
      <c r="BX43" s="12">
        <f t="array" ref="BX43">INDEX(BW:BW,MIN(IF(ISNUMBER(BW43:BW239),ROW(BW43:BW239),"")))</f>
        <v>9.4</v>
      </c>
      <c r="BY43" s="12">
        <f>IF('Données projet'!$A$114&gt;35,BY42+BX43-CG42,IF(A43&lt;'Données projet'!$A$114,$BV$205^A43,IF(A43='Données projet'!$A$114,'Données projet'!$B$114,BY42+BX43-CG42)))</f>
        <v>129</v>
      </c>
      <c r="BZ43" s="13">
        <f>BY43*VLOOKUP('Données projet'!$B$12,Paramètres!$A$1:$I$89,3,0)*VLOOKUP('Données projet'!$B$12,Paramètres!$A$1:$I$89,5,0)</f>
        <v>110.682</v>
      </c>
      <c r="CA43" s="13">
        <f t="shared" si="39"/>
        <v>29.49161124389969</v>
      </c>
      <c r="CB43" s="20">
        <f t="shared" si="10"/>
        <v>244.13570624979195</v>
      </c>
      <c r="CC43" s="59">
        <f t="shared" si="11"/>
        <v>537.46903958312532</v>
      </c>
      <c r="CD43" s="59">
        <f ca="1">AVERAGE(OFFSET($CC$3,0,0,'Données projet'!$E$12+1,1))-AVERAGE(OFFSET($H$3,0,0,'Données projet'!$E$12+1,1))</f>
        <v>237.27357081252273</v>
      </c>
      <c r="CE43" s="59">
        <f t="shared" si="40"/>
        <v>68.768479693848576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10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654</v>
      </c>
      <c r="CR43" s="12">
        <f>VLOOKUP(A43,'Données projet'!$A$139:$I$159,9,0)</f>
        <v>22</v>
      </c>
      <c r="CS43" s="12">
        <f t="array" ref="CS43">INDEX(CR:CR,MIN(IF(ISNUMBER(CR43:CR239),ROW(CR43:CR239),"")))</f>
        <v>22</v>
      </c>
      <c r="CT43" s="12">
        <f>IF('Données projet'!$A$140&gt;35,CT42+CS43-DB42,IF(A43&lt;'Données projet'!$A$140,$CQ$205^A43,IF(A43='Données projet'!$A$140,'Données projet'!$B$140,CT42+CS43-DB42)))</f>
        <v>654</v>
      </c>
      <c r="CU43" s="17">
        <f>CT43*VLOOKUP('Données projet'!$B$13,Paramètres!$A$1:$I$89,3,0)*VLOOKUP('Données projet'!$B$13,Paramètres!$A$1:$I$89,5,0)</f>
        <v>365.58599999999996</v>
      </c>
      <c r="CV43" s="13">
        <f t="shared" si="41"/>
        <v>84.763647497813551</v>
      </c>
      <c r="CW43" s="20">
        <f t="shared" si="13"/>
        <v>784.35896939202519</v>
      </c>
      <c r="CX43" s="59">
        <f t="shared" si="14"/>
        <v>1077.6923027253586</v>
      </c>
      <c r="CY43" s="59">
        <f ca="1">AVERAGE(OFFSET($CX$3,0,0,'Données projet'!$E$13+1,1))-AVERAGE(OFFSET($H$3,0,0,'Données projet'!$E$13+1,1))</f>
        <v>474.03051418249999</v>
      </c>
      <c r="CZ43" s="59">
        <f t="shared" si="42"/>
        <v>649.52271992719091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79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4.4833132275454819</v>
      </c>
      <c r="DG43" s="21">
        <f>EXP(-LN(2)/25)*DG42+(1-EXP(-LN(2)/25))/(LN(2)/25)*Calculateur!DB43*Calculateur!DD43*VLOOKUP('Données projet'!$B$13,Paramètres!$A$1:$I$89,3,0)*0.475*44/12</f>
        <v>18.334919325490954</v>
      </c>
      <c r="DH43" s="21">
        <f>EXP(-LN(2)/2)*DH42+(1-EXP(-LN(2)/2))/(LN(2)/2)*DB43*DE43*VLOOKUP('Données projet'!$B$13,Paramètres!$A$1:$I$89,3,0)*0.475*44/12</f>
        <v>0.36561462661515959</v>
      </c>
      <c r="DI43" s="22">
        <f t="shared" si="15"/>
        <v>23.183847179651597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14</v>
      </c>
      <c r="DO43" s="12">
        <f>IF('Données projet'!$A$166&gt;35,DO42+DN43-DW42,IF(A43&lt;'Données projet'!$A$166,$DL$205^A43,IF(A43='Données projet'!$A$166,'Données projet'!$B$166,DO42+DN43-DW42)))</f>
        <v>249.99999999999994</v>
      </c>
      <c r="DP43" s="17">
        <f>DO43*VLOOKUP('Données projet'!$B$14,Paramètres!$A$1:$I$89,3,0)*VLOOKUP('Données projet'!$B$14,Paramètres!$A$1:$I$89,5,0)</f>
        <v>136.49999999999997</v>
      </c>
      <c r="DQ43" s="13">
        <f t="shared" si="43"/>
        <v>35.494027024087352</v>
      </c>
      <c r="DR43" s="20">
        <f t="shared" si="16"/>
        <v>299.55626373361878</v>
      </c>
      <c r="DS43" s="59">
        <f t="shared" si="17"/>
        <v>592.88959706695209</v>
      </c>
      <c r="DT43" s="59">
        <f ca="1">AVERAGE(OFFSET($DS$3,0,0,'Données projet'!$E$14+1,1))-AVERAGE(OFFSET($H$3,0,0,'Données projet'!$E$14+1,1))</f>
        <v>164.0740581424559</v>
      </c>
      <c r="DU43" s="59">
        <f t="shared" si="44"/>
        <v>280.99861170359793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5.4188517202960496</v>
      </c>
      <c r="EB43" s="21">
        <f>EXP(-LN(2)/25)*EB42+(1-EXP(-LN(2)/25))/(LN(2)/25)*Calculateur!DW43*Calculateur!DY43*VLOOKUP('Données projet'!$B$14,Paramètres!$A$1:$I$89,3,0)*0.475*44/12</f>
        <v>19.626006234364695</v>
      </c>
      <c r="EC43" s="21">
        <f>EXP(-LN(2)/2)*EC42+(1-EXP(-LN(2)/2))/(LN(2)/2)*DW43*DZ43*VLOOKUP('Données projet'!$B$14,Paramètres!$A$1:$I$89,3,0)*0.475*44/12</f>
        <v>0.47433478928411477</v>
      </c>
      <c r="ED43" s="22">
        <f t="shared" si="18"/>
        <v>25.51919274394486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524</v>
      </c>
      <c r="EH43" s="12">
        <f>VLOOKUP(A43,'Données projet'!$A$191:$I$211,9,0)</f>
        <v>29.6</v>
      </c>
      <c r="EI43" s="12">
        <f t="array" ref="EI43">INDEX(EH:EH,MIN(IF(ISNUMBER(EH43:EH239),ROW(EH43:EH239),"")))</f>
        <v>29.6</v>
      </c>
      <c r="EJ43" s="12">
        <f>IF('Données projet'!$A$192&gt;35,EJ42+EI43-ER42,IF(A43&lt;'Données projet'!$A$192,$EG$205^A43,IF(A43='Données projet'!$A$192,'Données projet'!$B$192,EJ42+EI43-ER42)))</f>
        <v>524.00000000000023</v>
      </c>
      <c r="EK43" s="17">
        <f>EJ43*VLOOKUP('Données projet'!$B$15,Paramètres!$A$1:$I$89,3,0)*VLOOKUP('Données projet'!$B$15,Paramètres!$A$1:$I$89,5,0)</f>
        <v>252.04400000000012</v>
      </c>
      <c r="EL43" s="13">
        <f t="shared" si="45"/>
        <v>61.023425047084345</v>
      </c>
      <c r="EM43" s="20">
        <f t="shared" si="19"/>
        <v>545.25909862367212</v>
      </c>
      <c r="EN43" s="59">
        <f t="shared" si="20"/>
        <v>838.59243195700537</v>
      </c>
      <c r="EO43" s="59">
        <f ca="1">AVERAGE(OFFSET($EN$3,0,0,'Données projet'!$E$15+1,1))-AVERAGE(OFFSET($H$3,0,0,'Données projet'!$E$15+1,1))</f>
        <v>312.1172301514103</v>
      </c>
      <c r="EP43" s="59">
        <f t="shared" si="46"/>
        <v>369.85500533493212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77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2.2167579634288574</v>
      </c>
      <c r="EW43" s="21">
        <f>EXP(-LN(2)/25)*EW42+(1-EXP(-LN(2)/25))/(LN(2)/25)*Calculateur!ER43*Calculateur!ET43*VLOOKUP('Données projet'!$B$15,Paramètres!$A$1:$I$89,3,0)*0.475*44/12</f>
        <v>11.397829485517006</v>
      </c>
      <c r="EX43" s="21">
        <f>EXP(-LN(2)/2)*EX42+(1-EXP(-LN(2)/2))/(LN(2)/2)*ER43*EU43*VLOOKUP('Données projet'!$B$15,Paramètres!$A$1:$I$89,3,0)*0.475*44/12</f>
        <v>0.98989292772931348</v>
      </c>
      <c r="EY43" s="22">
        <f t="shared" si="21"/>
        <v>14.604480376675177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205</v>
      </c>
      <c r="FC43" s="12">
        <f>VLOOKUP(A43,'Données projet'!$A$217:$I$237,9,0)</f>
        <v>10</v>
      </c>
      <c r="FD43" s="12">
        <f t="array" ref="FD43">INDEX(FC:FC,MIN(IF(ISNUMBER(FC43:FC239),ROW(FC43:FC239),"")))</f>
        <v>10</v>
      </c>
      <c r="FE43" s="12">
        <f>IF('Données projet'!$A$218&gt;35,FE42+FD43-FM42,IF(A43&lt;'Données projet'!$A$218,$FB$205^A43,IF(A43='Données projet'!$A$218,'Données projet'!$B$218,FE42+FD43-FM42)))</f>
        <v>204.99999999999983</v>
      </c>
      <c r="FF43" s="17">
        <f>FE43*VLOOKUP('Données projet'!$B$16,Paramètres!$A$1:$I$89,3,0)*VLOOKUP('Données projet'!$B$16,Paramètres!$A$1:$I$89,5,0)</f>
        <v>95.939999999999927</v>
      </c>
      <c r="FG43" s="13">
        <f t="shared" si="47"/>
        <v>25.992437734025167</v>
      </c>
      <c r="FH43" s="20">
        <f t="shared" si="22"/>
        <v>212.36566238676036</v>
      </c>
      <c r="FI43" s="59">
        <f t="shared" si="23"/>
        <v>505.69899572009365</v>
      </c>
      <c r="FJ43" s="59">
        <f ca="1">AVERAGE(OFFSET($FI$3,0,0,'Données projet'!$E$16+1,1))-AVERAGE(OFFSET($H$3,0,0,'Données projet'!$E$16+1,1))</f>
        <v>87.187251664304199</v>
      </c>
      <c r="FK43" s="59">
        <f t="shared" si="48"/>
        <v>148.84938257884147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205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6.1111142231376308</v>
      </c>
      <c r="FS43" s="21">
        <f>EXP(-LN(2)/2)*FS42+(1-EXP(-LN(2)/2))/(LN(2)/2)*FM43*FP43*VLOOKUP('Données projet'!$B$16,Paramètres!$A$1:$I$89,3,0)*0.475*44/12</f>
        <v>0.19012266427381247</v>
      </c>
      <c r="FT43" s="22">
        <f t="shared" si="24"/>
        <v>6.3012368874114433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332</v>
      </c>
      <c r="FX43" s="12">
        <f>VLOOKUP(A43,'Données projet'!$A$243:$I$263,9,0)</f>
        <v>17.600000000000001</v>
      </c>
      <c r="FY43" s="12">
        <f t="array" ref="FY43">INDEX(FX:FX,MIN(IF(ISNUMBER(FX43:FX239),ROW(FX43:FX239),"")))</f>
        <v>17.600000000000001</v>
      </c>
      <c r="FZ43" s="12">
        <f>IF('Données projet'!$A$244&gt;35,FZ42+FY43-GH42,IF(A43&lt;'Données projet'!$A$244,$FW$205^A43,IF(A43='Données projet'!$A$244,'Données projet'!$B$244,FZ42+FY43-GH42)))</f>
        <v>332.00000000000017</v>
      </c>
      <c r="GA43" s="17">
        <f>FZ43*VLOOKUP('Données projet'!$B$17,Paramètres!$A$1:$I$89,3,0)*VLOOKUP('Données projet'!$B$17,Paramètres!$A$1:$I$89,5,0)</f>
        <v>198.53600000000012</v>
      </c>
      <c r="GB43" s="13">
        <f t="shared" si="49"/>
        <v>49.42228739122875</v>
      </c>
      <c r="GC43" s="20">
        <f t="shared" si="25"/>
        <v>431.86068387305687</v>
      </c>
      <c r="GD43" s="59">
        <f t="shared" si="26"/>
        <v>725.19401720639019</v>
      </c>
      <c r="GE43" s="59">
        <f ca="1">AVERAGE(OFFSET($GD$3,0,0,'Données projet'!$E$17+1,1))-AVERAGE(OFFSET($H$3,0,0,'Données projet'!$E$17+1,1))</f>
        <v>282.94722676586207</v>
      </c>
      <c r="GF43" s="59">
        <f t="shared" si="50"/>
        <v>310.63647941571298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48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8.1223578537324119</v>
      </c>
      <c r="GN43" s="21">
        <f>EXP(-LN(2)/2)*GN42+(1-EXP(-LN(2)/2))/(LN(2)/2)*GH43*GK43*VLOOKUP('Données projet'!$B$17,Paramètres!$A$1:$I$89,3,0)*0.475*44/12</f>
        <v>0.80119478116840781</v>
      </c>
      <c r="GO43" s="21">
        <f t="shared" si="27"/>
        <v>8.923552634900819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333</v>
      </c>
      <c r="GS43" s="12">
        <f>VLOOKUP(A43,'Données projet'!$A$269:$I$289,9,0)</f>
        <v>14.833333333333334</v>
      </c>
      <c r="GT43" s="12">
        <f t="array" ref="GT43">INDEX(GS:GS,MIN(IF(ISNUMBER(GS43:GS239),ROW(GS43:GS239),"")))</f>
        <v>14.833333333333334</v>
      </c>
      <c r="GU43" s="12">
        <f>IF('Données projet'!$A$270&gt;35,GU42+GT43-HC42,IF(A43&lt;'Données projet'!$A$270,$GR$205^A43,IF(A43='Données projet'!$A$270,'Données projet'!$B$270,GU42+GT43-HC42)))</f>
        <v>332.99999999999989</v>
      </c>
      <c r="GV43" s="17">
        <f>GU43*VLOOKUP('Données projet'!$B$18,Paramètres!$A$1:$I$89,3,0)*VLOOKUP('Données projet'!$B$18,Paramètres!$A$1:$I$89,5,0)</f>
        <v>199.13399999999993</v>
      </c>
      <c r="GW43" s="13">
        <f t="shared" si="51"/>
        <v>49.553799097205186</v>
      </c>
      <c r="GX43" s="20">
        <f t="shared" si="28"/>
        <v>433.13125009429888</v>
      </c>
      <c r="GY43" s="59">
        <f t="shared" si="29"/>
        <v>726.46458342763219</v>
      </c>
      <c r="GZ43" s="59">
        <f ca="1">AVERAGE(OFFSET($GY$3,0,0,'Données projet'!$E$18+1,1))-AVERAGE(OFFSET($H$3,0,0,'Données projet'!$E$18+1,1))</f>
        <v>255.54398581450459</v>
      </c>
      <c r="HA43" s="59">
        <f t="shared" si="52"/>
        <v>276.52622328061204</v>
      </c>
      <c r="HB43" s="15">
        <f>IF(ISNA(VLOOKUP(A43,'Données projet'!$A$269:$I$289,3,0)),0,VLOOKUP(A43,'Données projet'!$A$269:$I$289,3,0))</f>
        <v>7</v>
      </c>
      <c r="HC43" s="15">
        <f>IF(ISNA(VLOOKUP(A43,'Données projet'!$A$269:$I$289,4,0)),0,VLOOKUP(A43,'Données projet'!$A$269:$I$289,4,0))</f>
        <v>34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4.0528017748772722</v>
      </c>
      <c r="HI43" s="21">
        <f>EXP(-LN(2)/2)*HI42+(1-EXP(-LN(2)/2))/(LN(2)/2)*HC43*HF43*VLOOKUP('Données projet'!$B$18,Paramètres!$A$1:$I$89,3,0)*0.475*44/12</f>
        <v>0.46459637526022401</v>
      </c>
      <c r="HJ43" s="22">
        <f t="shared" si="30"/>
        <v>4.5173981501374962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</v>
      </c>
      <c r="N44" s="13">
        <f>IF('Données projet'!$A$36&gt;35,N43+M44-V43,IF(A44&lt;'Données projet'!$A$36,$K$205^A44,IF(A44='Données projet'!$A$36,'Données projet'!$B$36,N43+M44-V43)))</f>
        <v>201.00000000000011</v>
      </c>
      <c r="O44" s="13">
        <f>N44*VLOOKUP('Données projet'!$B$9,Paramètres!$A$1:$I$89,3,0)*VLOOKUP('Données projet'!$B$9,Paramètres!$A$1:$I$89,5,0)</f>
        <v>175.59360000000012</v>
      </c>
      <c r="P44" s="13">
        <f t="shared" si="33"/>
        <v>44.340433728638573</v>
      </c>
      <c r="Q44" s="20">
        <f t="shared" si="53"/>
        <v>383.05177541071242</v>
      </c>
      <c r="R44" s="59">
        <f t="shared" si="0"/>
        <v>676.38510874404574</v>
      </c>
      <c r="S44" s="59">
        <f ca="1">AVERAGE(OFFSET($R$3,0,0,'Données projet'!$E$9+1,1))-AVERAGE(OFFSET($H$3,0,0,'Données projet'!$E$9+1,1))</f>
        <v>248.50221719467663</v>
      </c>
      <c r="T44" s="59">
        <f t="shared" si="34"/>
        <v>366.09064580347183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6.3494158764367619</v>
      </c>
      <c r="AA44" s="21">
        <f>EXP(-LN(2)/25)*AA43+(1-EXP(-LN(2)/25))/(LN(2)/25)*Calculateur!V44*Calculateur!X44*VLOOKUP('Données projet'!$B$9,Paramètres!$A$1:$I$89,3,0)*0.475*44/12</f>
        <v>17.742754371894211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24.092170248330973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143.32032000000001</v>
      </c>
      <c r="AK44" s="13">
        <f t="shared" si="35"/>
        <v>37.056603420232349</v>
      </c>
      <c r="AL44" s="20">
        <f t="shared" si="4"/>
        <v>314.15647495690467</v>
      </c>
      <c r="AM44" s="59">
        <f t="shared" si="5"/>
        <v>607.48980829023799</v>
      </c>
      <c r="AN44" s="59">
        <f ca="1">AVERAGE(OFFSET($AM$3,0,0,'Données projet'!$E$10+1,1))-AVERAGE(OFFSET($H$3,0,0,'Données projet'!$E$10+1,1))</f>
        <v>263.22346936777603</v>
      </c>
      <c r="AO44" s="59">
        <f t="shared" si="36"/>
        <v>217.14714468707939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5.3635792609342081</v>
      </c>
      <c r="AW44" s="21">
        <f>EXP(-LN(2)/2)*AW43+(1-EXP(-LN(2)/2))/(LN(2)/2)*AQ44*AT44*VLOOKUP('Données projet'!$B$10,Paramètres!$A$1:$I$89,3,0)*0.475*44/12</f>
        <v>0.39444980501404686</v>
      </c>
      <c r="AX44" s="21">
        <f t="shared" si="6"/>
        <v>5.7580290659482554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11.142857142857142</v>
      </c>
      <c r="BD44" s="12">
        <f>IF('Données projet'!$A$88&gt;35,BD43+BC44-BL43,IF(A44&lt;'Données projet'!$A$88,$BA$205^A44,IF(A44='Données projet'!$A$88,'Données projet'!$B$88,BD43+BC44-BL43)))</f>
        <v>196.5714285714285</v>
      </c>
      <c r="BE44" s="13">
        <f>BD44*VLOOKUP('Données projet'!$B$11,Paramètres!$A$1:$I$89,3,0)*VLOOKUP('Données projet'!$B$11,Paramètres!$A$1:$I$89,5,0)</f>
        <v>153.32571428571424</v>
      </c>
      <c r="BF44" s="13">
        <f t="shared" si="37"/>
        <v>39.333398837614155</v>
      </c>
      <c r="BG44" s="20">
        <f t="shared" si="7"/>
        <v>335.5479553564636</v>
      </c>
      <c r="BH44" s="59">
        <f t="shared" si="8"/>
        <v>628.88128868979697</v>
      </c>
      <c r="BI44" s="59">
        <f ca="1">AVERAGE(OFFSET($BH$3,0,0,'Données projet'!$E$11+1,1))-AVERAGE(OFFSET($H$3,0,0,'Données projet'!$E$11+1,1))</f>
        <v>219.22204054948094</v>
      </c>
      <c r="BJ44" s="59">
        <f t="shared" si="38"/>
        <v>222.41711966122034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2.3113452965271928</v>
      </c>
      <c r="BR44" s="21">
        <f>EXP(-LN(2)/2)*BR43+(1-EXP(-LN(2)/2))/(LN(2)/2)*BL44*BO44*VLOOKUP('Données projet'!$B$11,Paramètres!$A$1:$I$89,3,0)*0.475*44/12</f>
        <v>7.2259848232478913E-2</v>
      </c>
      <c r="BS44" s="22">
        <f t="shared" si="9"/>
        <v>2.3836051447596716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11.2</v>
      </c>
      <c r="BY44" s="12">
        <f>IF('Données projet'!$A$114&gt;35,BY43+BX44-CG43,IF(A44&lt;'Données projet'!$A$114,$BV$205^A44,IF(A44='Données projet'!$A$114,'Données projet'!$B$114,BY43+BX44-CG43)))</f>
        <v>130.19999999999999</v>
      </c>
      <c r="BZ44" s="13">
        <f>BY44*VLOOKUP('Données projet'!$B$12,Paramètres!$A$1:$I$89,3,0)*VLOOKUP('Données projet'!$B$12,Paramètres!$A$1:$I$89,5,0)</f>
        <v>111.7116</v>
      </c>
      <c r="CA44" s="13">
        <f t="shared" si="39"/>
        <v>29.733887785181285</v>
      </c>
      <c r="CB44" s="20">
        <f t="shared" si="10"/>
        <v>246.3508912258574</v>
      </c>
      <c r="CC44" s="59">
        <f t="shared" si="11"/>
        <v>539.68422455919074</v>
      </c>
      <c r="CD44" s="59">
        <f ca="1">AVERAGE(OFFSET($CC$3,0,0,'Données projet'!$E$12+1,1))-AVERAGE(OFFSET($H$3,0,0,'Données projet'!$E$12+1,1))</f>
        <v>237.27357081252273</v>
      </c>
      <c r="CE44" s="59">
        <f t="shared" si="40"/>
        <v>68.768479693848576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20.399999999999999</v>
      </c>
      <c r="CT44" s="12">
        <f>IF('Données projet'!$A$140&gt;35,CT43+CS44-DB43,IF(A44&lt;'Données projet'!$A$140,$CQ$205^A44,IF(A44='Données projet'!$A$140,'Données projet'!$B$140,CT43+CS44-DB43)))</f>
        <v>595.4</v>
      </c>
      <c r="CU44" s="17">
        <f>CT44*VLOOKUP('Données projet'!$B$13,Paramètres!$A$1:$I$89,3,0)*VLOOKUP('Données projet'!$B$13,Paramètres!$A$1:$I$89,5,0)</f>
        <v>332.82859999999999</v>
      </c>
      <c r="CV44" s="13">
        <f t="shared" si="41"/>
        <v>78.016456494733006</v>
      </c>
      <c r="CW44" s="20">
        <f t="shared" si="13"/>
        <v>715.55514006165993</v>
      </c>
      <c r="CX44" s="59">
        <f t="shared" si="14"/>
        <v>1008.8884733949933</v>
      </c>
      <c r="CY44" s="59">
        <f ca="1">AVERAGE(OFFSET($CX$3,0,0,'Données projet'!$E$13+1,1))-AVERAGE(OFFSET($H$3,0,0,'Données projet'!$E$13+1,1))</f>
        <v>474.03051418249999</v>
      </c>
      <c r="CZ44" s="59">
        <f t="shared" si="42"/>
        <v>649.52271992719091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4.3953981897043697</v>
      </c>
      <c r="DG44" s="21">
        <f>EXP(-LN(2)/25)*DG43+(1-EXP(-LN(2)/25))/(LN(2)/25)*Calculateur!DB44*Calculateur!DD44*VLOOKUP('Données projet'!$B$13,Paramètres!$A$1:$I$89,3,0)*0.475*44/12</f>
        <v>17.833549992343901</v>
      </c>
      <c r="DH44" s="21">
        <f>EXP(-LN(2)/2)*DH43+(1-EXP(-LN(2)/2))/(LN(2)/2)*DB44*DE44*VLOOKUP('Données projet'!$B$13,Paramètres!$A$1:$I$89,3,0)*0.475*44/12</f>
        <v>0.25852858178056692</v>
      </c>
      <c r="DI44" s="22">
        <f t="shared" si="15"/>
        <v>22.487476763828838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14</v>
      </c>
      <c r="DO44" s="12">
        <f>IF('Données projet'!$A$166&gt;35,DO43+DN44-DW43,IF(A44&lt;'Données projet'!$A$166,$DL$205^A44,IF(A44='Données projet'!$A$166,'Données projet'!$B$166,DO43+DN44-DW43)))</f>
        <v>263.99999999999994</v>
      </c>
      <c r="DP44" s="17">
        <f>DO44*VLOOKUP('Données projet'!$B$14,Paramètres!$A$1:$I$89,3,0)*VLOOKUP('Données projet'!$B$14,Paramètres!$A$1:$I$89,5,0)</f>
        <v>144.14399999999995</v>
      </c>
      <c r="DQ44" s="13">
        <f t="shared" si="43"/>
        <v>37.244720006976216</v>
      </c>
      <c r="DR44" s="20">
        <f t="shared" si="16"/>
        <v>315.91868734548348</v>
      </c>
      <c r="DS44" s="59">
        <f t="shared" si="17"/>
        <v>609.25202067881673</v>
      </c>
      <c r="DT44" s="59">
        <f ca="1">AVERAGE(OFFSET($DS$3,0,0,'Données projet'!$E$14+1,1))-AVERAGE(OFFSET($H$3,0,0,'Données projet'!$E$14+1,1))</f>
        <v>164.0740581424559</v>
      </c>
      <c r="DU44" s="59">
        <f t="shared" si="44"/>
        <v>280.99861170359793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5.3125913432342351</v>
      </c>
      <c r="EB44" s="21">
        <f>EXP(-LN(2)/25)*EB43+(1-EXP(-LN(2)/25))/(LN(2)/25)*Calculateur!DW44*Calculateur!DY44*VLOOKUP('Données projet'!$B$14,Paramètres!$A$1:$I$89,3,0)*0.475*44/12</f>
        <v>19.08933206179918</v>
      </c>
      <c r="EC44" s="21">
        <f>EXP(-LN(2)/2)*EC43+(1-EXP(-LN(2)/2))/(LN(2)/2)*DW44*DZ44*VLOOKUP('Données projet'!$B$14,Paramètres!$A$1:$I$89,3,0)*0.475*44/12</f>
        <v>0.33540534605548972</v>
      </c>
      <c r="ED44" s="22">
        <f t="shared" si="18"/>
        <v>24.737328751088903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28.2</v>
      </c>
      <c r="EJ44" s="12">
        <f>IF('Données projet'!$A$192&gt;35,EJ43+EI44-ER43,IF(A44&lt;'Données projet'!$A$192,$EG$205^A44,IF(A44='Données projet'!$A$192,'Données projet'!$B$192,EJ43+EI44-ER43)))</f>
        <v>475.20000000000027</v>
      </c>
      <c r="EK44" s="17">
        <f>EJ44*VLOOKUP('Données projet'!$B$15,Paramètres!$A$1:$I$89,3,0)*VLOOKUP('Données projet'!$B$15,Paramètres!$A$1:$I$89,5,0)</f>
        <v>228.57120000000015</v>
      </c>
      <c r="EL44" s="13">
        <f t="shared" si="45"/>
        <v>55.973629609935699</v>
      </c>
      <c r="EM44" s="20">
        <f t="shared" si="19"/>
        <v>495.58224490397157</v>
      </c>
      <c r="EN44" s="59">
        <f t="shared" si="20"/>
        <v>788.91557823730489</v>
      </c>
      <c r="EO44" s="59">
        <f ca="1">AVERAGE(OFFSET($EN$3,0,0,'Données projet'!$E$15+1,1))-AVERAGE(OFFSET($H$3,0,0,'Données projet'!$E$15+1,1))</f>
        <v>312.1172301514103</v>
      </c>
      <c r="EP44" s="59">
        <f t="shared" si="46"/>
        <v>369.85500533493212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2.1732886918548675</v>
      </c>
      <c r="EW44" s="21">
        <f>EXP(-LN(2)/25)*EW43+(1-EXP(-LN(2)/25))/(LN(2)/25)*Calculateur!ER44*Calculateur!ET44*VLOOKUP('Données projet'!$B$15,Paramètres!$A$1:$I$89,3,0)*0.475*44/12</f>
        <v>11.086155238849742</v>
      </c>
      <c r="EX44" s="21">
        <f>EXP(-LN(2)/2)*EX43+(1-EXP(-LN(2)/2))/(LN(2)/2)*ER44*EU44*VLOOKUP('Données projet'!$B$15,Paramètres!$A$1:$I$89,3,0)*0.475*44/12</f>
        <v>0.6999600018460026</v>
      </c>
      <c r="EY44" s="22">
        <f t="shared" si="21"/>
        <v>13.959403932550613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-1.7053025658242404E-13</v>
      </c>
      <c r="FF44" s="17">
        <f>FE44*VLOOKUP('Données projet'!$B$16,Paramètres!$A$1:$I$89,3,0)*VLOOKUP('Données projet'!$B$16,Paramètres!$A$1:$I$89,5,0)</f>
        <v>-7.9808160080574461E-14</v>
      </c>
      <c r="FG44" s="13" t="e">
        <f t="shared" si="47"/>
        <v>#NUM!</v>
      </c>
      <c r="FH44" s="20" t="e">
        <f t="shared" si="22"/>
        <v>#NUM!</v>
      </c>
      <c r="FI44" s="59" t="e">
        <f t="shared" si="23"/>
        <v>#NUM!</v>
      </c>
      <c r="FJ44" s="59">
        <f ca="1">AVERAGE(OFFSET($FI$3,0,0,'Données projet'!$E$16+1,1))-AVERAGE(OFFSET($H$3,0,0,'Données projet'!$E$16+1,1))</f>
        <v>87.187251664304199</v>
      </c>
      <c r="FK44" s="59">
        <f t="shared" si="48"/>
        <v>148.84938257884147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5.9440054833364027</v>
      </c>
      <c r="FS44" s="21">
        <f>EXP(-LN(2)/2)*FS43+(1-EXP(-LN(2)/2))/(LN(2)/2)*FM44*FP44*VLOOKUP('Données projet'!$B$16,Paramètres!$A$1:$I$89,3,0)*0.475*44/12</f>
        <v>0.13443702516526615</v>
      </c>
      <c r="FT44" s="22">
        <f t="shared" si="24"/>
        <v>6.0784425085016691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20</v>
      </c>
      <c r="FZ44" s="12">
        <f>IF('Données projet'!$A$244&gt;35,FZ43+FY44-GH43,IF(A44&lt;'Données projet'!$A$244,$FW$205^A44,IF(A44='Données projet'!$A$244,'Données projet'!$B$244,FZ43+FY44-GH43)))</f>
        <v>304.00000000000017</v>
      </c>
      <c r="GA44" s="17">
        <f>FZ44*VLOOKUP('Données projet'!$B$17,Paramètres!$A$1:$I$89,3,0)*VLOOKUP('Données projet'!$B$17,Paramètres!$A$1:$I$89,5,0)</f>
        <v>181.79200000000012</v>
      </c>
      <c r="GB44" s="13">
        <f t="shared" si="49"/>
        <v>45.720642997712574</v>
      </c>
      <c r="GC44" s="20">
        <f t="shared" si="25"/>
        <v>396.25118655434966</v>
      </c>
      <c r="GD44" s="59">
        <f t="shared" si="26"/>
        <v>689.58451988768297</v>
      </c>
      <c r="GE44" s="59">
        <f ca="1">AVERAGE(OFFSET($GD$3,0,0,'Données projet'!$E$17+1,1))-AVERAGE(OFFSET($H$3,0,0,'Données projet'!$E$17+1,1))</f>
        <v>282.94722676586207</v>
      </c>
      <c r="GF44" s="59">
        <f t="shared" si="50"/>
        <v>310.63647941571298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7.9002515510858631</v>
      </c>
      <c r="GN44" s="21">
        <f>EXP(-LN(2)/2)*GN43+(1-EXP(-LN(2)/2))/(LN(2)/2)*GH44*GK44*VLOOKUP('Données projet'!$B$17,Paramètres!$A$1:$I$89,3,0)*0.475*44/12</f>
        <v>0.56653026281545316</v>
      </c>
      <c r="GO44" s="21">
        <f t="shared" si="27"/>
        <v>8.4667818139013171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</v>
      </c>
      <c r="GU44" s="12">
        <f>IF('Données projet'!$A$270&gt;35,GU43+GT44-HC43,IF(A44&lt;'Données projet'!$A$270,$GR$205^A44,IF(A44='Données projet'!$A$270,'Données projet'!$B$270,GU43+GT44-HC43)))</f>
        <v>309.99999999999989</v>
      </c>
      <c r="GV44" s="17">
        <f>GU44*VLOOKUP('Données projet'!$B$18,Paramètres!$A$1:$I$89,3,0)*VLOOKUP('Données projet'!$B$18,Paramètres!$A$1:$I$89,5,0)</f>
        <v>185.37999999999997</v>
      </c>
      <c r="GW44" s="13">
        <f t="shared" si="51"/>
        <v>46.517077709312211</v>
      </c>
      <c r="GX44" s="20">
        <f t="shared" si="28"/>
        <v>403.88741034371873</v>
      </c>
      <c r="GY44" s="59">
        <f t="shared" si="29"/>
        <v>697.22074367705204</v>
      </c>
      <c r="GZ44" s="59">
        <f ca="1">AVERAGE(OFFSET($GY$3,0,0,'Données projet'!$E$18+1,1))-AVERAGE(OFFSET($H$3,0,0,'Données projet'!$E$18+1,1))</f>
        <v>255.54398581450459</v>
      </c>
      <c r="HA44" s="59">
        <f t="shared" si="52"/>
        <v>276.52622328061204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3.9419776972156706</v>
      </c>
      <c r="HI44" s="21">
        <f>EXP(-LN(2)/2)*HI43+(1-EXP(-LN(2)/2))/(LN(2)/2)*HC44*HF44*VLOOKUP('Données projet'!$B$18,Paramètres!$A$1:$I$89,3,0)*0.475*44/12</f>
        <v>0.32851924746119437</v>
      </c>
      <c r="HJ44" s="22">
        <f t="shared" si="30"/>
        <v>4.2704969446768652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</v>
      </c>
      <c r="N45" s="13">
        <f>IF('Données projet'!$A$36&gt;35,N44+M45-V44,IF(A45&lt;'Données projet'!$A$36,$K$205^A45,IF(A45='Données projet'!$A$36,'Données projet'!$B$36,N44+M45-V44)))</f>
        <v>212.00000000000011</v>
      </c>
      <c r="O45" s="13">
        <f>N45*VLOOKUP('Données projet'!$B$9,Paramètres!$A$1:$I$89,3,0)*VLOOKUP('Données projet'!$B$9,Paramètres!$A$1:$I$89,5,0)</f>
        <v>185.20320000000012</v>
      </c>
      <c r="P45" s="13">
        <f t="shared" si="33"/>
        <v>46.477875402099386</v>
      </c>
      <c r="Q45" s="20">
        <f t="shared" si="53"/>
        <v>403.51120632532326</v>
      </c>
      <c r="R45" s="59">
        <f t="shared" si="0"/>
        <v>696.84453965865657</v>
      </c>
      <c r="S45" s="59">
        <f ca="1">AVERAGE(OFFSET($R$3,0,0,'Données projet'!$E$9+1,1))-AVERAGE(OFFSET($H$3,0,0,'Données projet'!$E$9+1,1))</f>
        <v>248.50221719467663</v>
      </c>
      <c r="T45" s="59">
        <f t="shared" si="34"/>
        <v>366.09064580347183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6.2249077038611178</v>
      </c>
      <c r="AA45" s="21">
        <f>EXP(-LN(2)/25)*AA44+(1-EXP(-LN(2)/25))/(LN(2)/25)*Calculateur!V45*Calculateur!X45*VLOOKUP('Données projet'!$B$9,Paramètres!$A$1:$I$89,3,0)*0.475*44/12</f>
        <v>17.257577820543862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23.482485524404979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153.63504</v>
      </c>
      <c r="AK45" s="13">
        <f t="shared" si="35"/>
        <v>39.403506785222667</v>
      </c>
      <c r="AL45" s="20">
        <f t="shared" si="4"/>
        <v>336.20880231759617</v>
      </c>
      <c r="AM45" s="59">
        <f t="shared" si="5"/>
        <v>629.54213565092948</v>
      </c>
      <c r="AN45" s="59">
        <f ca="1">AVERAGE(OFFSET($AM$3,0,0,'Données projet'!$E$10+1,1))-AVERAGE(OFFSET($H$3,0,0,'Données projet'!$E$10+1,1))</f>
        <v>263.22346936777603</v>
      </c>
      <c r="AO45" s="59">
        <f t="shared" si="36"/>
        <v>217.14714468707939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5.2169119039855874</v>
      </c>
      <c r="AW45" s="21">
        <f>EXP(-LN(2)/2)*AW44+(1-EXP(-LN(2)/2))/(LN(2)/2)*AQ45*AT45*VLOOKUP('Données projet'!$B$10,Paramètres!$A$1:$I$89,3,0)*0.475*44/12</f>
        <v>0.27891813196314397</v>
      </c>
      <c r="AX45" s="21">
        <f t="shared" si="6"/>
        <v>5.4958300359487318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11.142857142857142</v>
      </c>
      <c r="BD45" s="12">
        <f>IF('Données projet'!$A$88&gt;35,BD44+BC45-BL44,IF(A45&lt;'Données projet'!$A$88,$BA$205^A45,IF(A45='Données projet'!$A$88,'Données projet'!$B$88,BD44+BC45-BL44)))</f>
        <v>207.71428571428564</v>
      </c>
      <c r="BE45" s="13">
        <f>BD45*VLOOKUP('Données projet'!$B$11,Paramètres!$A$1:$I$89,3,0)*VLOOKUP('Données projet'!$B$11,Paramètres!$A$1:$I$89,5,0)</f>
        <v>162.0171428571428</v>
      </c>
      <c r="BF45" s="13">
        <f t="shared" si="37"/>
        <v>41.29715533509664</v>
      </c>
      <c r="BG45" s="20">
        <f t="shared" si="7"/>
        <v>354.10573601815037</v>
      </c>
      <c r="BH45" s="59">
        <f t="shared" si="8"/>
        <v>647.43906935148368</v>
      </c>
      <c r="BI45" s="59">
        <f ca="1">AVERAGE(OFFSET($BH$3,0,0,'Données projet'!$E$11+1,1))-AVERAGE(OFFSET($H$3,0,0,'Données projet'!$E$11+1,1))</f>
        <v>219.22204054948094</v>
      </c>
      <c r="BJ45" s="59">
        <f t="shared" si="38"/>
        <v>222.41711966122034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2.2481414378452902</v>
      </c>
      <c r="BR45" s="21">
        <f>EXP(-LN(2)/2)*BR44+(1-EXP(-LN(2)/2))/(LN(2)/2)*BL45*BO45*VLOOKUP('Données projet'!$B$11,Paramètres!$A$1:$I$89,3,0)*0.475*44/12</f>
        <v>5.10954286926966E-2</v>
      </c>
      <c r="BS45" s="22">
        <f t="shared" si="9"/>
        <v>2.2992368665379868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11.2</v>
      </c>
      <c r="BY45" s="12">
        <f>IF('Données projet'!$A$114&gt;35,BY44+BX45-CG44,IF(A45&lt;'Données projet'!$A$114,$BV$205^A45,IF(A45='Données projet'!$A$114,'Données projet'!$B$114,BY44+BX45-CG44)))</f>
        <v>141.39999999999998</v>
      </c>
      <c r="BZ45" s="13">
        <f>BY45*VLOOKUP('Données projet'!$B$12,Paramètres!$A$1:$I$89,3,0)*VLOOKUP('Données projet'!$B$12,Paramètres!$A$1:$I$89,5,0)</f>
        <v>121.3212</v>
      </c>
      <c r="CA45" s="13">
        <f t="shared" si="39"/>
        <v>31.982950846066768</v>
      </c>
      <c r="CB45" s="20">
        <f t="shared" si="10"/>
        <v>267.00472939023297</v>
      </c>
      <c r="CC45" s="59">
        <f t="shared" si="11"/>
        <v>560.33806272356628</v>
      </c>
      <c r="CD45" s="59">
        <f ca="1">AVERAGE(OFFSET($CC$3,0,0,'Données projet'!$E$12+1,1))-AVERAGE(OFFSET($H$3,0,0,'Données projet'!$E$12+1,1))</f>
        <v>237.27357081252273</v>
      </c>
      <c r="CE45" s="59">
        <f t="shared" si="40"/>
        <v>68.768479693848576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20.399999999999999</v>
      </c>
      <c r="CT45" s="12">
        <f>IF('Données projet'!$A$140&gt;35,CT44+CS45-DB44,IF(A45&lt;'Données projet'!$A$140,$CQ$205^A45,IF(A45='Données projet'!$A$140,'Données projet'!$B$140,CT44+CS45-DB44)))</f>
        <v>615.79999999999995</v>
      </c>
      <c r="CU45" s="17">
        <f>CT45*VLOOKUP('Données projet'!$B$13,Paramètres!$A$1:$I$89,3,0)*VLOOKUP('Données projet'!$B$13,Paramètres!$A$1:$I$89,5,0)</f>
        <v>344.23219999999998</v>
      </c>
      <c r="CV45" s="13">
        <f t="shared" si="41"/>
        <v>80.373715191199906</v>
      </c>
      <c r="CW45" s="20">
        <f t="shared" si="13"/>
        <v>739.52196895800637</v>
      </c>
      <c r="CX45" s="59">
        <f t="shared" si="14"/>
        <v>1032.8553022913397</v>
      </c>
      <c r="CY45" s="59">
        <f ca="1">AVERAGE(OFFSET($CX$3,0,0,'Données projet'!$E$13+1,1))-AVERAGE(OFFSET($H$3,0,0,'Données projet'!$E$13+1,1))</f>
        <v>474.03051418249999</v>
      </c>
      <c r="CZ45" s="59">
        <f t="shared" si="42"/>
        <v>649.52271992719091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4.3092071121324427</v>
      </c>
      <c r="DG45" s="21">
        <f>EXP(-LN(2)/25)*DG44+(1-EXP(-LN(2)/25))/(LN(2)/25)*Calculateur!DB45*Calculateur!DD45*VLOOKUP('Données projet'!$B$13,Paramètres!$A$1:$I$89,3,0)*0.475*44/12</f>
        <v>17.345890629977621</v>
      </c>
      <c r="DH45" s="21">
        <f>EXP(-LN(2)/2)*DH44+(1-EXP(-LN(2)/2))/(LN(2)/2)*DB45*DE45*VLOOKUP('Données projet'!$B$13,Paramètres!$A$1:$I$89,3,0)*0.475*44/12</f>
        <v>0.18280731330757979</v>
      </c>
      <c r="DI45" s="22">
        <f t="shared" si="15"/>
        <v>21.837905055417647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278</v>
      </c>
      <c r="DM45" s="12">
        <f>VLOOKUP(A45,'Données projet'!$A$165:$I$185,9,0)</f>
        <v>14</v>
      </c>
      <c r="DN45" s="12">
        <f t="array" ref="DN45">INDEX(DM:DM,MIN(IF(ISNUMBER(DM45:DM241),ROW(DM45:DM241),"")))</f>
        <v>14</v>
      </c>
      <c r="DO45" s="12">
        <f>IF('Données projet'!$A$166&gt;35,DO44+DN45-DW44,IF(A45&lt;'Données projet'!$A$166,$DL$205^A45,IF(A45='Données projet'!$A$166,'Données projet'!$B$166,DO44+DN45-DW44)))</f>
        <v>277.99999999999994</v>
      </c>
      <c r="DP45" s="17">
        <f>DO45*VLOOKUP('Données projet'!$B$14,Paramètres!$A$1:$I$89,3,0)*VLOOKUP('Données projet'!$B$14,Paramètres!$A$1:$I$89,5,0)</f>
        <v>151.78799999999998</v>
      </c>
      <c r="DQ45" s="13">
        <f t="shared" si="43"/>
        <v>38.984634390835623</v>
      </c>
      <c r="DR45" s="20">
        <f t="shared" si="16"/>
        <v>332.26233823070532</v>
      </c>
      <c r="DS45" s="59">
        <f t="shared" si="17"/>
        <v>625.59567156403864</v>
      </c>
      <c r="DT45" s="59">
        <f ca="1">AVERAGE(OFFSET($DS$3,0,0,'Données projet'!$E$14+1,1))-AVERAGE(OFFSET($H$3,0,0,'Données projet'!$E$14+1,1))</f>
        <v>164.0740581424559</v>
      </c>
      <c r="DU45" s="59">
        <f t="shared" si="44"/>
        <v>280.99861170359793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278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5.2084146673541722</v>
      </c>
      <c r="EB45" s="21">
        <f>EXP(-LN(2)/25)*EB44+(1-EXP(-LN(2)/25))/(LN(2)/25)*Calculateur!DW45*Calculateur!DY45*VLOOKUP('Données projet'!$B$14,Paramètres!$A$1:$I$89,3,0)*0.475*44/12</f>
        <v>18.567333272704936</v>
      </c>
      <c r="EC45" s="21">
        <f>EXP(-LN(2)/2)*EC44+(1-EXP(-LN(2)/2))/(LN(2)/2)*DW45*DZ45*VLOOKUP('Données projet'!$B$14,Paramètres!$A$1:$I$89,3,0)*0.475*44/12</f>
        <v>0.23716739464205744</v>
      </c>
      <c r="ED45" s="22">
        <f t="shared" si="18"/>
        <v>24.012915334701166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28.2</v>
      </c>
      <c r="EJ45" s="12">
        <f>IF('Données projet'!$A$192&gt;35,EJ44+EI45-ER44,IF(A45&lt;'Données projet'!$A$192,$EG$205^A45,IF(A45='Données projet'!$A$192,'Données projet'!$B$192,EJ44+EI45-ER44)))</f>
        <v>503.40000000000026</v>
      </c>
      <c r="EK45" s="17">
        <f>EJ45*VLOOKUP('Données projet'!$B$15,Paramètres!$A$1:$I$89,3,0)*VLOOKUP('Données projet'!$B$15,Paramètres!$A$1:$I$89,5,0)</f>
        <v>242.13540000000012</v>
      </c>
      <c r="EL45" s="13">
        <f t="shared" si="45"/>
        <v>58.89873506387687</v>
      </c>
      <c r="EM45" s="20">
        <f t="shared" si="19"/>
        <v>524.30111856958581</v>
      </c>
      <c r="EN45" s="59">
        <f t="shared" si="20"/>
        <v>817.63445190291918</v>
      </c>
      <c r="EO45" s="59">
        <f ca="1">AVERAGE(OFFSET($EN$3,0,0,'Données projet'!$E$15+1,1))-AVERAGE(OFFSET($H$3,0,0,'Données projet'!$E$15+1,1))</f>
        <v>312.1172301514103</v>
      </c>
      <c r="EP45" s="59">
        <f t="shared" si="46"/>
        <v>369.85500533493212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2.1306718261828057</v>
      </c>
      <c r="EW45" s="21">
        <f>EXP(-LN(2)/25)*EW44+(1-EXP(-LN(2)/25))/(LN(2)/25)*Calculateur!ER45*Calculateur!ET45*VLOOKUP('Données projet'!$B$15,Paramètres!$A$1:$I$89,3,0)*0.475*44/12</f>
        <v>10.783003740847828</v>
      </c>
      <c r="EX45" s="21">
        <f>EXP(-LN(2)/2)*EX44+(1-EXP(-LN(2)/2))/(LN(2)/2)*ER45*EU45*VLOOKUP('Données projet'!$B$15,Paramètres!$A$1:$I$89,3,0)*0.475*44/12</f>
        <v>0.49494646386465679</v>
      </c>
      <c r="EY45" s="22">
        <f t="shared" si="21"/>
        <v>13.408622030895291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-1.7053025658242404E-13</v>
      </c>
      <c r="FF45" s="17">
        <f>FE45*VLOOKUP('Données projet'!$B$16,Paramètres!$A$1:$I$89,3,0)*VLOOKUP('Données projet'!$B$16,Paramètres!$A$1:$I$89,5,0)</f>
        <v>-7.9808160080574461E-14</v>
      </c>
      <c r="FG45" s="13" t="e">
        <f t="shared" si="47"/>
        <v>#NUM!</v>
      </c>
      <c r="FH45" s="20" t="e">
        <f t="shared" si="22"/>
        <v>#NUM!</v>
      </c>
      <c r="FI45" s="59" t="e">
        <f t="shared" si="23"/>
        <v>#NUM!</v>
      </c>
      <c r="FJ45" s="59">
        <f ca="1">AVERAGE(OFFSET($FI$3,0,0,'Données projet'!$E$16+1,1))-AVERAGE(OFFSET($H$3,0,0,'Données projet'!$E$16+1,1))</f>
        <v>87.187251664304199</v>
      </c>
      <c r="FK45" s="59">
        <f t="shared" si="48"/>
        <v>148.84938257884147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5.7814663408129059</v>
      </c>
      <c r="FS45" s="21">
        <f>EXP(-LN(2)/2)*FS44+(1-EXP(-LN(2)/2))/(LN(2)/2)*FM45*FP45*VLOOKUP('Données projet'!$B$16,Paramètres!$A$1:$I$89,3,0)*0.475*44/12</f>
        <v>9.5061332136906235E-2</v>
      </c>
      <c r="FT45" s="22">
        <f t="shared" si="24"/>
        <v>5.8765276729498117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20</v>
      </c>
      <c r="FZ45" s="12">
        <f>IF('Données projet'!$A$244&gt;35,FZ44+FY45-GH44,IF(A45&lt;'Données projet'!$A$244,$FW$205^A45,IF(A45='Données projet'!$A$244,'Données projet'!$B$244,FZ44+FY45-GH44)))</f>
        <v>324.00000000000017</v>
      </c>
      <c r="GA45" s="17">
        <f>FZ45*VLOOKUP('Données projet'!$B$17,Paramètres!$A$1:$I$89,3,0)*VLOOKUP('Données projet'!$B$17,Paramètres!$A$1:$I$89,5,0)</f>
        <v>193.75200000000009</v>
      </c>
      <c r="GB45" s="13">
        <f t="shared" si="49"/>
        <v>48.368520355376113</v>
      </c>
      <c r="GC45" s="20">
        <f t="shared" si="25"/>
        <v>421.69323961894696</v>
      </c>
      <c r="GD45" s="59">
        <f t="shared" si="26"/>
        <v>715.02657295228028</v>
      </c>
      <c r="GE45" s="59">
        <f ca="1">AVERAGE(OFFSET($GD$3,0,0,'Données projet'!$E$17+1,1))-AVERAGE(OFFSET($H$3,0,0,'Données projet'!$E$17+1,1))</f>
        <v>282.94722676586207</v>
      </c>
      <c r="GF45" s="59">
        <f t="shared" si="50"/>
        <v>310.63647941571298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7.6842187569652474</v>
      </c>
      <c r="GN45" s="21">
        <f>EXP(-LN(2)/2)*GN44+(1-EXP(-LN(2)/2))/(LN(2)/2)*GH45*GK45*VLOOKUP('Données projet'!$B$17,Paramètres!$A$1:$I$89,3,0)*0.475*44/12</f>
        <v>0.40059739058420391</v>
      </c>
      <c r="GO45" s="21">
        <f t="shared" si="27"/>
        <v>8.0848161475494518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</v>
      </c>
      <c r="GU45" s="12">
        <f>IF('Données projet'!$A$270&gt;35,GU44+GT45-HC44,IF(A45&lt;'Données projet'!$A$270,$GR$205^A45,IF(A45='Données projet'!$A$270,'Données projet'!$B$270,GU44+GT45-HC44)))</f>
        <v>320.99999999999989</v>
      </c>
      <c r="GV45" s="17">
        <f>GU45*VLOOKUP('Données projet'!$B$18,Paramètres!$A$1:$I$89,3,0)*VLOOKUP('Données projet'!$B$18,Paramètres!$A$1:$I$89,5,0)</f>
        <v>191.95799999999997</v>
      </c>
      <c r="GW45" s="13">
        <f t="shared" si="51"/>
        <v>47.972580210954568</v>
      </c>
      <c r="GX45" s="20">
        <f t="shared" si="28"/>
        <v>417.87909386741245</v>
      </c>
      <c r="GY45" s="59">
        <f t="shared" si="29"/>
        <v>711.21242720074576</v>
      </c>
      <c r="GZ45" s="59">
        <f ca="1">AVERAGE(OFFSET($GY$3,0,0,'Données projet'!$E$18+1,1))-AVERAGE(OFFSET($H$3,0,0,'Données projet'!$E$18+1,1))</f>
        <v>255.54398581450459</v>
      </c>
      <c r="HA45" s="59">
        <f t="shared" si="52"/>
        <v>276.52622328061204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3.8341841097857103</v>
      </c>
      <c r="HI45" s="21">
        <f>EXP(-LN(2)/2)*HI44+(1-EXP(-LN(2)/2))/(LN(2)/2)*HC45*HF45*VLOOKUP('Données projet'!$B$18,Paramètres!$A$1:$I$89,3,0)*0.475*44/12</f>
        <v>0.23229818763011204</v>
      </c>
      <c r="HJ45" s="22">
        <f t="shared" si="30"/>
        <v>4.0664822974158223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</v>
      </c>
      <c r="N46" s="13">
        <f>IF('Données projet'!$A$36&gt;35,N45+M46-V45,IF(A46&lt;'Données projet'!$A$36,$K$205^A46,IF(A46='Données projet'!$A$36,'Données projet'!$B$36,N45+M46-V45)))</f>
        <v>223.00000000000011</v>
      </c>
      <c r="O46" s="13">
        <f>N46*VLOOKUP('Données projet'!$B$9,Paramètres!$A$1:$I$89,3,0)*VLOOKUP('Données projet'!$B$9,Paramètres!$A$1:$I$89,5,0)</f>
        <v>194.81280000000012</v>
      </c>
      <c r="P46" s="13">
        <f t="shared" si="33"/>
        <v>48.602440540253902</v>
      </c>
      <c r="Q46" s="20">
        <f t="shared" si="53"/>
        <v>423.9482106076091</v>
      </c>
      <c r="R46" s="59">
        <f t="shared" si="0"/>
        <v>717.28154394094236</v>
      </c>
      <c r="S46" s="59">
        <f ca="1">AVERAGE(OFFSET($R$3,0,0,'Données projet'!$E$9+1,1))-AVERAGE(OFFSET($H$3,0,0,'Données projet'!$E$9+1,1))</f>
        <v>248.50221719467663</v>
      </c>
      <c r="T46" s="59">
        <f t="shared" si="34"/>
        <v>366.09064580347183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6.1028410606071963</v>
      </c>
      <c r="AA46" s="21">
        <f>EXP(-LN(2)/25)*AA45+(1-EXP(-LN(2)/25))/(LN(2)/25)*Calculateur!V46*Calculateur!X46*VLOOKUP('Données projet'!$B$9,Paramètres!$A$1:$I$89,3,0)*0.475*44/12</f>
        <v>16.785668447504516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22.888509508111714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163.94976</v>
      </c>
      <c r="AK46" s="13">
        <f t="shared" si="35"/>
        <v>41.732126457893308</v>
      </c>
      <c r="AL46" s="20">
        <f t="shared" si="4"/>
        <v>358.22928558083089</v>
      </c>
      <c r="AM46" s="59">
        <f t="shared" si="5"/>
        <v>651.5626189141642</v>
      </c>
      <c r="AN46" s="59">
        <f ca="1">AVERAGE(OFFSET($AM$3,0,0,'Données projet'!$E$10+1,1))-AVERAGE(OFFSET($H$3,0,0,'Données projet'!$E$10+1,1))</f>
        <v>263.22346936777603</v>
      </c>
      <c r="AO46" s="59">
        <f t="shared" si="36"/>
        <v>217.14714468707939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5.0742551736256276</v>
      </c>
      <c r="AW46" s="21">
        <f>EXP(-LN(2)/2)*AW45+(1-EXP(-LN(2)/2))/(LN(2)/2)*AQ46*AT46*VLOOKUP('Données projet'!$B$10,Paramètres!$A$1:$I$89,3,0)*0.475*44/12</f>
        <v>0.19722490250702343</v>
      </c>
      <c r="AX46" s="21">
        <f t="shared" si="6"/>
        <v>5.2714800761326508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11.142857142857142</v>
      </c>
      <c r="BD46" s="12">
        <f>IF('Données projet'!$A$88&gt;35,BD45+BC46-BL45,IF(A46&lt;'Données projet'!$A$88,$BA$205^A46,IF(A46='Données projet'!$A$88,'Données projet'!$B$88,BD45+BC46-BL45)))</f>
        <v>218.85714285714278</v>
      </c>
      <c r="BE46" s="13">
        <f>BD46*VLOOKUP('Données projet'!$B$11,Paramètres!$A$1:$I$89,3,0)*VLOOKUP('Données projet'!$B$11,Paramètres!$A$1:$I$89,5,0)</f>
        <v>170.70857142857136</v>
      </c>
      <c r="BF46" s="13">
        <f t="shared" si="37"/>
        <v>43.248681576985376</v>
      </c>
      <c r="BG46" s="20">
        <f t="shared" si="7"/>
        <v>372.64221565134466</v>
      </c>
      <c r="BH46" s="59">
        <f t="shared" si="8"/>
        <v>665.97554898467797</v>
      </c>
      <c r="BI46" s="59">
        <f ca="1">AVERAGE(OFFSET($BH$3,0,0,'Données projet'!$E$11+1,1))-AVERAGE(OFFSET($H$3,0,0,'Données projet'!$E$11+1,1))</f>
        <v>219.22204054948094</v>
      </c>
      <c r="BJ46" s="59">
        <f t="shared" si="38"/>
        <v>222.41711966122034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2.1866658920027908</v>
      </c>
      <c r="BR46" s="21">
        <f>EXP(-LN(2)/2)*BR45+(1-EXP(-LN(2)/2))/(LN(2)/2)*BL46*BO46*VLOOKUP('Données projet'!$B$11,Paramètres!$A$1:$I$89,3,0)*0.475*44/12</f>
        <v>3.6129924116239456E-2</v>
      </c>
      <c r="BS46" s="22">
        <f t="shared" si="9"/>
        <v>2.2227958161190302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11.2</v>
      </c>
      <c r="BY46" s="12">
        <f>IF('Données projet'!$A$114&gt;35,BY45+BX46-CG45,IF(A46&lt;'Données projet'!$A$114,$BV$205^A46,IF(A46='Données projet'!$A$114,'Données projet'!$B$114,BY45+BX46-CG45)))</f>
        <v>152.59999999999997</v>
      </c>
      <c r="BZ46" s="13">
        <f>BY46*VLOOKUP('Données projet'!$B$12,Paramètres!$A$1:$I$89,3,0)*VLOOKUP('Données projet'!$B$12,Paramètres!$A$1:$I$89,5,0)</f>
        <v>130.9308</v>
      </c>
      <c r="CA46" s="13">
        <f t="shared" si="39"/>
        <v>34.211350494649842</v>
      </c>
      <c r="CB46" s="20">
        <f t="shared" si="10"/>
        <v>287.62257877818178</v>
      </c>
      <c r="CC46" s="59">
        <f t="shared" si="11"/>
        <v>580.95591211151509</v>
      </c>
      <c r="CD46" s="59">
        <f ca="1">AVERAGE(OFFSET($CC$3,0,0,'Données projet'!$E$12+1,1))-AVERAGE(OFFSET($H$3,0,0,'Données projet'!$E$12+1,1))</f>
        <v>237.27357081252273</v>
      </c>
      <c r="CE46" s="59">
        <f t="shared" si="40"/>
        <v>68.768479693848576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20.399999999999999</v>
      </c>
      <c r="CT46" s="12">
        <f>IF('Données projet'!$A$140&gt;35,CT45+CS46-DB45,IF(A46&lt;'Données projet'!$A$140,$CQ$205^A46,IF(A46='Données projet'!$A$140,'Données projet'!$B$140,CT45+CS46-DB45)))</f>
        <v>636.19999999999993</v>
      </c>
      <c r="CU46" s="17">
        <f>CT46*VLOOKUP('Données projet'!$B$13,Paramètres!$A$1:$I$89,3,0)*VLOOKUP('Données projet'!$B$13,Paramètres!$A$1:$I$89,5,0)</f>
        <v>355.63579999999996</v>
      </c>
      <c r="CV46" s="13">
        <f t="shared" si="41"/>
        <v>82.72189991276511</v>
      </c>
      <c r="CW46" s="20">
        <f t="shared" si="13"/>
        <v>763.47299401473254</v>
      </c>
      <c r="CX46" s="59">
        <f t="shared" si="14"/>
        <v>1056.8063273480659</v>
      </c>
      <c r="CY46" s="59">
        <f ca="1">AVERAGE(OFFSET($CX$3,0,0,'Données projet'!$E$13+1,1))-AVERAGE(OFFSET($H$3,0,0,'Données projet'!$E$13+1,1))</f>
        <v>474.03051418249999</v>
      </c>
      <c r="CZ46" s="59">
        <f t="shared" si="42"/>
        <v>649.52271992719091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4.2247061890203348</v>
      </c>
      <c r="DG46" s="21">
        <f>EXP(-LN(2)/25)*DG45+(1-EXP(-LN(2)/25))/(LN(2)/25)*Calculateur!DB46*Calculateur!DD46*VLOOKUP('Données projet'!$B$13,Paramètres!$A$1:$I$89,3,0)*0.475*44/12</f>
        <v>16.87156633852014</v>
      </c>
      <c r="DH46" s="21">
        <f>EXP(-LN(2)/2)*DH45+(1-EXP(-LN(2)/2))/(LN(2)/2)*DB46*DE46*VLOOKUP('Données projet'!$B$13,Paramètres!$A$1:$I$89,3,0)*0.475*44/12</f>
        <v>0.12926429089028346</v>
      </c>
      <c r="DI46" s="22">
        <f t="shared" si="15"/>
        <v>21.225536818430758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-5.6843418860808015E-14</v>
      </c>
      <c r="DP46" s="17">
        <f>DO46*VLOOKUP('Données projet'!$B$14,Paramètres!$A$1:$I$89,3,0)*VLOOKUP('Données projet'!$B$14,Paramètres!$A$1:$I$89,5,0)</f>
        <v>-3.1036506698001178E-14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164.0740581424559</v>
      </c>
      <c r="DU46" s="59">
        <f t="shared" si="44"/>
        <v>280.99861170359793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5.1062808325466191</v>
      </c>
      <c r="EB46" s="21">
        <f>EXP(-LN(2)/25)*EB45+(1-EXP(-LN(2)/25))/(LN(2)/25)*Calculateur!DW46*Calculateur!DY46*VLOOKUP('Données projet'!$B$14,Paramètres!$A$1:$I$89,3,0)*0.475*44/12</f>
        <v>18.059608567949198</v>
      </c>
      <c r="EC46" s="21">
        <f>EXP(-LN(2)/2)*EC45+(1-EXP(-LN(2)/2))/(LN(2)/2)*DW46*DZ46*VLOOKUP('Données projet'!$B$14,Paramètres!$A$1:$I$89,3,0)*0.475*44/12</f>
        <v>0.16770267302774489</v>
      </c>
      <c r="ED46" s="22">
        <f t="shared" si="18"/>
        <v>23.333592073523562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28.2</v>
      </c>
      <c r="EJ46" s="12">
        <f>IF('Données projet'!$A$192&gt;35,EJ45+EI46-ER45,IF(A46&lt;'Données projet'!$A$192,$EG$205^A46,IF(A46='Données projet'!$A$192,'Données projet'!$B$192,EJ45+EI46-ER45)))</f>
        <v>531.60000000000025</v>
      </c>
      <c r="EK46" s="17">
        <f>EJ46*VLOOKUP('Données projet'!$B$15,Paramètres!$A$1:$I$89,3,0)*VLOOKUP('Données projet'!$B$15,Paramètres!$A$1:$I$89,5,0)</f>
        <v>255.69960000000012</v>
      </c>
      <c r="EL46" s="13">
        <f t="shared" si="45"/>
        <v>61.804818566254205</v>
      </c>
      <c r="EM46" s="20">
        <f t="shared" si="19"/>
        <v>552.9868623362263</v>
      </c>
      <c r="EN46" s="59">
        <f t="shared" si="20"/>
        <v>846.32019566955955</v>
      </c>
      <c r="EO46" s="59">
        <f ca="1">AVERAGE(OFFSET($EN$3,0,0,'Données projet'!$E$15+1,1))-AVERAGE(OFFSET($H$3,0,0,'Données projet'!$E$15+1,1))</f>
        <v>312.1172301514103</v>
      </c>
      <c r="EP46" s="59">
        <f t="shared" si="46"/>
        <v>369.85500533493212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2.0888906512528518</v>
      </c>
      <c r="EW46" s="21">
        <f>EXP(-LN(2)/25)*EW45+(1-EXP(-LN(2)/25))/(LN(2)/25)*Calculateur!ER46*Calculateur!ET46*VLOOKUP('Données projet'!$B$15,Paramètres!$A$1:$I$89,3,0)*0.475*44/12</f>
        <v>10.488141936500822</v>
      </c>
      <c r="EX46" s="21">
        <f>EXP(-LN(2)/2)*EX45+(1-EXP(-LN(2)/2))/(LN(2)/2)*ER46*EU46*VLOOKUP('Données projet'!$B$15,Paramètres!$A$1:$I$89,3,0)*0.475*44/12</f>
        <v>0.34998000092300136</v>
      </c>
      <c r="EY46" s="22">
        <f t="shared" si="21"/>
        <v>12.927012588676675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-1.7053025658242404E-13</v>
      </c>
      <c r="FF46" s="17">
        <f>FE46*VLOOKUP('Données projet'!$B$16,Paramètres!$A$1:$I$89,3,0)*VLOOKUP('Données projet'!$B$16,Paramètres!$A$1:$I$89,5,0)</f>
        <v>-7.9808160080574461E-14</v>
      </c>
      <c r="FG46" s="13" t="e">
        <f t="shared" si="47"/>
        <v>#NUM!</v>
      </c>
      <c r="FH46" s="20" t="e">
        <f t="shared" si="22"/>
        <v>#NUM!</v>
      </c>
      <c r="FI46" s="59" t="e">
        <f t="shared" si="23"/>
        <v>#NUM!</v>
      </c>
      <c r="FJ46" s="59">
        <f ca="1">AVERAGE(OFFSET($FI$3,0,0,'Données projet'!$E$16+1,1))-AVERAGE(OFFSET($H$3,0,0,'Données projet'!$E$16+1,1))</f>
        <v>87.187251664304199</v>
      </c>
      <c r="FK46" s="59">
        <f t="shared" si="48"/>
        <v>148.84938257884147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5.623371839689276</v>
      </c>
      <c r="FS46" s="21">
        <f>EXP(-LN(2)/2)*FS45+(1-EXP(-LN(2)/2))/(LN(2)/2)*FM46*FP46*VLOOKUP('Données projet'!$B$16,Paramètres!$A$1:$I$89,3,0)*0.475*44/12</f>
        <v>6.7218512582633075E-2</v>
      </c>
      <c r="FT46" s="22">
        <f t="shared" si="24"/>
        <v>5.6905903522719088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20</v>
      </c>
      <c r="FZ46" s="12">
        <f>IF('Données projet'!$A$244&gt;35,FZ45+FY46-GH45,IF(A46&lt;'Données projet'!$A$244,$FW$205^A46,IF(A46='Données projet'!$A$244,'Données projet'!$B$244,FZ45+FY46-GH45)))</f>
        <v>344.00000000000017</v>
      </c>
      <c r="GA46" s="17">
        <f>FZ46*VLOOKUP('Données projet'!$B$17,Paramètres!$A$1:$I$89,3,0)*VLOOKUP('Données projet'!$B$17,Paramètres!$A$1:$I$89,5,0)</f>
        <v>205.71200000000013</v>
      </c>
      <c r="GB46" s="13">
        <f t="shared" si="49"/>
        <v>50.997427696933762</v>
      </c>
      <c r="GC46" s="20">
        <f t="shared" si="25"/>
        <v>447.10225323882656</v>
      </c>
      <c r="GD46" s="59">
        <f t="shared" si="26"/>
        <v>740.43558657215988</v>
      </c>
      <c r="GE46" s="59">
        <f ca="1">AVERAGE(OFFSET($GD$3,0,0,'Données projet'!$E$17+1,1))-AVERAGE(OFFSET($H$3,0,0,'Données projet'!$E$17+1,1))</f>
        <v>282.94722676586207</v>
      </c>
      <c r="GF46" s="59">
        <f t="shared" si="50"/>
        <v>310.63647941571298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7.4740933909605305</v>
      </c>
      <c r="GN46" s="21">
        <f>EXP(-LN(2)/2)*GN45+(1-EXP(-LN(2)/2))/(LN(2)/2)*GH46*GK46*VLOOKUP('Données projet'!$B$17,Paramètres!$A$1:$I$89,3,0)*0.475*44/12</f>
        <v>0.28326513140772658</v>
      </c>
      <c r="GO46" s="21">
        <f t="shared" si="27"/>
        <v>7.7573585223682571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11</v>
      </c>
      <c r="GU46" s="12">
        <f>IF('Données projet'!$A$270&gt;35,GU45+GT46-HC45,IF(A46&lt;'Données projet'!$A$270,$GR$205^A46,IF(A46='Données projet'!$A$270,'Données projet'!$B$270,GU45+GT46-HC45)))</f>
        <v>331.99999999999989</v>
      </c>
      <c r="GV46" s="17">
        <f>GU46*VLOOKUP('Données projet'!$B$18,Paramètres!$A$1:$I$89,3,0)*VLOOKUP('Données projet'!$B$18,Paramètres!$A$1:$I$89,5,0)</f>
        <v>198.53599999999994</v>
      </c>
      <c r="GW46" s="13">
        <f t="shared" si="51"/>
        <v>49.422287391228707</v>
      </c>
      <c r="GX46" s="20">
        <f t="shared" si="28"/>
        <v>431.86068387305653</v>
      </c>
      <c r="GY46" s="59">
        <f t="shared" si="29"/>
        <v>725.19401720638984</v>
      </c>
      <c r="GZ46" s="59">
        <f ca="1">AVERAGE(OFFSET($GY$3,0,0,'Données projet'!$E$18+1,1))-AVERAGE(OFFSET($H$3,0,0,'Données projet'!$E$18+1,1))</f>
        <v>255.54398581450459</v>
      </c>
      <c r="HA46" s="59">
        <f t="shared" si="52"/>
        <v>276.52622328061204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3.7293381436726407</v>
      </c>
      <c r="HI46" s="21">
        <f>EXP(-LN(2)/2)*HI45+(1-EXP(-LN(2)/2))/(LN(2)/2)*HC46*HF46*VLOOKUP('Données projet'!$B$18,Paramètres!$A$1:$I$89,3,0)*0.475*44/12</f>
        <v>0.16425962373059722</v>
      </c>
      <c r="HJ46" s="22">
        <f t="shared" si="30"/>
        <v>3.893597767403238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</v>
      </c>
      <c r="N47" s="13">
        <f>IF('Données projet'!$A$36&gt;35,N46+M47-V46,IF(A47&lt;'Données projet'!$A$36,$K$205^A47,IF(A47='Données projet'!$A$36,'Données projet'!$B$36,N46+M47-V46)))</f>
        <v>234.00000000000011</v>
      </c>
      <c r="O47" s="13">
        <f>N47*VLOOKUP('Données projet'!$B$9,Paramètres!$A$1:$I$89,3,0)*VLOOKUP('Données projet'!$B$9,Paramètres!$A$1:$I$89,5,0)</f>
        <v>204.42240000000012</v>
      </c>
      <c r="P47" s="13">
        <f t="shared" si="33"/>
        <v>50.714836797527312</v>
      </c>
      <c r="Q47" s="20">
        <f t="shared" si="53"/>
        <v>444.36402075569362</v>
      </c>
      <c r="R47" s="59">
        <f t="shared" si="0"/>
        <v>737.69735408902693</v>
      </c>
      <c r="S47" s="59">
        <f ca="1">AVERAGE(OFFSET($R$3,0,0,'Données projet'!$E$9+1,1))-AVERAGE(OFFSET($H$3,0,0,'Données projet'!$E$9+1,1))</f>
        <v>248.50221719467663</v>
      </c>
      <c r="T47" s="59">
        <f t="shared" si="34"/>
        <v>366.09064580347183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5.9831680697741829</v>
      </c>
      <c r="AA47" s="21">
        <f>EXP(-LN(2)/25)*AA46+(1-EXP(-LN(2)/25))/(LN(2)/25)*Calculateur!V47*Calculateur!X47*VLOOKUP('Données projet'!$B$9,Paramètres!$A$1:$I$89,3,0)*0.475*44/12</f>
        <v>16.326663461087566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22.30983153086175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174.26447999999999</v>
      </c>
      <c r="AK47" s="13">
        <f t="shared" si="35"/>
        <v>44.043743683739521</v>
      </c>
      <c r="AL47" s="20">
        <f t="shared" si="4"/>
        <v>380.22015624917964</v>
      </c>
      <c r="AM47" s="59">
        <f t="shared" si="5"/>
        <v>673.55348958251295</v>
      </c>
      <c r="AN47" s="59">
        <f ca="1">AVERAGE(OFFSET($AM$3,0,0,'Données projet'!$E$10+1,1))-AVERAGE(OFFSET($H$3,0,0,'Données projet'!$E$10+1,1))</f>
        <v>263.22346936777603</v>
      </c>
      <c r="AO47" s="59">
        <f t="shared" si="36"/>
        <v>217.14714468707939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4.9354993990593528</v>
      </c>
      <c r="AW47" s="21">
        <f>EXP(-LN(2)/2)*AW46+(1-EXP(-LN(2)/2))/(LN(2)/2)*AQ47*AT47*VLOOKUP('Données projet'!$B$10,Paramètres!$A$1:$I$89,3,0)*0.475*44/12</f>
        <v>0.13945906598157198</v>
      </c>
      <c r="AX47" s="21">
        <f t="shared" si="6"/>
        <v>5.0749584650409245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230</v>
      </c>
      <c r="BB47" s="12">
        <f>VLOOKUP(A47,'Données projet'!$A$87:$I$107,9,0)</f>
        <v>11.142857142857142</v>
      </c>
      <c r="BC47" s="12">
        <f t="array" ref="BC47">INDEX(BB:BB,MIN(IF(ISNUMBER(BB47:BB243),ROW(BB47:BB243),"")))</f>
        <v>11.142857142857142</v>
      </c>
      <c r="BD47" s="12">
        <f>IF('Données projet'!$A$88&gt;35,BD46+BC47-BL46,IF(A47&lt;'Données projet'!$A$88,$BA$205^A47,IF(A47='Données projet'!$A$88,'Données projet'!$B$88,BD46+BC47-BL46)))</f>
        <v>229.99999999999991</v>
      </c>
      <c r="BE47" s="13">
        <f>BD47*VLOOKUP('Données projet'!$B$11,Paramètres!$A$1:$I$89,3,0)*VLOOKUP('Données projet'!$B$11,Paramètres!$A$1:$I$89,5,0)</f>
        <v>179.39999999999995</v>
      </c>
      <c r="BF47" s="13">
        <f t="shared" si="37"/>
        <v>45.188671291872232</v>
      </c>
      <c r="BG47" s="20">
        <f t="shared" si="7"/>
        <v>391.15860250001066</v>
      </c>
      <c r="BH47" s="59">
        <f t="shared" si="8"/>
        <v>684.49193583334397</v>
      </c>
      <c r="BI47" s="59">
        <f ca="1">AVERAGE(OFFSET($BH$3,0,0,'Données projet'!$E$11+1,1))-AVERAGE(OFFSET($H$3,0,0,'Données projet'!$E$11+1,1))</f>
        <v>219.22204054948094</v>
      </c>
      <c r="BJ47" s="59">
        <f t="shared" si="38"/>
        <v>222.41711966122034</v>
      </c>
      <c r="BK47" s="15">
        <f>IF(ISNA(VLOOKUP(A47,'Données projet'!$A$87:$I$107,3,0)),0,VLOOKUP(A47,'Données projet'!$A$87:$I$107,3,0))</f>
        <v>6</v>
      </c>
      <c r="BL47" s="15">
        <f>IF(ISNA(VLOOKUP(A47,'Données projet'!$A$87:$I$107,4,0)),0,VLOOKUP(A47,'Données projet'!$A$87:$I$107,4,0))</f>
        <v>43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2.1268713981942131</v>
      </c>
      <c r="BR47" s="21">
        <f>EXP(-LN(2)/2)*BR46+(1-EXP(-LN(2)/2))/(LN(2)/2)*BL47*BO47*VLOOKUP('Données projet'!$B$11,Paramètres!$A$1:$I$89,3,0)*0.475*44/12</f>
        <v>2.55477143463483E-2</v>
      </c>
      <c r="BS47" s="22">
        <f t="shared" si="9"/>
        <v>2.1524191125405614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11.2</v>
      </c>
      <c r="BY47" s="12">
        <f>IF('Données projet'!$A$114&gt;35,BY46+BX47-CG46,IF(A47&lt;'Données projet'!$A$114,$BV$205^A47,IF(A47='Données projet'!$A$114,'Données projet'!$B$114,BY46+BX47-CG46)))</f>
        <v>163.79999999999995</v>
      </c>
      <c r="BZ47" s="13">
        <f>BY47*VLOOKUP('Données projet'!$B$12,Paramètres!$A$1:$I$89,3,0)*VLOOKUP('Données projet'!$B$12,Paramètres!$A$1:$I$89,5,0)</f>
        <v>140.54039999999998</v>
      </c>
      <c r="CA47" s="13">
        <f t="shared" si="39"/>
        <v>36.420775774849901</v>
      </c>
      <c r="CB47" s="20">
        <f t="shared" si="10"/>
        <v>308.20738114119689</v>
      </c>
      <c r="CC47" s="59">
        <f t="shared" si="11"/>
        <v>601.5407144745302</v>
      </c>
      <c r="CD47" s="59">
        <f ca="1">AVERAGE(OFFSET($CC$3,0,0,'Données projet'!$E$12+1,1))-AVERAGE(OFFSET($H$3,0,0,'Données projet'!$E$12+1,1))</f>
        <v>237.27357081252273</v>
      </c>
      <c r="CE47" s="59">
        <f t="shared" si="40"/>
        <v>68.768479693848576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20.399999999999999</v>
      </c>
      <c r="CT47" s="12">
        <f>IF('Données projet'!$A$140&gt;35,CT46+CS47-DB46,IF(A47&lt;'Données projet'!$A$140,$CQ$205^A47,IF(A47='Données projet'!$A$140,'Données projet'!$B$140,CT46+CS47-DB46)))</f>
        <v>656.59999999999991</v>
      </c>
      <c r="CU47" s="17">
        <f>CT47*VLOOKUP('Données projet'!$B$13,Paramètres!$A$1:$I$89,3,0)*VLOOKUP('Données projet'!$B$13,Paramètres!$A$1:$I$89,5,0)</f>
        <v>367.03939999999994</v>
      </c>
      <c r="CV47" s="13">
        <f t="shared" si="41"/>
        <v>85.061334995140626</v>
      </c>
      <c r="CW47" s="20">
        <f t="shared" si="13"/>
        <v>787.40878011653638</v>
      </c>
      <c r="CX47" s="59">
        <f t="shared" si="14"/>
        <v>1080.7421134498697</v>
      </c>
      <c r="CY47" s="59">
        <f ca="1">AVERAGE(OFFSET($CX$3,0,0,'Données projet'!$E$13+1,1))-AVERAGE(OFFSET($H$3,0,0,'Données projet'!$E$13+1,1))</f>
        <v>474.03051418249999</v>
      </c>
      <c r="CZ47" s="59">
        <f t="shared" si="42"/>
        <v>649.52271992719091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4.1418622774699818</v>
      </c>
      <c r="DG47" s="21">
        <f>EXP(-LN(2)/25)*DG46+(1-EXP(-LN(2)/25))/(LN(2)/25)*Calculateur!DB47*Calculateur!DD47*VLOOKUP('Données projet'!$B$13,Paramètres!$A$1:$I$89,3,0)*0.475*44/12</f>
        <v>16.410212469756193</v>
      </c>
      <c r="DH47" s="21">
        <f>EXP(-LN(2)/2)*DH46+(1-EXP(-LN(2)/2))/(LN(2)/2)*DB47*DE47*VLOOKUP('Données projet'!$B$13,Paramètres!$A$1:$I$89,3,0)*0.475*44/12</f>
        <v>9.1403656653789897E-2</v>
      </c>
      <c r="DI47" s="22">
        <f t="shared" si="15"/>
        <v>20.643478403879964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-5.6843418860808015E-14</v>
      </c>
      <c r="DP47" s="17">
        <f>DO47*VLOOKUP('Données projet'!$B$14,Paramètres!$A$1:$I$89,3,0)*VLOOKUP('Données projet'!$B$14,Paramètres!$A$1:$I$89,5,0)</f>
        <v>-3.1036506698001178E-14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164.0740581424559</v>
      </c>
      <c r="DU47" s="59">
        <f t="shared" si="44"/>
        <v>280.99861170359793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5.0061497799441543</v>
      </c>
      <c r="EB47" s="21">
        <f>EXP(-LN(2)/25)*EB46+(1-EXP(-LN(2)/25))/(LN(2)/25)*Calculateur!DW47*Calculateur!DY47*VLOOKUP('Données projet'!$B$14,Paramètres!$A$1:$I$89,3,0)*0.475*44/12</f>
        <v>17.565767621945088</v>
      </c>
      <c r="EC47" s="21">
        <f>EXP(-LN(2)/2)*EC46+(1-EXP(-LN(2)/2))/(LN(2)/2)*DW47*DZ47*VLOOKUP('Données projet'!$B$14,Paramètres!$A$1:$I$89,3,0)*0.475*44/12</f>
        <v>0.11858369732102873</v>
      </c>
      <c r="ED47" s="22">
        <f t="shared" si="18"/>
        <v>22.690501099210273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28.2</v>
      </c>
      <c r="EJ47" s="12">
        <f>IF('Données projet'!$A$192&gt;35,EJ46+EI47-ER46,IF(A47&lt;'Données projet'!$A$192,$EG$205^A47,IF(A47='Données projet'!$A$192,'Données projet'!$B$192,EJ46+EI47-ER46)))</f>
        <v>559.8000000000003</v>
      </c>
      <c r="EK47" s="17">
        <f>EJ47*VLOOKUP('Données projet'!$B$15,Paramètres!$A$1:$I$89,3,0)*VLOOKUP('Données projet'!$B$15,Paramètres!$A$1:$I$89,5,0)</f>
        <v>269.26380000000017</v>
      </c>
      <c r="EL47" s="13">
        <f t="shared" si="45"/>
        <v>64.693004248130009</v>
      </c>
      <c r="EM47" s="20">
        <f t="shared" si="19"/>
        <v>581.6414340654934</v>
      </c>
      <c r="EN47" s="59">
        <f t="shared" si="20"/>
        <v>874.97476739882677</v>
      </c>
      <c r="EO47" s="59">
        <f ca="1">AVERAGE(OFFSET($EN$3,0,0,'Données projet'!$E$15+1,1))-AVERAGE(OFFSET($H$3,0,0,'Données projet'!$E$15+1,1))</f>
        <v>312.1172301514103</v>
      </c>
      <c r="EP47" s="59">
        <f t="shared" si="46"/>
        <v>369.85500533493212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2.0479287796792738</v>
      </c>
      <c r="EW47" s="21">
        <f>EXP(-LN(2)/25)*EW46+(1-EXP(-LN(2)/25))/(LN(2)/25)*Calculateur!ER47*Calculateur!ET47*VLOOKUP('Données projet'!$B$15,Paramètres!$A$1:$I$89,3,0)*0.475*44/12</f>
        <v>10.201343143699795</v>
      </c>
      <c r="EX47" s="21">
        <f>EXP(-LN(2)/2)*EX46+(1-EXP(-LN(2)/2))/(LN(2)/2)*ER47*EU47*VLOOKUP('Données projet'!$B$15,Paramètres!$A$1:$I$89,3,0)*0.475*44/12</f>
        <v>0.24747323193232842</v>
      </c>
      <c r="EY47" s="22">
        <f t="shared" si="21"/>
        <v>12.496745155311398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-1.7053025658242404E-13</v>
      </c>
      <c r="FF47" s="17">
        <f>FE47*VLOOKUP('Données projet'!$B$16,Paramètres!$A$1:$I$89,3,0)*VLOOKUP('Données projet'!$B$16,Paramètres!$A$1:$I$89,5,0)</f>
        <v>-7.9808160080574461E-14</v>
      </c>
      <c r="FG47" s="13" t="e">
        <f t="shared" si="47"/>
        <v>#NUM!</v>
      </c>
      <c r="FH47" s="20" t="e">
        <f t="shared" si="22"/>
        <v>#NUM!</v>
      </c>
      <c r="FI47" s="59" t="e">
        <f t="shared" si="23"/>
        <v>#NUM!</v>
      </c>
      <c r="FJ47" s="59">
        <f ca="1">AVERAGE(OFFSET($FI$3,0,0,'Données projet'!$E$16+1,1))-AVERAGE(OFFSET($H$3,0,0,'Données projet'!$E$16+1,1))</f>
        <v>87.187251664304199</v>
      </c>
      <c r="FK47" s="59">
        <f t="shared" si="48"/>
        <v>148.84938257884147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5.4696004410126999</v>
      </c>
      <c r="FS47" s="21">
        <f>EXP(-LN(2)/2)*FS46+(1-EXP(-LN(2)/2))/(LN(2)/2)*FM47*FP47*VLOOKUP('Données projet'!$B$16,Paramètres!$A$1:$I$89,3,0)*0.475*44/12</f>
        <v>4.7530666068453117E-2</v>
      </c>
      <c r="FT47" s="22">
        <f t="shared" si="24"/>
        <v>5.5171311070811528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20</v>
      </c>
      <c r="FZ47" s="12">
        <f>IF('Données projet'!$A$244&gt;35,FZ46+FY47-GH46,IF(A47&lt;'Données projet'!$A$244,$FW$205^A47,IF(A47='Données projet'!$A$244,'Données projet'!$B$244,FZ46+FY47-GH46)))</f>
        <v>364.00000000000017</v>
      </c>
      <c r="GA47" s="17">
        <f>FZ47*VLOOKUP('Données projet'!$B$17,Paramètres!$A$1:$I$89,3,0)*VLOOKUP('Données projet'!$B$17,Paramètres!$A$1:$I$89,5,0)</f>
        <v>217.67200000000011</v>
      </c>
      <c r="GB47" s="13">
        <f t="shared" si="49"/>
        <v>53.60859357546007</v>
      </c>
      <c r="GC47" s="20">
        <f t="shared" si="25"/>
        <v>472.48036714392646</v>
      </c>
      <c r="GD47" s="59">
        <f t="shared" si="26"/>
        <v>765.81370047725977</v>
      </c>
      <c r="GE47" s="59">
        <f ca="1">AVERAGE(OFFSET($GD$3,0,0,'Données projet'!$E$17+1,1))-AVERAGE(OFFSET($H$3,0,0,'Données projet'!$E$17+1,1))</f>
        <v>282.94722676586207</v>
      </c>
      <c r="GF47" s="59">
        <f t="shared" si="50"/>
        <v>310.63647941571298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7.269713914139226</v>
      </c>
      <c r="GN47" s="21">
        <f>EXP(-LN(2)/2)*GN46+(1-EXP(-LN(2)/2))/(LN(2)/2)*GH47*GK47*VLOOKUP('Données projet'!$B$17,Paramètres!$A$1:$I$89,3,0)*0.475*44/12</f>
        <v>0.20029869529210195</v>
      </c>
      <c r="GO47" s="21">
        <f t="shared" si="27"/>
        <v>7.4700126094313282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11</v>
      </c>
      <c r="GU47" s="12">
        <f>IF('Données projet'!$A$270&gt;35,GU46+GT47-HC46,IF(A47&lt;'Données projet'!$A$270,$GR$205^A47,IF(A47='Données projet'!$A$270,'Données projet'!$B$270,GU46+GT47-HC46)))</f>
        <v>342.99999999999989</v>
      </c>
      <c r="GV47" s="17">
        <f>GU47*VLOOKUP('Données projet'!$B$18,Paramètres!$A$1:$I$89,3,0)*VLOOKUP('Données projet'!$B$18,Paramètres!$A$1:$I$89,5,0)</f>
        <v>205.11399999999995</v>
      </c>
      <c r="GW47" s="13">
        <f t="shared" si="51"/>
        <v>50.86641328088502</v>
      </c>
      <c r="GX47" s="20">
        <f t="shared" si="28"/>
        <v>445.8325531308746</v>
      </c>
      <c r="GY47" s="59">
        <f t="shared" si="29"/>
        <v>739.16588646420792</v>
      </c>
      <c r="GZ47" s="59">
        <f ca="1">AVERAGE(OFFSET($GY$3,0,0,'Données projet'!$E$18+1,1))-AVERAGE(OFFSET($H$3,0,0,'Données projet'!$E$18+1,1))</f>
        <v>255.54398581450459</v>
      </c>
      <c r="HA47" s="59">
        <f t="shared" si="52"/>
        <v>276.52622328061204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3.6273591960165428</v>
      </c>
      <c r="HI47" s="21">
        <f>EXP(-LN(2)/2)*HI46+(1-EXP(-LN(2)/2))/(LN(2)/2)*HC47*HF47*VLOOKUP('Données projet'!$B$18,Paramètres!$A$1:$I$89,3,0)*0.475*44/12</f>
        <v>0.11614909381505605</v>
      </c>
      <c r="HJ47" s="22">
        <f t="shared" si="30"/>
        <v>3.743508289831599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245</v>
      </c>
      <c r="L48" s="12">
        <f>VLOOKUP(A48,'Données projet'!$A$35:$I$55,9,0)</f>
        <v>11</v>
      </c>
      <c r="M48" s="12">
        <f t="array" ref="M48">INDEX(L:L,MIN(IF(ISNUMBER(L48:L244),ROW(L48:L244),"")))</f>
        <v>11</v>
      </c>
      <c r="N48" s="13">
        <f>IF('Données projet'!$A$36&gt;35,N47+M48-V47,IF(A48&lt;'Données projet'!$A$36,$K$205^A48,IF(A48='Données projet'!$A$36,'Données projet'!$B$36,N47+M48-V47)))</f>
        <v>245.00000000000011</v>
      </c>
      <c r="O48" s="13">
        <f>N48*VLOOKUP('Données projet'!$B$9,Paramètres!$A$1:$I$89,3,0)*VLOOKUP('Données projet'!$B$9,Paramètres!$A$1:$I$89,5,0)</f>
        <v>214.03200000000012</v>
      </c>
      <c r="P48" s="13">
        <f t="shared" si="33"/>
        <v>52.815701536972284</v>
      </c>
      <c r="Q48" s="20">
        <f t="shared" si="53"/>
        <v>464.75974684356021</v>
      </c>
      <c r="R48" s="59">
        <f t="shared" si="0"/>
        <v>758.09308017689352</v>
      </c>
      <c r="S48" s="59">
        <f ca="1">AVERAGE(OFFSET($R$3,0,0,'Données projet'!$E$9+1,1))-AVERAGE(OFFSET($H$3,0,0,'Données projet'!$E$9+1,1))</f>
        <v>248.50221719467663</v>
      </c>
      <c r="T48" s="59">
        <f t="shared" si="34"/>
        <v>366.09064580347183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41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5.8658417932980882</v>
      </c>
      <c r="AA48" s="21">
        <f>EXP(-LN(2)/25)*AA47+(1-EXP(-LN(2)/25))/(LN(2)/25)*Calculateur!V48*Calculateur!X48*VLOOKUP('Données projet'!$B$9,Paramètres!$A$1:$I$89,3,0)*0.475*44/12</f>
        <v>15.880209990162211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21.746051783460299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184.57920000000001</v>
      </c>
      <c r="AK48" s="13">
        <f t="shared" si="35"/>
        <v>46.339479465836661</v>
      </c>
      <c r="AL48" s="20">
        <f t="shared" si="4"/>
        <v>402.18336673633218</v>
      </c>
      <c r="AM48" s="59">
        <f t="shared" si="5"/>
        <v>695.51670006966549</v>
      </c>
      <c r="AN48" s="59">
        <f ca="1">AVERAGE(OFFSET($AM$3,0,0,'Données projet'!$E$10+1,1))-AVERAGE(OFFSET($H$3,0,0,'Données projet'!$E$10+1,1))</f>
        <v>263.22346936777603</v>
      </c>
      <c r="AO48" s="59">
        <f t="shared" si="36"/>
        <v>217.14714468707939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4.8005379084454418</v>
      </c>
      <c r="AW48" s="21">
        <f>EXP(-LN(2)/2)*AW47+(1-EXP(-LN(2)/2))/(LN(2)/2)*AQ48*AT48*VLOOKUP('Données projet'!$B$10,Paramètres!$A$1:$I$89,3,0)*0.475*44/12</f>
        <v>9.8612451253511715E-2</v>
      </c>
      <c r="AX48" s="21">
        <f t="shared" si="6"/>
        <v>4.8991503596989538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10.375</v>
      </c>
      <c r="BD48" s="12">
        <f>IF('Données projet'!$A$88&gt;35,BD47+BC48-BL47,IF(A48&lt;'Données projet'!$A$88,$BA$205^A48,IF(A48='Données projet'!$A$88,'Données projet'!$B$88,BD47+BC48-BL47)))</f>
        <v>197.37499999999991</v>
      </c>
      <c r="BE48" s="13">
        <f>BD48*VLOOKUP('Données projet'!$B$11,Paramètres!$A$1:$I$89,3,0)*VLOOKUP('Données projet'!$B$11,Paramètres!$A$1:$I$89,5,0)</f>
        <v>153.95249999999993</v>
      </c>
      <c r="BF48" s="13">
        <f t="shared" si="37"/>
        <v>39.475441267837361</v>
      </c>
      <c r="BG48" s="20">
        <f t="shared" si="7"/>
        <v>336.88699770814992</v>
      </c>
      <c r="BH48" s="59">
        <f t="shared" si="8"/>
        <v>630.22033104148318</v>
      </c>
      <c r="BI48" s="59">
        <f ca="1">AVERAGE(OFFSET($BH$3,0,0,'Données projet'!$E$11+1,1))-AVERAGE(OFFSET($H$3,0,0,'Données projet'!$E$11+1,1))</f>
        <v>219.22204054948094</v>
      </c>
      <c r="BJ48" s="59">
        <f t="shared" si="38"/>
        <v>222.41711966122034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2.0687119879632867</v>
      </c>
      <c r="BR48" s="21">
        <f>EXP(-LN(2)/2)*BR47+(1-EXP(-LN(2)/2))/(LN(2)/2)*BL48*BO48*VLOOKUP('Données projet'!$B$11,Paramètres!$A$1:$I$89,3,0)*0.475*44/12</f>
        <v>1.8064962058119728E-2</v>
      </c>
      <c r="BS48" s="22">
        <f t="shared" si="9"/>
        <v>2.0867769500214064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175</v>
      </c>
      <c r="BW48" s="12">
        <f>VLOOKUP(A48,'Données projet'!$A$113:$I$133,9,0)</f>
        <v>11.2</v>
      </c>
      <c r="BX48" s="12">
        <f t="array" ref="BX48">INDEX(BW:BW,MIN(IF(ISNUMBER(BW48:BW244),ROW(BW48:BW244),"")))</f>
        <v>11.2</v>
      </c>
      <c r="BY48" s="12">
        <f>IF('Données projet'!$A$114&gt;35,BY47+BX48-CG47,IF(A48&lt;'Données projet'!$A$114,$BV$205^A48,IF(A48='Données projet'!$A$114,'Données projet'!$B$114,BY47+BX48-CG47)))</f>
        <v>174.99999999999994</v>
      </c>
      <c r="BZ48" s="13">
        <f>BY48*VLOOKUP('Données projet'!$B$12,Paramètres!$A$1:$I$89,3,0)*VLOOKUP('Données projet'!$B$12,Paramètres!$A$1:$I$89,5,0)</f>
        <v>150.14999999999995</v>
      </c>
      <c r="CA48" s="13">
        <f t="shared" si="39"/>
        <v>38.612671675922336</v>
      </c>
      <c r="CB48" s="20">
        <f t="shared" si="10"/>
        <v>328.76165316889802</v>
      </c>
      <c r="CC48" s="59">
        <f t="shared" si="11"/>
        <v>622.09498650223134</v>
      </c>
      <c r="CD48" s="59">
        <f ca="1">AVERAGE(OFFSET($CC$3,0,0,'Données projet'!$E$12+1,1))-AVERAGE(OFFSET($H$3,0,0,'Données projet'!$E$12+1,1))</f>
        <v>237.27357081252273</v>
      </c>
      <c r="CE48" s="59">
        <f t="shared" si="40"/>
        <v>68.768479693848576</v>
      </c>
      <c r="CF48" s="15">
        <f>IF(ISNA(VLOOKUP(A48,'Données projet'!$A$113:$I$133,3,0)),0,VLOOKUP(A48,'Données projet'!$A$113:$I$133,3,0))</f>
        <v>4</v>
      </c>
      <c r="CG48" s="15">
        <f>IF(ISNA(VLOOKUP(A48,'Données projet'!$A$113:$I$133,4,0)),0,VLOOKUP(A48,'Données projet'!$A$113:$I$133,4,0))</f>
        <v>17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677</v>
      </c>
      <c r="CR48" s="12">
        <f>VLOOKUP(A48,'Données projet'!$A$139:$I$159,9,0)</f>
        <v>20.399999999999999</v>
      </c>
      <c r="CS48" s="12">
        <f t="array" ref="CS48">INDEX(CR:CR,MIN(IF(ISNUMBER(CR48:CR244),ROW(CR48:CR244),"")))</f>
        <v>20.399999999999999</v>
      </c>
      <c r="CT48" s="12">
        <f>IF('Données projet'!$A$140&gt;35,CT47+CS48-DB47,IF(A48&lt;'Données projet'!$A$140,$CQ$205^A48,IF(A48='Données projet'!$A$140,'Données projet'!$B$140,CT47+CS48-DB47)))</f>
        <v>676.99999999999989</v>
      </c>
      <c r="CU48" s="17">
        <f>CT48*VLOOKUP('Données projet'!$B$13,Paramètres!$A$1:$I$89,3,0)*VLOOKUP('Données projet'!$B$13,Paramètres!$A$1:$I$89,5,0)</f>
        <v>378.44299999999998</v>
      </c>
      <c r="CV48" s="13">
        <f t="shared" si="41"/>
        <v>87.392323475551621</v>
      </c>
      <c r="CW48" s="20">
        <f t="shared" si="13"/>
        <v>811.32985505325234</v>
      </c>
      <c r="CX48" s="59">
        <f t="shared" si="14"/>
        <v>1104.6631883865857</v>
      </c>
      <c r="CY48" s="59">
        <f ca="1">AVERAGE(OFFSET($CX$3,0,0,'Données projet'!$E$13+1,1))-AVERAGE(OFFSET($H$3,0,0,'Données projet'!$E$13+1,1))</f>
        <v>474.03051418249999</v>
      </c>
      <c r="CZ48" s="59">
        <f t="shared" si="42"/>
        <v>649.52271992719091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82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4.0606428844953344</v>
      </c>
      <c r="DG48" s="21">
        <f>EXP(-LN(2)/25)*DG47+(1-EXP(-LN(2)/25))/(LN(2)/25)*Calculateur!DB48*Calculateur!DD48*VLOOKUP('Données projet'!$B$13,Paramètres!$A$1:$I$89,3,0)*0.475*44/12</f>
        <v>15.961474346795141</v>
      </c>
      <c r="DH48" s="21">
        <f>EXP(-LN(2)/2)*DH47+(1-EXP(-LN(2)/2))/(LN(2)/2)*DB48*DE48*VLOOKUP('Données projet'!$B$13,Paramètres!$A$1:$I$89,3,0)*0.475*44/12</f>
        <v>6.4632145445141731E-2</v>
      </c>
      <c r="DI48" s="22">
        <f t="shared" si="15"/>
        <v>20.086749376735618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-5.6843418860808015E-14</v>
      </c>
      <c r="DP48" s="17">
        <f>DO48*VLOOKUP('Données projet'!$B$14,Paramètres!$A$1:$I$89,3,0)*VLOOKUP('Données projet'!$B$14,Paramètres!$A$1:$I$89,5,0)</f>
        <v>-3.1036506698001178E-14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164.0740581424559</v>
      </c>
      <c r="DU48" s="59">
        <f t="shared" si="44"/>
        <v>280.99861170359793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4.9079822362093122</v>
      </c>
      <c r="EB48" s="21">
        <f>EXP(-LN(2)/25)*EB47+(1-EXP(-LN(2)/25))/(LN(2)/25)*Calculateur!DW48*Calculateur!DY48*VLOOKUP('Données projet'!$B$14,Paramètres!$A$1:$I$89,3,0)*0.475*44/12</f>
        <v>17.085430782579429</v>
      </c>
      <c r="EC48" s="21">
        <f>EXP(-LN(2)/2)*EC47+(1-EXP(-LN(2)/2))/(LN(2)/2)*DW48*DZ48*VLOOKUP('Données projet'!$B$14,Paramètres!$A$1:$I$89,3,0)*0.475*44/12</f>
        <v>8.3851336513872457E-2</v>
      </c>
      <c r="ED48" s="22">
        <f t="shared" si="18"/>
        <v>22.077264355302617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588</v>
      </c>
      <c r="EH48" s="12">
        <f>VLOOKUP(A48,'Données projet'!$A$191:$I$211,9,0)</f>
        <v>28.2</v>
      </c>
      <c r="EI48" s="12">
        <f t="array" ref="EI48">INDEX(EH:EH,MIN(IF(ISNUMBER(EH48:EH244),ROW(EH48:EH244),"")))</f>
        <v>28.2</v>
      </c>
      <c r="EJ48" s="12">
        <f>IF('Données projet'!$A$192&gt;35,EJ47+EI48-ER47,IF(A48&lt;'Données projet'!$A$192,$EG$205^A48,IF(A48='Données projet'!$A$192,'Données projet'!$B$192,EJ47+EI48-ER47)))</f>
        <v>588.00000000000034</v>
      </c>
      <c r="EK48" s="17">
        <f>EJ48*VLOOKUP('Données projet'!$B$15,Paramètres!$A$1:$I$89,3,0)*VLOOKUP('Données projet'!$B$15,Paramètres!$A$1:$I$89,5,0)</f>
        <v>282.82800000000015</v>
      </c>
      <c r="EL48" s="13">
        <f t="shared" si="45"/>
        <v>67.564296586474399</v>
      </c>
      <c r="EM48" s="20">
        <f t="shared" si="19"/>
        <v>610.26658322144317</v>
      </c>
      <c r="EN48" s="59">
        <f t="shared" si="20"/>
        <v>903.59991655477643</v>
      </c>
      <c r="EO48" s="59">
        <f ca="1">AVERAGE(OFFSET($EN$3,0,0,'Données projet'!$E$15+1,1))-AVERAGE(OFFSET($H$3,0,0,'Données projet'!$E$15+1,1))</f>
        <v>312.1172301514103</v>
      </c>
      <c r="EP48" s="59">
        <f t="shared" si="46"/>
        <v>369.85500533493212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77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2.0077701454229793</v>
      </c>
      <c r="EW48" s="21">
        <f>EXP(-LN(2)/25)*EW47+(1-EXP(-LN(2)/25))/(LN(2)/25)*Calculateur!ER48*Calculateur!ET48*VLOOKUP('Données projet'!$B$15,Paramètres!$A$1:$I$89,3,0)*0.475*44/12</f>
        <v>9.9223868789700038</v>
      </c>
      <c r="EX48" s="21">
        <f>EXP(-LN(2)/2)*EX47+(1-EXP(-LN(2)/2))/(LN(2)/2)*ER48*EU48*VLOOKUP('Données projet'!$B$15,Paramètres!$A$1:$I$89,3,0)*0.475*44/12</f>
        <v>0.17499000046150071</v>
      </c>
      <c r="EY48" s="22">
        <f t="shared" si="21"/>
        <v>12.105147024854483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-1.7053025658242404E-13</v>
      </c>
      <c r="FF48" s="17">
        <f>FE48*VLOOKUP('Données projet'!$B$16,Paramètres!$A$1:$I$89,3,0)*VLOOKUP('Données projet'!$B$16,Paramètres!$A$1:$I$89,5,0)</f>
        <v>-7.9808160080574461E-14</v>
      </c>
      <c r="FG48" s="13" t="e">
        <f t="shared" si="47"/>
        <v>#NUM!</v>
      </c>
      <c r="FH48" s="20" t="e">
        <f t="shared" si="22"/>
        <v>#NUM!</v>
      </c>
      <c r="FI48" s="59" t="e">
        <f t="shared" si="23"/>
        <v>#NUM!</v>
      </c>
      <c r="FJ48" s="59">
        <f ca="1">AVERAGE(OFFSET($FI$3,0,0,'Données projet'!$E$16+1,1))-AVERAGE(OFFSET($H$3,0,0,'Données projet'!$E$16+1,1))</f>
        <v>87.187251664304199</v>
      </c>
      <c r="FK48" s="59">
        <f t="shared" si="48"/>
        <v>148.84938257884147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5.320033929319421</v>
      </c>
      <c r="FS48" s="21">
        <f>EXP(-LN(2)/2)*FS47+(1-EXP(-LN(2)/2))/(LN(2)/2)*FM48*FP48*VLOOKUP('Données projet'!$B$16,Paramètres!$A$1:$I$89,3,0)*0.475*44/12</f>
        <v>3.3609256291316537E-2</v>
      </c>
      <c r="FT48" s="22">
        <f t="shared" si="24"/>
        <v>5.3536431856107374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384</v>
      </c>
      <c r="FX48" s="12">
        <f>VLOOKUP(A48,'Données projet'!$A$243:$I$263,9,0)</f>
        <v>20</v>
      </c>
      <c r="FY48" s="12">
        <f t="array" ref="FY48">INDEX(FX:FX,MIN(IF(ISNUMBER(FX48:FX244),ROW(FX48:FX244),"")))</f>
        <v>20</v>
      </c>
      <c r="FZ48" s="12">
        <f>IF('Données projet'!$A$244&gt;35,FZ47+FY48-GH47,IF(A48&lt;'Données projet'!$A$244,$FW$205^A48,IF(A48='Données projet'!$A$244,'Données projet'!$B$244,FZ47+FY48-GH47)))</f>
        <v>384.00000000000017</v>
      </c>
      <c r="GA48" s="17">
        <f>FZ48*VLOOKUP('Données projet'!$B$17,Paramètres!$A$1:$I$89,3,0)*VLOOKUP('Données projet'!$B$17,Paramètres!$A$1:$I$89,5,0)</f>
        <v>229.63200000000015</v>
      </c>
      <c r="GB48" s="13">
        <f t="shared" si="49"/>
        <v>56.20310391330672</v>
      </c>
      <c r="GC48" s="20">
        <f t="shared" si="25"/>
        <v>497.8294726490094</v>
      </c>
      <c r="GD48" s="59">
        <f t="shared" si="26"/>
        <v>791.16280598234266</v>
      </c>
      <c r="GE48" s="59">
        <f ca="1">AVERAGE(OFFSET($GD$3,0,0,'Données projet'!$E$17+1,1))-AVERAGE(OFFSET($H$3,0,0,'Données projet'!$E$17+1,1))</f>
        <v>282.94722676586207</v>
      </c>
      <c r="GF48" s="59">
        <f t="shared" si="50"/>
        <v>310.63647941571298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57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7.070923204859449</v>
      </c>
      <c r="GN48" s="21">
        <f>EXP(-LN(2)/2)*GN47+(1-EXP(-LN(2)/2))/(LN(2)/2)*GH48*GK48*VLOOKUP('Données projet'!$B$17,Paramètres!$A$1:$I$89,3,0)*0.475*44/12</f>
        <v>0.14163256570386329</v>
      </c>
      <c r="GO48" s="21">
        <f t="shared" si="27"/>
        <v>7.2125557705633128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11</v>
      </c>
      <c r="GU48" s="12">
        <f>IF('Données projet'!$A$270&gt;35,GU47+GT48-HC47,IF(A48&lt;'Données projet'!$A$270,$GR$205^A48,IF(A48='Données projet'!$A$270,'Données projet'!$B$270,GU47+GT48-HC47)))</f>
        <v>353.99999999999989</v>
      </c>
      <c r="GV48" s="17">
        <f>GU48*VLOOKUP('Données projet'!$B$18,Paramètres!$A$1:$I$89,3,0)*VLOOKUP('Données projet'!$B$18,Paramètres!$A$1:$I$89,5,0)</f>
        <v>211.69199999999995</v>
      </c>
      <c r="GW48" s="13">
        <f t="shared" si="51"/>
        <v>52.305157403317835</v>
      </c>
      <c r="GX48" s="20">
        <f t="shared" si="28"/>
        <v>459.79504914411177</v>
      </c>
      <c r="GY48" s="59">
        <f t="shared" si="29"/>
        <v>753.12838247744503</v>
      </c>
      <c r="GZ48" s="59">
        <f ca="1">AVERAGE(OFFSET($GY$3,0,0,'Données projet'!$E$18+1,1))-AVERAGE(OFFSET($H$3,0,0,'Données projet'!$E$18+1,1))</f>
        <v>255.54398581450459</v>
      </c>
      <c r="HA48" s="59">
        <f t="shared" si="52"/>
        <v>276.52622328061204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3.5281688680469405</v>
      </c>
      <c r="HI48" s="21">
        <f>EXP(-LN(2)/2)*HI47+(1-EXP(-LN(2)/2))/(LN(2)/2)*HC48*HF48*VLOOKUP('Données projet'!$B$18,Paramètres!$A$1:$I$89,3,0)*0.475*44/12</f>
        <v>8.2129811865298621E-2</v>
      </c>
      <c r="HJ48" s="22">
        <f t="shared" si="30"/>
        <v>3.6102986799122392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9.6</v>
      </c>
      <c r="N49" s="13">
        <f>IF('Données projet'!$A$36&gt;35,N48+M49-V48,IF(A49&lt;'Données projet'!$A$36,$K$205^A49,IF(A49='Données projet'!$A$36,'Données projet'!$B$36,N48+M49-V48)))</f>
        <v>213.60000000000011</v>
      </c>
      <c r="O49" s="13">
        <f>N49*VLOOKUP('Données projet'!$B$9,Paramètres!$A$1:$I$89,3,0)*VLOOKUP('Données projet'!$B$9,Paramètres!$A$1:$I$89,5,0)</f>
        <v>186.60096000000013</v>
      </c>
      <c r="P49" s="13">
        <f t="shared" si="33"/>
        <v>46.787685683664144</v>
      </c>
      <c r="Q49" s="20">
        <f t="shared" si="53"/>
        <v>406.48522456571527</v>
      </c>
      <c r="R49" s="59">
        <f t="shared" si="0"/>
        <v>699.81855789904853</v>
      </c>
      <c r="S49" s="59">
        <f ca="1">AVERAGE(OFFSET($R$3,0,0,'Données projet'!$E$9+1,1))-AVERAGE(OFFSET($H$3,0,0,'Données projet'!$E$9+1,1))</f>
        <v>248.50221719467663</v>
      </c>
      <c r="T49" s="59">
        <f t="shared" si="34"/>
        <v>366.09064580347183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5.7508162135417269</v>
      </c>
      <c r="AA49" s="21">
        <f>EXP(-LN(2)/25)*AA48+(1-EXP(-LN(2)/25))/(LN(2)/25)*Calculateur!V49*Calculateur!X49*VLOOKUP('Données projet'!$B$9,Paramètres!$A$1:$I$89,3,0)*0.475*44/12</f>
        <v>15.445964812877277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21.196781026419004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169.19760000000002</v>
      </c>
      <c r="AK49" s="13">
        <f t="shared" si="35"/>
        <v>42.910263223432885</v>
      </c>
      <c r="AL49" s="20">
        <f t="shared" si="4"/>
        <v>369.42119511414558</v>
      </c>
      <c r="AM49" s="59">
        <f t="shared" si="5"/>
        <v>662.75452844747883</v>
      </c>
      <c r="AN49" s="59">
        <f ca="1">AVERAGE(OFFSET($AM$3,0,0,'Données projet'!$E$10+1,1))-AVERAGE(OFFSET($H$3,0,0,'Données projet'!$E$10+1,1))</f>
        <v>263.22346936777603</v>
      </c>
      <c r="AO49" s="59">
        <f t="shared" si="36"/>
        <v>217.14714468707939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4.6692669468896844</v>
      </c>
      <c r="AW49" s="21">
        <f>EXP(-LN(2)/2)*AW48+(1-EXP(-LN(2)/2))/(LN(2)/2)*AQ49*AT49*VLOOKUP('Données projet'!$B$10,Paramètres!$A$1:$I$89,3,0)*0.475*44/12</f>
        <v>6.9729532990785992E-2</v>
      </c>
      <c r="AX49" s="21">
        <f t="shared" si="6"/>
        <v>4.7389964798804707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10.375</v>
      </c>
      <c r="BD49" s="12">
        <f>IF('Données projet'!$A$88&gt;35,BD48+BC49-BL48,IF(A49&lt;'Données projet'!$A$88,$BA$205^A49,IF(A49='Données projet'!$A$88,'Données projet'!$B$88,BD48+BC49-BL48)))</f>
        <v>207.74999999999991</v>
      </c>
      <c r="BE49" s="13">
        <f>BD49*VLOOKUP('Données projet'!$B$11,Paramètres!$A$1:$I$89,3,0)*VLOOKUP('Données projet'!$B$11,Paramètres!$A$1:$I$89,5,0)</f>
        <v>162.04499999999993</v>
      </c>
      <c r="BF49" s="13">
        <f t="shared" si="37"/>
        <v>41.303429372463391</v>
      </c>
      <c r="BG49" s="20">
        <f t="shared" si="7"/>
        <v>354.16518115704025</v>
      </c>
      <c r="BH49" s="59">
        <f t="shared" si="8"/>
        <v>647.49851449037351</v>
      </c>
      <c r="BI49" s="59">
        <f ca="1">AVERAGE(OFFSET($BH$3,0,0,'Données projet'!$E$11+1,1))-AVERAGE(OFFSET($H$3,0,0,'Données projet'!$E$11+1,1))</f>
        <v>219.22204054948094</v>
      </c>
      <c r="BJ49" s="59">
        <f t="shared" si="38"/>
        <v>222.41711966122034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2.0121429498635952</v>
      </c>
      <c r="BR49" s="21">
        <f>EXP(-LN(2)/2)*BR48+(1-EXP(-LN(2)/2))/(LN(2)/2)*BL49*BO49*VLOOKUP('Données projet'!$B$11,Paramètres!$A$1:$I$89,3,0)*0.475*44/12</f>
        <v>1.277385717317415E-2</v>
      </c>
      <c r="BS49" s="22">
        <f t="shared" si="9"/>
        <v>2.0249168070367696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12.4</v>
      </c>
      <c r="BY49" s="12">
        <f>IF('Données projet'!$A$114&gt;35,BY48+BX49-CG48,IF(A49&lt;'Données projet'!$A$114,$BV$205^A49,IF(A49='Données projet'!$A$114,'Données projet'!$B$114,BY48+BX49-CG48)))</f>
        <v>170.39999999999995</v>
      </c>
      <c r="BZ49" s="13">
        <f>BY49*VLOOKUP('Données projet'!$B$12,Paramètres!$A$1:$I$89,3,0)*VLOOKUP('Données projet'!$B$12,Paramètres!$A$1:$I$89,5,0)</f>
        <v>146.20319999999998</v>
      </c>
      <c r="CA49" s="13">
        <f t="shared" si="39"/>
        <v>37.714465965904303</v>
      </c>
      <c r="CB49" s="20">
        <f t="shared" si="10"/>
        <v>320.32326822394992</v>
      </c>
      <c r="CC49" s="59">
        <f t="shared" si="11"/>
        <v>613.65660155728324</v>
      </c>
      <c r="CD49" s="59">
        <f ca="1">AVERAGE(OFFSET($CC$3,0,0,'Données projet'!$E$12+1,1))-AVERAGE(OFFSET($H$3,0,0,'Données projet'!$E$12+1,1))</f>
        <v>237.27357081252273</v>
      </c>
      <c r="CE49" s="59">
        <f t="shared" si="40"/>
        <v>68.768479693848576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19.2</v>
      </c>
      <c r="CT49" s="12">
        <f>IF('Données projet'!$A$140&gt;35,CT48+CS49-DB48,IF(A49&lt;'Données projet'!$A$140,$CQ$205^A49,IF(A49='Données projet'!$A$140,'Données projet'!$B$140,CT48+CS49-DB48)))</f>
        <v>614.19999999999993</v>
      </c>
      <c r="CU49" s="17">
        <f>CT49*VLOOKUP('Données projet'!$B$13,Paramètres!$A$1:$I$89,3,0)*VLOOKUP('Données projet'!$B$13,Paramètres!$A$1:$I$89,5,0)</f>
        <v>343.33780000000002</v>
      </c>
      <c r="CV49" s="13">
        <f t="shared" si="41"/>
        <v>80.189164455589108</v>
      </c>
      <c r="CW49" s="20">
        <f t="shared" si="13"/>
        <v>737.64279642681765</v>
      </c>
      <c r="CX49" s="59">
        <f t="shared" si="14"/>
        <v>1030.976129760151</v>
      </c>
      <c r="CY49" s="59">
        <f ca="1">AVERAGE(OFFSET($CX$3,0,0,'Données projet'!$E$13+1,1))-AVERAGE(OFFSET($H$3,0,0,'Données projet'!$E$13+1,1))</f>
        <v>474.03051418249999</v>
      </c>
      <c r="CZ49" s="59">
        <f t="shared" si="42"/>
        <v>649.52271992719091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3.9810161542779818</v>
      </c>
      <c r="DG49" s="21">
        <f>EXP(-LN(2)/25)*DG48+(1-EXP(-LN(2)/25))/(LN(2)/25)*Calculateur!DB49*Calculateur!DD49*VLOOKUP('Données projet'!$B$13,Paramètres!$A$1:$I$89,3,0)*0.475*44/12</f>
        <v>15.525006991404572</v>
      </c>
      <c r="DH49" s="21">
        <f>EXP(-LN(2)/2)*DH48+(1-EXP(-LN(2)/2))/(LN(2)/2)*DB49*DE49*VLOOKUP('Données projet'!$B$13,Paramètres!$A$1:$I$89,3,0)*0.475*44/12</f>
        <v>4.5701828326894949E-2</v>
      </c>
      <c r="DI49" s="22">
        <f t="shared" si="15"/>
        <v>19.551724974009449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-5.6843418860808015E-14</v>
      </c>
      <c r="DP49" s="17">
        <f>DO49*VLOOKUP('Données projet'!$B$14,Paramètres!$A$1:$I$89,3,0)*VLOOKUP('Données projet'!$B$14,Paramètres!$A$1:$I$89,5,0)</f>
        <v>-3.1036506698001178E-14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164.0740581424559</v>
      </c>
      <c r="DU49" s="59">
        <f t="shared" si="44"/>
        <v>280.99861170359793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4.8117396981308209</v>
      </c>
      <c r="EB49" s="21">
        <f>EXP(-LN(2)/25)*EB48+(1-EXP(-LN(2)/25))/(LN(2)/25)*Calculateur!DW49*Calculateur!DY49*VLOOKUP('Données projet'!$B$14,Paramètres!$A$1:$I$89,3,0)*0.475*44/12</f>
        <v>16.61822877934604</v>
      </c>
      <c r="EC49" s="21">
        <f>EXP(-LN(2)/2)*EC48+(1-EXP(-LN(2)/2))/(LN(2)/2)*DW49*DZ49*VLOOKUP('Données projet'!$B$14,Paramètres!$A$1:$I$89,3,0)*0.475*44/12</f>
        <v>5.929184866051438E-2</v>
      </c>
      <c r="ED49" s="22">
        <f t="shared" si="18"/>
        <v>21.489260326137376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26.6</v>
      </c>
      <c r="EJ49" s="12">
        <f>IF('Données projet'!$A$192&gt;35,EJ48+EI49-ER48,IF(A49&lt;'Données projet'!$A$192,$EG$205^A49,IF(A49='Données projet'!$A$192,'Données projet'!$B$192,EJ48+EI49-ER48)))</f>
        <v>537.60000000000036</v>
      </c>
      <c r="EK49" s="17">
        <f>EJ49*VLOOKUP('Données projet'!$B$15,Paramètres!$A$1:$I$89,3,0)*VLOOKUP('Données projet'!$B$15,Paramètres!$A$1:$I$89,5,0)</f>
        <v>258.58560000000017</v>
      </c>
      <c r="EL49" s="13">
        <f t="shared" si="45"/>
        <v>62.420789384491954</v>
      </c>
      <c r="EM49" s="20">
        <f t="shared" si="19"/>
        <v>559.08612817799042</v>
      </c>
      <c r="EN49" s="59">
        <f t="shared" si="20"/>
        <v>852.41946151132379</v>
      </c>
      <c r="EO49" s="59">
        <f ca="1">AVERAGE(OFFSET($EN$3,0,0,'Données projet'!$E$15+1,1))-AVERAGE(OFFSET($H$3,0,0,'Données projet'!$E$15+1,1))</f>
        <v>312.1172301514103</v>
      </c>
      <c r="EP49" s="59">
        <f t="shared" si="46"/>
        <v>369.85500533493212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1.9683989974901024</v>
      </c>
      <c r="EW49" s="21">
        <f>EXP(-LN(2)/25)*EW48+(1-EXP(-LN(2)/25))/(LN(2)/25)*Calculateur!ER49*Calculateur!ET49*VLOOKUP('Données projet'!$B$15,Paramètres!$A$1:$I$89,3,0)*0.475*44/12</f>
        <v>9.6510586879689217</v>
      </c>
      <c r="EX49" s="21">
        <f>EXP(-LN(2)/2)*EX48+(1-EXP(-LN(2)/2))/(LN(2)/2)*ER49*EU49*VLOOKUP('Données projet'!$B$15,Paramètres!$A$1:$I$89,3,0)*0.475*44/12</f>
        <v>0.12373661596616424</v>
      </c>
      <c r="EY49" s="22">
        <f t="shared" si="21"/>
        <v>11.743194301425188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-1.7053025658242404E-13</v>
      </c>
      <c r="FF49" s="17">
        <f>FE49*VLOOKUP('Données projet'!$B$16,Paramètres!$A$1:$I$89,3,0)*VLOOKUP('Données projet'!$B$16,Paramètres!$A$1:$I$89,5,0)</f>
        <v>-7.9808160080574461E-14</v>
      </c>
      <c r="FG49" s="13" t="e">
        <f t="shared" si="47"/>
        <v>#NUM!</v>
      </c>
      <c r="FH49" s="20" t="e">
        <f t="shared" si="22"/>
        <v>#NUM!</v>
      </c>
      <c r="FI49" s="59" t="e">
        <f t="shared" si="23"/>
        <v>#NUM!</v>
      </c>
      <c r="FJ49" s="59">
        <f ca="1">AVERAGE(OFFSET($FI$3,0,0,'Données projet'!$E$16+1,1))-AVERAGE(OFFSET($H$3,0,0,'Données projet'!$E$16+1,1))</f>
        <v>87.187251664304199</v>
      </c>
      <c r="FK49" s="59">
        <f t="shared" si="48"/>
        <v>148.84938257884147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5.1745573217537562</v>
      </c>
      <c r="FS49" s="21">
        <f>EXP(-LN(2)/2)*FS48+(1-EXP(-LN(2)/2))/(LN(2)/2)*FM49*FP49*VLOOKUP('Données projet'!$B$16,Paramètres!$A$1:$I$89,3,0)*0.475*44/12</f>
        <v>2.3765333034226559E-2</v>
      </c>
      <c r="FT49" s="22">
        <f t="shared" si="24"/>
        <v>5.1983226547879831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17.399999999999999</v>
      </c>
      <c r="FZ49" s="12">
        <f>IF('Données projet'!$A$244&gt;35,FZ48+FY49-GH48,IF(A49&lt;'Données projet'!$A$244,$FW$205^A49,IF(A49='Données projet'!$A$244,'Données projet'!$B$244,FZ48+FY49-GH48)))</f>
        <v>344.40000000000015</v>
      </c>
      <c r="GA49" s="17">
        <f>FZ49*VLOOKUP('Données projet'!$B$17,Paramètres!$A$1:$I$89,3,0)*VLOOKUP('Données projet'!$B$17,Paramètres!$A$1:$I$89,5,0)</f>
        <v>205.95120000000009</v>
      </c>
      <c r="GB49" s="13">
        <f t="shared" si="49"/>
        <v>51.049821044529857</v>
      </c>
      <c r="GC49" s="20">
        <f t="shared" si="25"/>
        <v>447.61011165255627</v>
      </c>
      <c r="GD49" s="59">
        <f t="shared" si="26"/>
        <v>740.94344498588953</v>
      </c>
      <c r="GE49" s="59">
        <f ca="1">AVERAGE(OFFSET($GD$3,0,0,'Données projet'!$E$17+1,1))-AVERAGE(OFFSET($H$3,0,0,'Données projet'!$E$17+1,1))</f>
        <v>282.94722676586207</v>
      </c>
      <c r="GF49" s="59">
        <f t="shared" si="50"/>
        <v>310.63647941571298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6.8775684379788773</v>
      </c>
      <c r="GN49" s="21">
        <f>EXP(-LN(2)/2)*GN48+(1-EXP(-LN(2)/2))/(LN(2)/2)*GH49*GK49*VLOOKUP('Données projet'!$B$17,Paramètres!$A$1:$I$89,3,0)*0.475*44/12</f>
        <v>0.10014934764605098</v>
      </c>
      <c r="GO49" s="21">
        <f t="shared" si="27"/>
        <v>6.9777177856249279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>
        <f>VLOOKUP(A49,'Données projet'!$A$269:$I$289,2,0)</f>
        <v>365</v>
      </c>
      <c r="GS49" s="12">
        <f>VLOOKUP(A49,'Données projet'!$A$269:$I$289,9,0)</f>
        <v>11</v>
      </c>
      <c r="GT49" s="12">
        <f t="array" ref="GT49">INDEX(GS:GS,MIN(IF(ISNUMBER(GS49:GS245),ROW(GS49:GS245),"")))</f>
        <v>11</v>
      </c>
      <c r="GU49" s="12">
        <f>IF('Données projet'!$A$270&gt;35,GU48+GT49-HC48,IF(A49&lt;'Données projet'!$A$270,$GR$205^A49,IF(A49='Données projet'!$A$270,'Données projet'!$B$270,GU48+GT49-HC48)))</f>
        <v>364.99999999999989</v>
      </c>
      <c r="GV49" s="17">
        <f>GU49*VLOOKUP('Données projet'!$B$18,Paramètres!$A$1:$I$89,3,0)*VLOOKUP('Données projet'!$B$18,Paramètres!$A$1:$I$89,5,0)</f>
        <v>218.26999999999995</v>
      </c>
      <c r="GW49" s="13">
        <f t="shared" si="51"/>
        <v>53.738706177800289</v>
      </c>
      <c r="GX49" s="20">
        <f t="shared" si="28"/>
        <v>473.74849659300207</v>
      </c>
      <c r="GY49" s="59">
        <f t="shared" si="29"/>
        <v>767.08182992633533</v>
      </c>
      <c r="GZ49" s="59">
        <f ca="1">AVERAGE(OFFSET($GY$3,0,0,'Données projet'!$E$18+1,1))-AVERAGE(OFFSET($H$3,0,0,'Données projet'!$E$18+1,1))</f>
        <v>255.54398581450459</v>
      </c>
      <c r="HA49" s="59">
        <f t="shared" si="52"/>
        <v>276.52622328061204</v>
      </c>
      <c r="HB49" s="15">
        <f>IF(ISNA(VLOOKUP(A49,'Données projet'!$A$269:$I$289,3,0)),0,VLOOKUP(A49,'Données projet'!$A$269:$I$289,3,0))</f>
        <v>8</v>
      </c>
      <c r="HC49" s="15">
        <f>IF(ISNA(VLOOKUP(A49,'Données projet'!$A$269:$I$289,4,0)),0,VLOOKUP(A49,'Données projet'!$A$269:$I$289,4,0))</f>
        <v>21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3.4316909048118598</v>
      </c>
      <c r="HI49" s="21">
        <f>EXP(-LN(2)/2)*HI48+(1-EXP(-LN(2)/2))/(LN(2)/2)*HC49*HF49*VLOOKUP('Données projet'!$B$18,Paramètres!$A$1:$I$89,3,0)*0.475*44/12</f>
        <v>5.807454690752803E-2</v>
      </c>
      <c r="HJ49" s="22">
        <f t="shared" si="30"/>
        <v>3.4897654517193879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9.6</v>
      </c>
      <c r="N50" s="13">
        <f>IF('Données projet'!$A$36&gt;35,N49+M50-V49,IF(A50&lt;'Données projet'!$A$36,$K$205^A50,IF(A50='Données projet'!$A$36,'Données projet'!$B$36,N49+M50-V49)))</f>
        <v>223.2000000000001</v>
      </c>
      <c r="O50" s="13">
        <f>N50*VLOOKUP('Données projet'!$B$9,Paramètres!$A$1:$I$89,3,0)*VLOOKUP('Données projet'!$B$9,Paramètres!$A$1:$I$89,5,0)</f>
        <v>194.98752000000013</v>
      </c>
      <c r="P50" s="13">
        <f t="shared" si="33"/>
        <v>48.640954330020385</v>
      </c>
      <c r="Q50" s="20">
        <f t="shared" si="53"/>
        <v>424.31959279145235</v>
      </c>
      <c r="R50" s="59">
        <f t="shared" si="0"/>
        <v>717.65292612478561</v>
      </c>
      <c r="S50" s="59">
        <f ca="1">AVERAGE(OFFSET($R$3,0,0,'Données projet'!$E$9+1,1))-AVERAGE(OFFSET($H$3,0,0,'Données projet'!$E$9+1,1))</f>
        <v>248.50221719467663</v>
      </c>
      <c r="T50" s="59">
        <f t="shared" si="34"/>
        <v>366.09064580347183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5.638046215245712</v>
      </c>
      <c r="AA50" s="21">
        <f>EXP(-LN(2)/25)*AA49+(1-EXP(-LN(2)/25))/(LN(2)/25)*Calculateur!V50*Calculateur!X50*VLOOKUP('Données projet'!$B$9,Paramètres!$A$1:$I$89,3,0)*0.475*44/12</f>
        <v>15.02359409280116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20.66164030804687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179.15040000000002</v>
      </c>
      <c r="AK50" s="13">
        <f t="shared" si="35"/>
        <v>45.133113803437304</v>
      </c>
      <c r="AL50" s="20">
        <f t="shared" si="4"/>
        <v>390.62711987431999</v>
      </c>
      <c r="AM50" s="59">
        <f t="shared" si="5"/>
        <v>683.96045320765325</v>
      </c>
      <c r="AN50" s="59">
        <f ca="1">AVERAGE(OFFSET($AM$3,0,0,'Données projet'!$E$10+1,1))-AVERAGE(OFFSET($H$3,0,0,'Données projet'!$E$10+1,1))</f>
        <v>263.22346936777603</v>
      </c>
      <c r="AO50" s="59">
        <f t="shared" si="36"/>
        <v>217.14714468707939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4.5415855966809087</v>
      </c>
      <c r="AW50" s="21">
        <f>EXP(-LN(2)/2)*AW49+(1-EXP(-LN(2)/2))/(LN(2)/2)*AQ50*AT50*VLOOKUP('Données projet'!$B$10,Paramètres!$A$1:$I$89,3,0)*0.475*44/12</f>
        <v>4.9306225626755858E-2</v>
      </c>
      <c r="AX50" s="21">
        <f t="shared" si="6"/>
        <v>4.5908918223076647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10.375</v>
      </c>
      <c r="BD50" s="12">
        <f>IF('Données projet'!$A$88&gt;35,BD49+BC50-BL49,IF(A50&lt;'Données projet'!$A$88,$BA$205^A50,IF(A50='Données projet'!$A$88,'Données projet'!$B$88,BD49+BC50-BL49)))</f>
        <v>218.12499999999991</v>
      </c>
      <c r="BE50" s="13">
        <f>BD50*VLOOKUP('Données projet'!$B$11,Paramètres!$A$1:$I$89,3,0)*VLOOKUP('Données projet'!$B$11,Paramètres!$A$1:$I$89,5,0)</f>
        <v>170.13749999999993</v>
      </c>
      <c r="BF50" s="13">
        <f t="shared" si="37"/>
        <v>43.120817562072375</v>
      </c>
      <c r="BG50" s="20">
        <f t="shared" si="7"/>
        <v>371.42490308727588</v>
      </c>
      <c r="BH50" s="59">
        <f t="shared" si="8"/>
        <v>664.75823642060914</v>
      </c>
      <c r="BI50" s="59">
        <f ca="1">AVERAGE(OFFSET($BH$3,0,0,'Données projet'!$E$11+1,1))-AVERAGE(OFFSET($H$3,0,0,'Données projet'!$E$11+1,1))</f>
        <v>219.22204054948094</v>
      </c>
      <c r="BJ50" s="59">
        <f t="shared" si="38"/>
        <v>222.41711966122034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1.9571207950855762</v>
      </c>
      <c r="BR50" s="21">
        <f>EXP(-LN(2)/2)*BR49+(1-EXP(-LN(2)/2))/(LN(2)/2)*BL50*BO50*VLOOKUP('Données projet'!$B$11,Paramètres!$A$1:$I$89,3,0)*0.475*44/12</f>
        <v>9.0324810290598641E-3</v>
      </c>
      <c r="BS50" s="22">
        <f t="shared" si="9"/>
        <v>1.9661532761146361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12.4</v>
      </c>
      <c r="BY50" s="12">
        <f>IF('Données projet'!$A$114&gt;35,BY49+BX50-CG49,IF(A50&lt;'Données projet'!$A$114,$BV$205^A50,IF(A50='Données projet'!$A$114,'Données projet'!$B$114,BY49+BX50-CG49)))</f>
        <v>182.79999999999995</v>
      </c>
      <c r="BZ50" s="13">
        <f>BY50*VLOOKUP('Données projet'!$B$12,Paramètres!$A$1:$I$89,3,0)*VLOOKUP('Données projet'!$B$12,Paramètres!$A$1:$I$89,5,0)</f>
        <v>156.84239999999997</v>
      </c>
      <c r="CA50" s="13">
        <f t="shared" si="39"/>
        <v>40.129485818817543</v>
      </c>
      <c r="CB50" s="20">
        <f t="shared" si="10"/>
        <v>343.0593678011071</v>
      </c>
      <c r="CC50" s="59">
        <f t="shared" si="11"/>
        <v>636.39270113444036</v>
      </c>
      <c r="CD50" s="59">
        <f ca="1">AVERAGE(OFFSET($CC$3,0,0,'Données projet'!$E$12+1,1))-AVERAGE(OFFSET($H$3,0,0,'Données projet'!$E$12+1,1))</f>
        <v>237.27357081252273</v>
      </c>
      <c r="CE50" s="59">
        <f t="shared" si="40"/>
        <v>68.768479693848576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19.2</v>
      </c>
      <c r="CT50" s="12">
        <f>IF('Données projet'!$A$140&gt;35,CT49+CS50-DB49,IF(A50&lt;'Données projet'!$A$140,$CQ$205^A50,IF(A50='Données projet'!$A$140,'Données projet'!$B$140,CT49+CS50-DB49)))</f>
        <v>633.4</v>
      </c>
      <c r="CU50" s="17">
        <f>CT50*VLOOKUP('Données projet'!$B$13,Paramètres!$A$1:$I$89,3,0)*VLOOKUP('Données projet'!$B$13,Paramètres!$A$1:$I$89,5,0)</f>
        <v>354.07059999999996</v>
      </c>
      <c r="CV50" s="13">
        <f t="shared" si="41"/>
        <v>82.400125145142354</v>
      </c>
      <c r="CW50" s="20">
        <f t="shared" si="13"/>
        <v>760.18651296112273</v>
      </c>
      <c r="CX50" s="59">
        <f t="shared" si="14"/>
        <v>1053.5198462944561</v>
      </c>
      <c r="CY50" s="59">
        <f ca="1">AVERAGE(OFFSET($CX$3,0,0,'Données projet'!$E$13+1,1))-AVERAGE(OFFSET($H$3,0,0,'Données projet'!$E$13+1,1))</f>
        <v>474.03051418249999</v>
      </c>
      <c r="CZ50" s="59">
        <f t="shared" si="42"/>
        <v>649.52271992719091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3.9029508556726817</v>
      </c>
      <c r="DG50" s="21">
        <f>EXP(-LN(2)/25)*DG49+(1-EXP(-LN(2)/25))/(LN(2)/25)*Calculateur!DB50*Calculateur!DD50*VLOOKUP('Données projet'!$B$13,Paramètres!$A$1:$I$89,3,0)*0.475*44/12</f>
        <v>15.100474858799979</v>
      </c>
      <c r="DH50" s="21">
        <f>EXP(-LN(2)/2)*DH49+(1-EXP(-LN(2)/2))/(LN(2)/2)*DB50*DE50*VLOOKUP('Données projet'!$B$13,Paramètres!$A$1:$I$89,3,0)*0.475*44/12</f>
        <v>3.2316072722570865E-2</v>
      </c>
      <c r="DI50" s="22">
        <f t="shared" si="15"/>
        <v>19.035741787195235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-5.6843418860808015E-14</v>
      </c>
      <c r="DP50" s="17">
        <f>DO50*VLOOKUP('Données projet'!$B$14,Paramètres!$A$1:$I$89,3,0)*VLOOKUP('Données projet'!$B$14,Paramètres!$A$1:$I$89,5,0)</f>
        <v>-3.1036506698001178E-14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164.0740581424559</v>
      </c>
      <c r="DU50" s="59">
        <f t="shared" si="44"/>
        <v>280.99861170359793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4.7173844175218971</v>
      </c>
      <c r="EB50" s="21">
        <f>EXP(-LN(2)/25)*EB49+(1-EXP(-LN(2)/25))/(LN(2)/25)*Calculateur!DW50*Calculateur!DY50*VLOOKUP('Données projet'!$B$14,Paramètres!$A$1:$I$89,3,0)*0.475*44/12</f>
        <v>16.163802439460152</v>
      </c>
      <c r="EC50" s="21">
        <f>EXP(-LN(2)/2)*EC49+(1-EXP(-LN(2)/2))/(LN(2)/2)*DW50*DZ50*VLOOKUP('Données projet'!$B$14,Paramètres!$A$1:$I$89,3,0)*0.475*44/12</f>
        <v>4.1925668256936235E-2</v>
      </c>
      <c r="ED50" s="22">
        <f t="shared" si="18"/>
        <v>20.923112525238984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26.6</v>
      </c>
      <c r="EJ50" s="12">
        <f>IF('Données projet'!$A$192&gt;35,EJ49+EI50-ER49,IF(A50&lt;'Données projet'!$A$192,$EG$205^A50,IF(A50='Données projet'!$A$192,'Données projet'!$B$192,EJ49+EI50-ER49)))</f>
        <v>564.20000000000039</v>
      </c>
      <c r="EK50" s="17">
        <f>EJ50*VLOOKUP('Données projet'!$B$15,Paramètres!$A$1:$I$89,3,0)*VLOOKUP('Données projet'!$B$15,Paramètres!$A$1:$I$89,5,0)</f>
        <v>271.38020000000017</v>
      </c>
      <c r="EL50" s="13">
        <f t="shared" si="45"/>
        <v>65.142095582513562</v>
      </c>
      <c r="EM50" s="20">
        <f t="shared" si="19"/>
        <v>586.1096648062113</v>
      </c>
      <c r="EN50" s="59">
        <f t="shared" si="20"/>
        <v>879.44299813954467</v>
      </c>
      <c r="EO50" s="59">
        <f ca="1">AVERAGE(OFFSET($EN$3,0,0,'Données projet'!$E$15+1,1))-AVERAGE(OFFSET($H$3,0,0,'Données projet'!$E$15+1,1))</f>
        <v>312.1172301514103</v>
      </c>
      <c r="EP50" s="59">
        <f t="shared" si="46"/>
        <v>369.85500533493212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1.9297998937541601</v>
      </c>
      <c r="EW50" s="21">
        <f>EXP(-LN(2)/25)*EW49+(1-EXP(-LN(2)/25))/(LN(2)/25)*Calculateur!ER50*Calculateur!ET50*VLOOKUP('Données projet'!$B$15,Paramètres!$A$1:$I$89,3,0)*0.475*44/12</f>
        <v>9.3871499806192933</v>
      </c>
      <c r="EX50" s="21">
        <f>EXP(-LN(2)/2)*EX49+(1-EXP(-LN(2)/2))/(LN(2)/2)*ER50*EU50*VLOOKUP('Données projet'!$B$15,Paramètres!$A$1:$I$89,3,0)*0.475*44/12</f>
        <v>8.7495000230750367E-2</v>
      </c>
      <c r="EY50" s="22">
        <f t="shared" si="21"/>
        <v>11.404444874604204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-1.7053025658242404E-13</v>
      </c>
      <c r="FF50" s="17">
        <f>FE50*VLOOKUP('Données projet'!$B$16,Paramètres!$A$1:$I$89,3,0)*VLOOKUP('Données projet'!$B$16,Paramètres!$A$1:$I$89,5,0)</f>
        <v>-7.9808160080574461E-14</v>
      </c>
      <c r="FG50" s="13" t="e">
        <f t="shared" si="47"/>
        <v>#NUM!</v>
      </c>
      <c r="FH50" s="20" t="e">
        <f t="shared" si="22"/>
        <v>#NUM!</v>
      </c>
      <c r="FI50" s="59" t="e">
        <f t="shared" si="23"/>
        <v>#NUM!</v>
      </c>
      <c r="FJ50" s="59">
        <f ca="1">AVERAGE(OFFSET($FI$3,0,0,'Données projet'!$E$16+1,1))-AVERAGE(OFFSET($H$3,0,0,'Données projet'!$E$16+1,1))</f>
        <v>87.187251664304199</v>
      </c>
      <c r="FK50" s="59">
        <f t="shared" si="48"/>
        <v>148.84938257884147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5.033058779672257</v>
      </c>
      <c r="FS50" s="21">
        <f>EXP(-LN(2)/2)*FS49+(1-EXP(-LN(2)/2))/(LN(2)/2)*FM50*FP50*VLOOKUP('Données projet'!$B$16,Paramètres!$A$1:$I$89,3,0)*0.475*44/12</f>
        <v>1.6804628145658269E-2</v>
      </c>
      <c r="FT50" s="22">
        <f t="shared" si="24"/>
        <v>5.0498634078179157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17.399999999999999</v>
      </c>
      <c r="FZ50" s="12">
        <f>IF('Données projet'!$A$244&gt;35,FZ49+FY50-GH49,IF(A50&lt;'Données projet'!$A$244,$FW$205^A50,IF(A50='Données projet'!$A$244,'Données projet'!$B$244,FZ49+FY50-GH49)))</f>
        <v>361.80000000000013</v>
      </c>
      <c r="GA50" s="17">
        <f>FZ50*VLOOKUP('Données projet'!$B$17,Paramètres!$A$1:$I$89,3,0)*VLOOKUP('Données projet'!$B$17,Paramètres!$A$1:$I$89,5,0)</f>
        <v>216.35640000000006</v>
      </c>
      <c r="GB50" s="13">
        <f t="shared" si="49"/>
        <v>53.322199188237285</v>
      </c>
      <c r="GC50" s="20">
        <f t="shared" si="25"/>
        <v>469.69022691951341</v>
      </c>
      <c r="GD50" s="59">
        <f t="shared" si="26"/>
        <v>763.02356025284666</v>
      </c>
      <c r="GE50" s="59">
        <f ca="1">AVERAGE(OFFSET($GD$3,0,0,'Données projet'!$E$17+1,1))-AVERAGE(OFFSET($H$3,0,0,'Données projet'!$E$17+1,1))</f>
        <v>282.94722676586207</v>
      </c>
      <c r="GF50" s="59">
        <f t="shared" si="50"/>
        <v>310.63647941571298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6.6895009673667394</v>
      </c>
      <c r="GN50" s="21">
        <f>EXP(-LN(2)/2)*GN49+(1-EXP(-LN(2)/2))/(LN(2)/2)*GH50*GK50*VLOOKUP('Données projet'!$B$17,Paramètres!$A$1:$I$89,3,0)*0.475*44/12</f>
        <v>7.0816282851931645E-2</v>
      </c>
      <c r="GO50" s="21">
        <f t="shared" si="27"/>
        <v>6.7603172502186712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7.25</v>
      </c>
      <c r="GU50" s="12">
        <f>IF('Données projet'!$A$270&gt;35,GU49+GT50-HC49,IF(A50&lt;'Données projet'!$A$270,$GR$205^A50,IF(A50='Données projet'!$A$270,'Données projet'!$B$270,GU49+GT50-HC49)))</f>
        <v>351.24999999999989</v>
      </c>
      <c r="GV50" s="17">
        <f>GU50*VLOOKUP('Données projet'!$B$18,Paramètres!$A$1:$I$89,3,0)*VLOOKUP('Données projet'!$B$18,Paramètres!$A$1:$I$89,5,0)</f>
        <v>210.04749999999996</v>
      </c>
      <c r="GW50" s="13">
        <f t="shared" si="51"/>
        <v>51.945965506750461</v>
      </c>
      <c r="GX50" s="20">
        <f t="shared" si="28"/>
        <v>456.3052857575903</v>
      </c>
      <c r="GY50" s="59">
        <f t="shared" si="29"/>
        <v>749.63861909092361</v>
      </c>
      <c r="GZ50" s="59">
        <f ca="1">AVERAGE(OFFSET($GY$3,0,0,'Données projet'!$E$18+1,1))-AVERAGE(OFFSET($H$3,0,0,'Données projet'!$E$18+1,1))</f>
        <v>255.54398581450459</v>
      </c>
      <c r="HA50" s="59">
        <f t="shared" si="52"/>
        <v>276.52622328061204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3.3378511365549981</v>
      </c>
      <c r="HI50" s="21">
        <f>EXP(-LN(2)/2)*HI49+(1-EXP(-LN(2)/2))/(LN(2)/2)*HC50*HF50*VLOOKUP('Données projet'!$B$18,Paramètres!$A$1:$I$89,3,0)*0.475*44/12</f>
        <v>4.1064905932649318E-2</v>
      </c>
      <c r="HJ50" s="22">
        <f t="shared" si="30"/>
        <v>3.3789160424876474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9.6</v>
      </c>
      <c r="N51" s="13">
        <f>IF('Données projet'!$A$36&gt;35,N50+M51-V50,IF(A51&lt;'Données projet'!$A$36,$K$205^A51,IF(A51='Données projet'!$A$36,'Données projet'!$B$36,N50+M51-V50)))</f>
        <v>232.8000000000001</v>
      </c>
      <c r="O51" s="13">
        <f>N51*VLOOKUP('Données projet'!$B$9,Paramètres!$A$1:$I$89,3,0)*VLOOKUP('Données projet'!$B$9,Paramètres!$A$1:$I$89,5,0)</f>
        <v>203.37408000000013</v>
      </c>
      <c r="P51" s="13">
        <f t="shared" si="33"/>
        <v>50.484964849140624</v>
      </c>
      <c r="Q51" s="20">
        <f t="shared" si="53"/>
        <v>442.1378364455868</v>
      </c>
      <c r="R51" s="59">
        <f t="shared" si="0"/>
        <v>735.47116977892006</v>
      </c>
      <c r="S51" s="59">
        <f ca="1">AVERAGE(OFFSET($R$3,0,0,'Données projet'!$E$9+1,1))-AVERAGE(OFFSET($H$3,0,0,'Données projet'!$E$9+1,1))</f>
        <v>248.50221719467663</v>
      </c>
      <c r="T51" s="59">
        <f t="shared" si="34"/>
        <v>366.09064580347183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5.5274875678333748</v>
      </c>
      <c r="AA51" s="21">
        <f>EXP(-LN(2)/25)*AA50+(1-EXP(-LN(2)/25))/(LN(2)/25)*Calculateur!V51*Calculateur!X51*VLOOKUP('Données projet'!$B$9,Paramètres!$A$1:$I$89,3,0)*0.475*44/12</f>
        <v>14.612773122277035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20.140260690110409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189.10320000000002</v>
      </c>
      <c r="AK51" s="13">
        <f t="shared" si="35"/>
        <v>47.34162854278712</v>
      </c>
      <c r="AL51" s="20">
        <f t="shared" si="4"/>
        <v>411.80807637868764</v>
      </c>
      <c r="AM51" s="59">
        <f t="shared" si="5"/>
        <v>705.14140971202096</v>
      </c>
      <c r="AN51" s="59">
        <f ca="1">AVERAGE(OFFSET($AM$3,0,0,'Données projet'!$E$10+1,1))-AVERAGE(OFFSET($H$3,0,0,'Données projet'!$E$10+1,1))</f>
        <v>263.22346936777603</v>
      </c>
      <c r="AO51" s="59">
        <f t="shared" si="36"/>
        <v>217.14714468707939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4.417395699708063</v>
      </c>
      <c r="AW51" s="21">
        <f>EXP(-LN(2)/2)*AW50+(1-EXP(-LN(2)/2))/(LN(2)/2)*AQ51*AT51*VLOOKUP('Données projet'!$B$10,Paramètres!$A$1:$I$89,3,0)*0.475*44/12</f>
        <v>3.4864766495392996E-2</v>
      </c>
      <c r="AX51" s="21">
        <f t="shared" si="6"/>
        <v>4.4522604662034562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10.375</v>
      </c>
      <c r="BD51" s="12">
        <f>IF('Données projet'!$A$88&gt;35,BD50+BC51-BL50,IF(A51&lt;'Données projet'!$A$88,$BA$205^A51,IF(A51='Données projet'!$A$88,'Données projet'!$B$88,BD50+BC51-BL50)))</f>
        <v>228.49999999999991</v>
      </c>
      <c r="BE51" s="13">
        <f>BD51*VLOOKUP('Données projet'!$B$11,Paramètres!$A$1:$I$89,3,0)*VLOOKUP('Données projet'!$B$11,Paramètres!$A$1:$I$89,5,0)</f>
        <v>178.22999999999993</v>
      </c>
      <c r="BF51" s="13">
        <f t="shared" si="37"/>
        <v>44.928167580487852</v>
      </c>
      <c r="BG51" s="20">
        <f t="shared" si="7"/>
        <v>388.66714186934951</v>
      </c>
      <c r="BH51" s="59">
        <f t="shared" si="8"/>
        <v>682.00047520268276</v>
      </c>
      <c r="BI51" s="59">
        <f ca="1">AVERAGE(OFFSET($BH$3,0,0,'Données projet'!$E$11+1,1))-AVERAGE(OFFSET($H$3,0,0,'Données projet'!$E$11+1,1))</f>
        <v>219.22204054948094</v>
      </c>
      <c r="BJ51" s="59">
        <f t="shared" si="38"/>
        <v>222.41711966122034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1.9036032240234515</v>
      </c>
      <c r="BR51" s="21">
        <f>EXP(-LN(2)/2)*BR50+(1-EXP(-LN(2)/2))/(LN(2)/2)*BL51*BO51*VLOOKUP('Données projet'!$B$11,Paramètres!$A$1:$I$89,3,0)*0.475*44/12</f>
        <v>6.386928586587075E-3</v>
      </c>
      <c r="BS51" s="22">
        <f t="shared" si="9"/>
        <v>1.9099901526100387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12.4</v>
      </c>
      <c r="BY51" s="12">
        <f>IF('Données projet'!$A$114&gt;35,BY50+BX51-CG50,IF(A51&lt;'Données projet'!$A$114,$BV$205^A51,IF(A51='Données projet'!$A$114,'Données projet'!$B$114,BY50+BX51-CG50)))</f>
        <v>195.19999999999996</v>
      </c>
      <c r="BZ51" s="13">
        <f>BY51*VLOOKUP('Données projet'!$B$12,Paramètres!$A$1:$I$89,3,0)*VLOOKUP('Données projet'!$B$12,Paramètres!$A$1:$I$89,5,0)</f>
        <v>167.48159999999999</v>
      </c>
      <c r="CA51" s="13">
        <f t="shared" si="39"/>
        <v>42.52549675634404</v>
      </c>
      <c r="CB51" s="20">
        <f t="shared" si="10"/>
        <v>365.76236018396577</v>
      </c>
      <c r="CC51" s="59">
        <f t="shared" si="11"/>
        <v>659.09569351729908</v>
      </c>
      <c r="CD51" s="59">
        <f ca="1">AVERAGE(OFFSET($CC$3,0,0,'Données projet'!$E$12+1,1))-AVERAGE(OFFSET($H$3,0,0,'Données projet'!$E$12+1,1))</f>
        <v>237.27357081252273</v>
      </c>
      <c r="CE51" s="59">
        <f t="shared" si="40"/>
        <v>68.768479693848576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19.2</v>
      </c>
      <c r="CT51" s="12">
        <f>IF('Données projet'!$A$140&gt;35,CT50+CS51-DB50,IF(A51&lt;'Données projet'!$A$140,$CQ$205^A51,IF(A51='Données projet'!$A$140,'Données projet'!$B$140,CT50+CS51-DB50)))</f>
        <v>652.6</v>
      </c>
      <c r="CU51" s="17">
        <f>CT51*VLOOKUP('Données projet'!$B$13,Paramètres!$A$1:$I$89,3,0)*VLOOKUP('Données projet'!$B$13,Paramètres!$A$1:$I$89,5,0)</f>
        <v>364.80340000000001</v>
      </c>
      <c r="CV51" s="13">
        <f t="shared" si="41"/>
        <v>84.60329719715169</v>
      </c>
      <c r="CW51" s="20">
        <f t="shared" si="13"/>
        <v>782.7166642850392</v>
      </c>
      <c r="CX51" s="59">
        <f t="shared" si="14"/>
        <v>1076.0499976183726</v>
      </c>
      <c r="CY51" s="59">
        <f ca="1">AVERAGE(OFFSET($CX$3,0,0,'Données projet'!$E$13+1,1))-AVERAGE(OFFSET($H$3,0,0,'Données projet'!$E$13+1,1))</f>
        <v>474.03051418249999</v>
      </c>
      <c r="CZ51" s="59">
        <f t="shared" si="42"/>
        <v>649.52271992719091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3.8264163699579012</v>
      </c>
      <c r="DG51" s="21">
        <f>EXP(-LN(2)/25)*DG50+(1-EXP(-LN(2)/25))/(LN(2)/25)*Calculateur!DB51*Calculateur!DD51*VLOOKUP('Données projet'!$B$13,Paramètres!$A$1:$I$89,3,0)*0.475*44/12</f>
        <v>14.687551579686634</v>
      </c>
      <c r="DH51" s="21">
        <f>EXP(-LN(2)/2)*DH50+(1-EXP(-LN(2)/2))/(LN(2)/2)*DB51*DE51*VLOOKUP('Données projet'!$B$13,Paramètres!$A$1:$I$89,3,0)*0.475*44/12</f>
        <v>2.2850914163447474E-2</v>
      </c>
      <c r="DI51" s="22">
        <f t="shared" si="15"/>
        <v>18.536818863807984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-5.6843418860808015E-14</v>
      </c>
      <c r="DP51" s="17">
        <f>DO51*VLOOKUP('Données projet'!$B$14,Paramètres!$A$1:$I$89,3,0)*VLOOKUP('Données projet'!$B$14,Paramètres!$A$1:$I$89,5,0)</f>
        <v>-3.1036506698001178E-14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164.0740581424559</v>
      </c>
      <c r="DU51" s="59">
        <f t="shared" si="44"/>
        <v>280.99861170359793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4.6248793864146753</v>
      </c>
      <c r="EB51" s="21">
        <f>EXP(-LN(2)/25)*EB50+(1-EXP(-LN(2)/25))/(LN(2)/25)*Calculateur!DW51*Calculateur!DY51*VLOOKUP('Données projet'!$B$14,Paramètres!$A$1:$I$89,3,0)*0.475*44/12</f>
        <v>15.721802411735688</v>
      </c>
      <c r="EC51" s="21">
        <f>EXP(-LN(2)/2)*EC50+(1-EXP(-LN(2)/2))/(LN(2)/2)*DW51*DZ51*VLOOKUP('Données projet'!$B$14,Paramètres!$A$1:$I$89,3,0)*0.475*44/12</f>
        <v>2.9645924330257194E-2</v>
      </c>
      <c r="ED51" s="22">
        <f t="shared" si="18"/>
        <v>20.376327722480621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26.6</v>
      </c>
      <c r="EJ51" s="12">
        <f>IF('Données projet'!$A$192&gt;35,EJ50+EI51-ER50,IF(A51&lt;'Données projet'!$A$192,$EG$205^A51,IF(A51='Données projet'!$A$192,'Données projet'!$B$192,EJ50+EI51-ER50)))</f>
        <v>590.80000000000041</v>
      </c>
      <c r="EK51" s="17">
        <f>EJ51*VLOOKUP('Données projet'!$B$15,Paramètres!$A$1:$I$89,3,0)*VLOOKUP('Données projet'!$B$15,Paramètres!$A$1:$I$89,5,0)</f>
        <v>284.17480000000018</v>
      </c>
      <c r="EL51" s="13">
        <f t="shared" si="45"/>
        <v>67.848502759488738</v>
      </c>
      <c r="EM51" s="20">
        <f t="shared" si="19"/>
        <v>613.10725230610979</v>
      </c>
      <c r="EN51" s="59">
        <f t="shared" si="20"/>
        <v>906.44058563944304</v>
      </c>
      <c r="EO51" s="59">
        <f ca="1">AVERAGE(OFFSET($EN$3,0,0,'Données projet'!$E$15+1,1))-AVERAGE(OFFSET($H$3,0,0,'Données projet'!$E$15+1,1))</f>
        <v>312.1172301514103</v>
      </c>
      <c r="EP51" s="59">
        <f t="shared" si="46"/>
        <v>369.85500533493212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1.8919576948993511</v>
      </c>
      <c r="EW51" s="21">
        <f>EXP(-LN(2)/25)*EW50+(1-EXP(-LN(2)/25))/(LN(2)/25)*Calculateur!ER51*Calculateur!ET51*VLOOKUP('Données projet'!$B$15,Paramètres!$A$1:$I$89,3,0)*0.475*44/12</f>
        <v>9.1304578707504955</v>
      </c>
      <c r="EX51" s="21">
        <f>EXP(-LN(2)/2)*EX50+(1-EXP(-LN(2)/2))/(LN(2)/2)*ER51*EU51*VLOOKUP('Données projet'!$B$15,Paramètres!$A$1:$I$89,3,0)*0.475*44/12</f>
        <v>6.1868307983082127E-2</v>
      </c>
      <c r="EY51" s="22">
        <f t="shared" si="21"/>
        <v>11.084283873632929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-1.7053025658242404E-13</v>
      </c>
      <c r="FF51" s="17">
        <f>FE51*VLOOKUP('Données projet'!$B$16,Paramètres!$A$1:$I$89,3,0)*VLOOKUP('Données projet'!$B$16,Paramètres!$A$1:$I$89,5,0)</f>
        <v>-7.9808160080574461E-14</v>
      </c>
      <c r="FG51" s="13" t="e">
        <f t="shared" si="47"/>
        <v>#NUM!</v>
      </c>
      <c r="FH51" s="20" t="e">
        <f t="shared" si="22"/>
        <v>#NUM!</v>
      </c>
      <c r="FI51" s="59" t="e">
        <f t="shared" si="23"/>
        <v>#NUM!</v>
      </c>
      <c r="FJ51" s="59">
        <f ca="1">AVERAGE(OFFSET($FI$3,0,0,'Données projet'!$E$16+1,1))-AVERAGE(OFFSET($H$3,0,0,'Données projet'!$E$16+1,1))</f>
        <v>87.187251664304199</v>
      </c>
      <c r="FK51" s="59">
        <f t="shared" si="48"/>
        <v>148.84938257884147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4.8954295226650615</v>
      </c>
      <c r="FS51" s="21">
        <f>EXP(-LN(2)/2)*FS50+(1-EXP(-LN(2)/2))/(LN(2)/2)*FM51*FP51*VLOOKUP('Données projet'!$B$16,Paramètres!$A$1:$I$89,3,0)*0.475*44/12</f>
        <v>1.1882666517113279E-2</v>
      </c>
      <c r="FT51" s="22">
        <f t="shared" si="24"/>
        <v>4.9073121891821749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17.399999999999999</v>
      </c>
      <c r="FZ51" s="12">
        <f>IF('Données projet'!$A$244&gt;35,FZ50+FY51-GH50,IF(A51&lt;'Données projet'!$A$244,$FW$205^A51,IF(A51='Données projet'!$A$244,'Données projet'!$B$244,FZ50+FY51-GH50)))</f>
        <v>379.2000000000001</v>
      </c>
      <c r="GA51" s="17">
        <f>FZ51*VLOOKUP('Données projet'!$B$17,Paramètres!$A$1:$I$89,3,0)*VLOOKUP('Données projet'!$B$17,Paramètres!$A$1:$I$89,5,0)</f>
        <v>226.76160000000007</v>
      </c>
      <c r="GB51" s="13">
        <f t="shared" si="49"/>
        <v>55.581886910575967</v>
      </c>
      <c r="GC51" s="20">
        <f t="shared" si="25"/>
        <v>491.74823970258649</v>
      </c>
      <c r="GD51" s="59">
        <f t="shared" si="26"/>
        <v>785.08157303591975</v>
      </c>
      <c r="GE51" s="59">
        <f ca="1">AVERAGE(OFFSET($GD$3,0,0,'Données projet'!$E$17+1,1))-AVERAGE(OFFSET($H$3,0,0,'Données projet'!$E$17+1,1))</f>
        <v>282.94722676586207</v>
      </c>
      <c r="GF51" s="59">
        <f t="shared" si="50"/>
        <v>310.63647941571298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6.5065762116285288</v>
      </c>
      <c r="GN51" s="21">
        <f>EXP(-LN(2)/2)*GN50+(1-EXP(-LN(2)/2))/(LN(2)/2)*GH51*GK51*VLOOKUP('Données projet'!$B$17,Paramètres!$A$1:$I$89,3,0)*0.475*44/12</f>
        <v>5.0074673823025488E-2</v>
      </c>
      <c r="GO51" s="21">
        <f t="shared" si="27"/>
        <v>6.5566508854515542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7.25</v>
      </c>
      <c r="GU51" s="12">
        <f>IF('Données projet'!$A$270&gt;35,GU50+GT51-HC50,IF(A51&lt;'Données projet'!$A$270,$GR$205^A51,IF(A51='Données projet'!$A$270,'Données projet'!$B$270,GU50+GT51-HC50)))</f>
        <v>358.49999999999989</v>
      </c>
      <c r="GV51" s="17">
        <f>GU51*VLOOKUP('Données projet'!$B$18,Paramètres!$A$1:$I$89,3,0)*VLOOKUP('Données projet'!$B$18,Paramètres!$A$1:$I$89,5,0)</f>
        <v>214.38299999999995</v>
      </c>
      <c r="GW51" s="13">
        <f t="shared" si="51"/>
        <v>52.892226959987113</v>
      </c>
      <c r="GX51" s="20">
        <f t="shared" si="28"/>
        <v>465.50435362197749</v>
      </c>
      <c r="GY51" s="59">
        <f t="shared" si="29"/>
        <v>758.8376869553108</v>
      </c>
      <c r="GZ51" s="59">
        <f ca="1">AVERAGE(OFFSET($GY$3,0,0,'Données projet'!$E$18+1,1))-AVERAGE(OFFSET($H$3,0,0,'Données projet'!$E$18+1,1))</f>
        <v>255.54398581450459</v>
      </c>
      <c r="HA51" s="59">
        <f t="shared" si="52"/>
        <v>276.52622328061204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3.2465774216959393</v>
      </c>
      <c r="HI51" s="21">
        <f>EXP(-LN(2)/2)*HI50+(1-EXP(-LN(2)/2))/(LN(2)/2)*HC51*HF51*VLOOKUP('Données projet'!$B$18,Paramètres!$A$1:$I$89,3,0)*0.475*44/12</f>
        <v>2.9037273453764022E-2</v>
      </c>
      <c r="HJ51" s="22">
        <f t="shared" si="30"/>
        <v>3.2756146951497032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9.6</v>
      </c>
      <c r="N52" s="13">
        <f>IF('Données projet'!$A$36&gt;35,N51+M52-V51,IF(A52&lt;'Données projet'!$A$36,$K$205^A52,IF(A52='Données projet'!$A$36,'Données projet'!$B$36,N51+M52-V51)))</f>
        <v>242.40000000000009</v>
      </c>
      <c r="O52" s="13">
        <f>N52*VLOOKUP('Données projet'!$B$9,Paramètres!$A$1:$I$89,3,0)*VLOOKUP('Données projet'!$B$9,Paramètres!$A$1:$I$89,5,0)</f>
        <v>211.76064000000011</v>
      </c>
      <c r="P52" s="13">
        <f t="shared" si="33"/>
        <v>52.320142683061327</v>
      </c>
      <c r="Q52" s="20">
        <f t="shared" si="53"/>
        <v>459.94069650633202</v>
      </c>
      <c r="R52" s="59">
        <f t="shared" si="0"/>
        <v>753.27402983966533</v>
      </c>
      <c r="S52" s="59">
        <f ca="1">AVERAGE(OFFSET($R$3,0,0,'Données projet'!$E$9+1,1))-AVERAGE(OFFSET($H$3,0,0,'Données projet'!$E$9+1,1))</f>
        <v>248.50221719467663</v>
      </c>
      <c r="T52" s="59">
        <f t="shared" si="34"/>
        <v>366.09064580347183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5.4190969080626772</v>
      </c>
      <c r="AA52" s="21">
        <f>EXP(-LN(2)/25)*AA51+(1-EXP(-LN(2)/25))/(LN(2)/25)*Calculateur!V52*Calculateur!X52*VLOOKUP('Données projet'!$B$9,Paramètres!$A$1:$I$89,3,0)*0.475*44/12</f>
        <v>14.213186072796029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19.632282980858704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199.05600000000001</v>
      </c>
      <c r="AK52" s="13">
        <f t="shared" si="35"/>
        <v>49.536648006253934</v>
      </c>
      <c r="AL52" s="20">
        <f t="shared" si="4"/>
        <v>432.96552861089231</v>
      </c>
      <c r="AM52" s="59">
        <f t="shared" si="5"/>
        <v>726.29886194422556</v>
      </c>
      <c r="AN52" s="59">
        <f ca="1">AVERAGE(OFFSET($AM$3,0,0,'Données projet'!$E$10+1,1))-AVERAGE(OFFSET($H$3,0,0,'Données projet'!$E$10+1,1))</f>
        <v>263.22346936777603</v>
      </c>
      <c r="AO52" s="59">
        <f t="shared" si="36"/>
        <v>217.14714468707939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4.2966017819988025</v>
      </c>
      <c r="AW52" s="21">
        <f>EXP(-LN(2)/2)*AW51+(1-EXP(-LN(2)/2))/(LN(2)/2)*AQ52*AT52*VLOOKUP('Données projet'!$B$10,Paramètres!$A$1:$I$89,3,0)*0.475*44/12</f>
        <v>2.4653112813377929E-2</v>
      </c>
      <c r="AX52" s="21">
        <f t="shared" si="6"/>
        <v>4.3212548948121805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10.375</v>
      </c>
      <c r="BD52" s="12">
        <f>IF('Données projet'!$A$88&gt;35,BD51+BC52-BL51,IF(A52&lt;'Données projet'!$A$88,$BA$205^A52,IF(A52='Données projet'!$A$88,'Données projet'!$B$88,BD51+BC52-BL51)))</f>
        <v>238.87499999999991</v>
      </c>
      <c r="BE52" s="13">
        <f>BD52*VLOOKUP('Données projet'!$B$11,Paramètres!$A$1:$I$89,3,0)*VLOOKUP('Données projet'!$B$11,Paramètres!$A$1:$I$89,5,0)</f>
        <v>186.32249999999993</v>
      </c>
      <c r="BF52" s="13">
        <f t="shared" si="37"/>
        <v>46.725987276254116</v>
      </c>
      <c r="BG52" s="20">
        <f t="shared" si="7"/>
        <v>405.8927820061424</v>
      </c>
      <c r="BH52" s="59">
        <f t="shared" si="8"/>
        <v>699.22611533947565</v>
      </c>
      <c r="BI52" s="59">
        <f ca="1">AVERAGE(OFFSET($BH$3,0,0,'Données projet'!$E$11+1,1))-AVERAGE(OFFSET($H$3,0,0,'Données projet'!$E$11+1,1))</f>
        <v>219.22204054948094</v>
      </c>
      <c r="BJ52" s="59">
        <f t="shared" si="38"/>
        <v>222.41711966122034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1.8515490937563874</v>
      </c>
      <c r="BR52" s="21">
        <f>EXP(-LN(2)/2)*BR51+(1-EXP(-LN(2)/2))/(LN(2)/2)*BL52*BO52*VLOOKUP('Données projet'!$B$11,Paramètres!$A$1:$I$89,3,0)*0.475*44/12</f>
        <v>4.516240514529932E-3</v>
      </c>
      <c r="BS52" s="22">
        <f t="shared" si="9"/>
        <v>1.8560653342709175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12.4</v>
      </c>
      <c r="BY52" s="12">
        <f>IF('Données projet'!$A$114&gt;35,BY51+BX52-CG51,IF(A52&lt;'Données projet'!$A$114,$BV$205^A52,IF(A52='Données projet'!$A$114,'Données projet'!$B$114,BY51+BX52-CG51)))</f>
        <v>207.59999999999997</v>
      </c>
      <c r="BZ52" s="13">
        <f>BY52*VLOOKUP('Données projet'!$B$12,Paramètres!$A$1:$I$89,3,0)*VLOOKUP('Données projet'!$B$12,Paramètres!$A$1:$I$89,5,0)</f>
        <v>178.1208</v>
      </c>
      <c r="CA52" s="13">
        <f t="shared" si="39"/>
        <v>44.903843763109442</v>
      </c>
      <c r="CB52" s="20">
        <f t="shared" si="10"/>
        <v>388.4345878874156</v>
      </c>
      <c r="CC52" s="59">
        <f t="shared" si="11"/>
        <v>681.76792122074892</v>
      </c>
      <c r="CD52" s="59">
        <f ca="1">AVERAGE(OFFSET($CC$3,0,0,'Données projet'!$E$12+1,1))-AVERAGE(OFFSET($H$3,0,0,'Données projet'!$E$12+1,1))</f>
        <v>237.27357081252273</v>
      </c>
      <c r="CE52" s="59">
        <f t="shared" si="40"/>
        <v>68.768479693848576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19.2</v>
      </c>
      <c r="CT52" s="12">
        <f>IF('Données projet'!$A$140&gt;35,CT51+CS52-DB51,IF(A52&lt;'Données projet'!$A$140,$CQ$205^A52,IF(A52='Données projet'!$A$140,'Données projet'!$B$140,CT51+CS52-DB51)))</f>
        <v>671.80000000000007</v>
      </c>
      <c r="CU52" s="17">
        <f>CT52*VLOOKUP('Données projet'!$B$13,Paramètres!$A$1:$I$89,3,0)*VLOOKUP('Données projet'!$B$13,Paramètres!$A$1:$I$89,5,0)</f>
        <v>375.53620000000006</v>
      </c>
      <c r="CV52" s="13">
        <f t="shared" si="41"/>
        <v>86.798936069371663</v>
      </c>
      <c r="CW52" s="20">
        <f t="shared" si="13"/>
        <v>805.23369532082245</v>
      </c>
      <c r="CX52" s="59">
        <f t="shared" si="14"/>
        <v>1098.5670286541558</v>
      </c>
      <c r="CY52" s="59">
        <f ca="1">AVERAGE(OFFSET($CX$3,0,0,'Données projet'!$E$13+1,1))-AVERAGE(OFFSET($H$3,0,0,'Données projet'!$E$13+1,1))</f>
        <v>474.03051418249999</v>
      </c>
      <c r="CZ52" s="59">
        <f t="shared" si="42"/>
        <v>649.52271992719091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3.7513826788265607</v>
      </c>
      <c r="DG52" s="21">
        <f>EXP(-LN(2)/25)*DG51+(1-EXP(-LN(2)/25))/(LN(2)/25)*Calculateur!DB52*Calculateur!DD52*VLOOKUP('Données projet'!$B$13,Paramètres!$A$1:$I$89,3,0)*0.475*44/12</f>
        <v>14.285919709355333</v>
      </c>
      <c r="DH52" s="21">
        <f>EXP(-LN(2)/2)*DH51+(1-EXP(-LN(2)/2))/(LN(2)/2)*DB52*DE52*VLOOKUP('Données projet'!$B$13,Paramètres!$A$1:$I$89,3,0)*0.475*44/12</f>
        <v>1.6158036361285433E-2</v>
      </c>
      <c r="DI52" s="22">
        <f t="shared" si="15"/>
        <v>18.053460424543179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-5.6843418860808015E-14</v>
      </c>
      <c r="DP52" s="17">
        <f>DO52*VLOOKUP('Données projet'!$B$14,Paramètres!$A$1:$I$89,3,0)*VLOOKUP('Données projet'!$B$14,Paramètres!$A$1:$I$89,5,0)</f>
        <v>-3.1036506698001178E-14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164.0740581424559</v>
      </c>
      <c r="DU52" s="59">
        <f t="shared" si="44"/>
        <v>280.99861170359793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4.5341883225449688</v>
      </c>
      <c r="EB52" s="21">
        <f>EXP(-LN(2)/25)*EB51+(1-EXP(-LN(2)/25))/(LN(2)/25)*Calculateur!DW52*Calculateur!DY52*VLOOKUP('Données projet'!$B$14,Paramètres!$A$1:$I$89,3,0)*0.475*44/12</f>
        <v>15.291888898013118</v>
      </c>
      <c r="EC52" s="21">
        <f>EXP(-LN(2)/2)*EC51+(1-EXP(-LN(2)/2))/(LN(2)/2)*DW52*DZ52*VLOOKUP('Données projet'!$B$14,Paramètres!$A$1:$I$89,3,0)*0.475*44/12</f>
        <v>2.0962834128468121E-2</v>
      </c>
      <c r="ED52" s="22">
        <f t="shared" si="18"/>
        <v>19.847040054686556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26.6</v>
      </c>
      <c r="EJ52" s="12">
        <f>IF('Données projet'!$A$192&gt;35,EJ51+EI52-ER51,IF(A52&lt;'Données projet'!$A$192,$EG$205^A52,IF(A52='Données projet'!$A$192,'Données projet'!$B$192,EJ51+EI52-ER51)))</f>
        <v>617.40000000000043</v>
      </c>
      <c r="EK52" s="17">
        <f>EJ52*VLOOKUP('Données projet'!$B$15,Paramètres!$A$1:$I$89,3,0)*VLOOKUP('Données projet'!$B$15,Paramètres!$A$1:$I$89,5,0)</f>
        <v>296.96940000000023</v>
      </c>
      <c r="EL52" s="13">
        <f t="shared" si="45"/>
        <v>70.540758363552172</v>
      </c>
      <c r="EM52" s="20">
        <f t="shared" si="19"/>
        <v>640.08019248318715</v>
      </c>
      <c r="EN52" s="59">
        <f t="shared" si="20"/>
        <v>933.4135258165204</v>
      </c>
      <c r="EO52" s="59">
        <f ca="1">AVERAGE(OFFSET($EN$3,0,0,'Données projet'!$E$15+1,1))-AVERAGE(OFFSET($H$3,0,0,'Données projet'!$E$15+1,1))</f>
        <v>312.1172301514103</v>
      </c>
      <c r="EP52" s="59">
        <f t="shared" si="46"/>
        <v>369.85500533493212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1.8548575584826226</v>
      </c>
      <c r="EW52" s="21">
        <f>EXP(-LN(2)/25)*EW51+(1-EXP(-LN(2)/25))/(LN(2)/25)*Calculateur!ER52*Calculateur!ET52*VLOOKUP('Données projet'!$B$15,Paramètres!$A$1:$I$89,3,0)*0.475*44/12</f>
        <v>8.880785020124911</v>
      </c>
      <c r="EX52" s="21">
        <f>EXP(-LN(2)/2)*EX51+(1-EXP(-LN(2)/2))/(LN(2)/2)*ER52*EU52*VLOOKUP('Données projet'!$B$15,Paramètres!$A$1:$I$89,3,0)*0.475*44/12</f>
        <v>4.374750011537519E-2</v>
      </c>
      <c r="EY52" s="22">
        <f t="shared" si="21"/>
        <v>10.779390078722908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-1.7053025658242404E-13</v>
      </c>
      <c r="FF52" s="17">
        <f>FE52*VLOOKUP('Données projet'!$B$16,Paramètres!$A$1:$I$89,3,0)*VLOOKUP('Données projet'!$B$16,Paramètres!$A$1:$I$89,5,0)</f>
        <v>-7.9808160080574461E-14</v>
      </c>
      <c r="FG52" s="13" t="e">
        <f t="shared" si="47"/>
        <v>#NUM!</v>
      </c>
      <c r="FH52" s="20" t="e">
        <f t="shared" si="22"/>
        <v>#NUM!</v>
      </c>
      <c r="FI52" s="59" t="e">
        <f t="shared" si="23"/>
        <v>#NUM!</v>
      </c>
      <c r="FJ52" s="59">
        <f ca="1">AVERAGE(OFFSET($FI$3,0,0,'Données projet'!$E$16+1,1))-AVERAGE(OFFSET($H$3,0,0,'Données projet'!$E$16+1,1))</f>
        <v>87.187251664304199</v>
      </c>
      <c r="FK52" s="59">
        <f t="shared" si="48"/>
        <v>148.84938257884147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4.7615637449283357</v>
      </c>
      <c r="FS52" s="21">
        <f>EXP(-LN(2)/2)*FS51+(1-EXP(-LN(2)/2))/(LN(2)/2)*FM52*FP52*VLOOKUP('Données projet'!$B$16,Paramètres!$A$1:$I$89,3,0)*0.475*44/12</f>
        <v>8.4023140728291344E-3</v>
      </c>
      <c r="FT52" s="22">
        <f t="shared" si="24"/>
        <v>4.769966059001165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17.399999999999999</v>
      </c>
      <c r="FZ52" s="12">
        <f>IF('Données projet'!$A$244&gt;35,FZ51+FY52-GH51,IF(A52&lt;'Données projet'!$A$244,$FW$205^A52,IF(A52='Données projet'!$A$244,'Données projet'!$B$244,FZ51+FY52-GH51)))</f>
        <v>396.60000000000008</v>
      </c>
      <c r="GA52" s="17">
        <f>FZ52*VLOOKUP('Données projet'!$B$17,Paramètres!$A$1:$I$89,3,0)*VLOOKUP('Données projet'!$B$17,Paramètres!$A$1:$I$89,5,0)</f>
        <v>237.16680000000005</v>
      </c>
      <c r="GB52" s="13">
        <f t="shared" si="49"/>
        <v>57.829533038824259</v>
      </c>
      <c r="GC52" s="20">
        <f t="shared" si="25"/>
        <v>513.78528004261909</v>
      </c>
      <c r="GD52" s="59">
        <f t="shared" si="26"/>
        <v>807.11861337595246</v>
      </c>
      <c r="GE52" s="59">
        <f ca="1">AVERAGE(OFFSET($GD$3,0,0,'Données projet'!$E$17+1,1))-AVERAGE(OFFSET($H$3,0,0,'Données projet'!$E$17+1,1))</f>
        <v>282.94722676586207</v>
      </c>
      <c r="GF52" s="59">
        <f t="shared" si="50"/>
        <v>310.63647941571298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6.3286535429555748</v>
      </c>
      <c r="GN52" s="21">
        <f>EXP(-LN(2)/2)*GN51+(1-EXP(-LN(2)/2))/(LN(2)/2)*GH52*GK52*VLOOKUP('Données projet'!$B$17,Paramètres!$A$1:$I$89,3,0)*0.475*44/12</f>
        <v>3.5408141425965822E-2</v>
      </c>
      <c r="GO52" s="21">
        <f t="shared" si="27"/>
        <v>6.3640616843815403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7.25</v>
      </c>
      <c r="GU52" s="12">
        <f>IF('Données projet'!$A$270&gt;35,GU51+GT52-HC51,IF(A52&lt;'Données projet'!$A$270,$GR$205^A52,IF(A52='Données projet'!$A$270,'Données projet'!$B$270,GU51+GT52-HC51)))</f>
        <v>365.74999999999989</v>
      </c>
      <c r="GV52" s="17">
        <f>GU52*VLOOKUP('Données projet'!$B$18,Paramètres!$A$1:$I$89,3,0)*VLOOKUP('Données projet'!$B$18,Paramètres!$A$1:$I$89,5,0)</f>
        <v>218.71849999999995</v>
      </c>
      <c r="GW52" s="13">
        <f t="shared" si="51"/>
        <v>53.836263396856545</v>
      </c>
      <c r="GX52" s="20">
        <f t="shared" si="28"/>
        <v>474.69954624952516</v>
      </c>
      <c r="GY52" s="59">
        <f t="shared" si="29"/>
        <v>768.03287958285841</v>
      </c>
      <c r="GZ52" s="59">
        <f ca="1">AVERAGE(OFFSET($GY$3,0,0,'Données projet'!$E$18+1,1))-AVERAGE(OFFSET($H$3,0,0,'Données projet'!$E$18+1,1))</f>
        <v>255.54398581450459</v>
      </c>
      <c r="HA52" s="59">
        <f t="shared" si="52"/>
        <v>276.52622328061204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3.1577995913695776</v>
      </c>
      <c r="HI52" s="21">
        <f>EXP(-LN(2)/2)*HI51+(1-EXP(-LN(2)/2))/(LN(2)/2)*HC52*HF52*VLOOKUP('Données projet'!$B$18,Paramètres!$A$1:$I$89,3,0)*0.475*44/12</f>
        <v>2.0532452966324662E-2</v>
      </c>
      <c r="HJ52" s="22">
        <f t="shared" si="30"/>
        <v>3.1783320443359022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252</v>
      </c>
      <c r="L53" s="12">
        <f>VLOOKUP(A53,'Données projet'!$A$35:$I$55,9,0)</f>
        <v>9.6</v>
      </c>
      <c r="M53" s="12">
        <f t="array" ref="M53">INDEX(L:L,MIN(IF(ISNUMBER(L53:L249),ROW(L53:L249),"")))</f>
        <v>9.6</v>
      </c>
      <c r="N53" s="13">
        <f>IF('Données projet'!$A$36&gt;35,N52+M53-V52,IF(A53&lt;'Données projet'!$A$36,$K$205^A53,IF(A53='Données projet'!$A$36,'Données projet'!$B$36,N52+M53-V52)))</f>
        <v>252.00000000000009</v>
      </c>
      <c r="O53" s="13">
        <f>N53*VLOOKUP('Données projet'!$B$9,Paramètres!$A$1:$I$89,3,0)*VLOOKUP('Données projet'!$B$9,Paramètres!$A$1:$I$89,5,0)</f>
        <v>220.14720000000011</v>
      </c>
      <c r="P53" s="13">
        <f t="shared" si="33"/>
        <v>54.146877667769687</v>
      </c>
      <c r="Q53" s="20">
        <f t="shared" si="53"/>
        <v>477.72885193803239</v>
      </c>
      <c r="R53" s="59">
        <f t="shared" si="0"/>
        <v>771.06218527136571</v>
      </c>
      <c r="S53" s="59">
        <f ca="1">AVERAGE(OFFSET($R$3,0,0,'Données projet'!$E$9+1,1))-AVERAGE(OFFSET($H$3,0,0,'Données projet'!$E$9+1,1))</f>
        <v>248.50221719467663</v>
      </c>
      <c r="T53" s="59">
        <f t="shared" si="34"/>
        <v>366.09064580347183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37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5.3128317230183084</v>
      </c>
      <c r="AA53" s="21">
        <f>EXP(-LN(2)/25)*AA52+(1-EXP(-LN(2)/25))/(LN(2)/25)*Calculateur!V53*Calculateur!X53*VLOOKUP('Données projet'!$B$9,Paramètres!$A$1:$I$89,3,0)*0.475*44/12</f>
        <v>13.82452575219645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19.13735747521476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209.00880000000004</v>
      </c>
      <c r="AK53" s="13">
        <f t="shared" si="35"/>
        <v>51.718923953824252</v>
      </c>
      <c r="AL53" s="20">
        <f t="shared" si="4"/>
        <v>454.10078588624395</v>
      </c>
      <c r="AM53" s="59">
        <f t="shared" si="5"/>
        <v>747.43411921957727</v>
      </c>
      <c r="AN53" s="59">
        <f ca="1">AVERAGE(OFFSET($AM$3,0,0,'Données projet'!$E$10+1,1))-AVERAGE(OFFSET($H$3,0,0,'Données projet'!$E$10+1,1))</f>
        <v>263.22346936777603</v>
      </c>
      <c r="AO53" s="59">
        <f t="shared" si="36"/>
        <v>217.14714468707939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4.1791109803215774</v>
      </c>
      <c r="AW53" s="21">
        <f>EXP(-LN(2)/2)*AW52+(1-EXP(-LN(2)/2))/(LN(2)/2)*AQ53*AT53*VLOOKUP('Données projet'!$B$10,Paramètres!$A$1:$I$89,3,0)*0.475*44/12</f>
        <v>1.7432383247696498E-2</v>
      </c>
      <c r="AX53" s="21">
        <f t="shared" si="6"/>
        <v>4.1965433635692735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10.375</v>
      </c>
      <c r="BD53" s="12">
        <f>IF('Données projet'!$A$88&gt;35,BD52+BC53-BL52,IF(A53&lt;'Données projet'!$A$88,$BA$205^A53,IF(A53='Données projet'!$A$88,'Données projet'!$B$88,BD52+BC53-BL52)))</f>
        <v>249.24999999999991</v>
      </c>
      <c r="BE53" s="13">
        <f>BD53*VLOOKUP('Données projet'!$B$11,Paramètres!$A$1:$I$89,3,0)*VLOOKUP('Données projet'!$B$11,Paramètres!$A$1:$I$89,5,0)</f>
        <v>194.41499999999994</v>
      </c>
      <c r="BF53" s="13">
        <f t="shared" si="37"/>
        <v>48.514737888684927</v>
      </c>
      <c r="BG53" s="20">
        <f t="shared" si="7"/>
        <v>423.10262682279273</v>
      </c>
      <c r="BH53" s="59">
        <f t="shared" si="8"/>
        <v>716.43596015612604</v>
      </c>
      <c r="BI53" s="59">
        <f ca="1">AVERAGE(OFFSET($BH$3,0,0,'Données projet'!$E$11+1,1))-AVERAGE(OFFSET($H$3,0,0,'Données projet'!$E$11+1,1))</f>
        <v>219.22204054948094</v>
      </c>
      <c r="BJ53" s="59">
        <f t="shared" si="38"/>
        <v>222.41711966122034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1.800918386418884</v>
      </c>
      <c r="BR53" s="21">
        <f>EXP(-LN(2)/2)*BR52+(1-EXP(-LN(2)/2))/(LN(2)/2)*BL53*BO53*VLOOKUP('Données projet'!$B$11,Paramètres!$A$1:$I$89,3,0)*0.475*44/12</f>
        <v>3.1934642932935375E-3</v>
      </c>
      <c r="BS53" s="22">
        <f t="shared" si="9"/>
        <v>1.8041118507121776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220</v>
      </c>
      <c r="BW53" s="12">
        <f>VLOOKUP(A53,'Données projet'!$A$113:$I$133,9,0)</f>
        <v>12.4</v>
      </c>
      <c r="BX53" s="12">
        <f t="array" ref="BX53">INDEX(BW:BW,MIN(IF(ISNUMBER(BW53:BW249),ROW(BW53:BW249),"")))</f>
        <v>12.4</v>
      </c>
      <c r="BY53" s="12">
        <f>IF('Données projet'!$A$114&gt;35,BY52+BX53-CG52,IF(A53&lt;'Données projet'!$A$114,$BV$205^A53,IF(A53='Données projet'!$A$114,'Données projet'!$B$114,BY52+BX53-CG52)))</f>
        <v>219.99999999999997</v>
      </c>
      <c r="BZ53" s="13">
        <f>BY53*VLOOKUP('Données projet'!$B$12,Paramètres!$A$1:$I$89,3,0)*VLOOKUP('Données projet'!$B$12,Paramètres!$A$1:$I$89,5,0)</f>
        <v>188.76000000000002</v>
      </c>
      <c r="CA53" s="13">
        <f t="shared" si="39"/>
        <v>47.265702073783714</v>
      </c>
      <c r="CB53" s="20">
        <f t="shared" si="10"/>
        <v>411.07809777850667</v>
      </c>
      <c r="CC53" s="59">
        <f t="shared" si="11"/>
        <v>704.41143111183999</v>
      </c>
      <c r="CD53" s="59">
        <f ca="1">AVERAGE(OFFSET($CC$3,0,0,'Données projet'!$E$12+1,1))-AVERAGE(OFFSET($H$3,0,0,'Données projet'!$E$12+1,1))</f>
        <v>237.27357081252273</v>
      </c>
      <c r="CE53" s="59">
        <f t="shared" si="40"/>
        <v>68.768479693848576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24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691</v>
      </c>
      <c r="CR53" s="12">
        <f>VLOOKUP(A53,'Données projet'!$A$139:$I$159,9,0)</f>
        <v>19.2</v>
      </c>
      <c r="CS53" s="12">
        <f t="array" ref="CS53">INDEX(CR:CR,MIN(IF(ISNUMBER(CR53:CR249),ROW(CR53:CR249),"")))</f>
        <v>19.2</v>
      </c>
      <c r="CT53" s="12">
        <f>IF('Données projet'!$A$140&gt;35,CT52+CS53-DB52,IF(A53&lt;'Données projet'!$A$140,$CQ$205^A53,IF(A53='Données projet'!$A$140,'Données projet'!$B$140,CT52+CS53-DB52)))</f>
        <v>691.00000000000011</v>
      </c>
      <c r="CU53" s="17">
        <f>CT53*VLOOKUP('Données projet'!$B$13,Paramètres!$A$1:$I$89,3,0)*VLOOKUP('Données projet'!$B$13,Paramètres!$A$1:$I$89,5,0)</f>
        <v>386.26900000000006</v>
      </c>
      <c r="CV53" s="13">
        <f t="shared" si="41"/>
        <v>88.987281787109026</v>
      </c>
      <c r="CW53" s="20">
        <f t="shared" si="13"/>
        <v>827.73802411254826</v>
      </c>
      <c r="CX53" s="59">
        <f t="shared" si="14"/>
        <v>1121.0713574458816</v>
      </c>
      <c r="CY53" s="59">
        <f ca="1">AVERAGE(OFFSET($CX$3,0,0,'Données projet'!$E$13+1,1))-AVERAGE(OFFSET($H$3,0,0,'Données projet'!$E$13+1,1))</f>
        <v>474.03051418249999</v>
      </c>
      <c r="CZ53" s="59">
        <f t="shared" si="42"/>
        <v>649.52271992719091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75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3.6778203526122732</v>
      </c>
      <c r="DG53" s="21">
        <f>EXP(-LN(2)/25)*DG52+(1-EXP(-LN(2)/25))/(LN(2)/25)*Calculateur!DB53*Calculateur!DD53*VLOOKUP('Données projet'!$B$13,Paramètres!$A$1:$I$89,3,0)*0.475*44/12</f>
        <v>13.895270483639145</v>
      </c>
      <c r="DH53" s="21">
        <f>EXP(-LN(2)/2)*DH52+(1-EXP(-LN(2)/2))/(LN(2)/2)*DB53*DE53*VLOOKUP('Données projet'!$B$13,Paramètres!$A$1:$I$89,3,0)*0.475*44/12</f>
        <v>1.1425457081723737E-2</v>
      </c>
      <c r="DI53" s="22">
        <f t="shared" si="15"/>
        <v>17.584516293333142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-5.6843418860808015E-14</v>
      </c>
      <c r="DP53" s="17">
        <f>DO53*VLOOKUP('Données projet'!$B$14,Paramètres!$A$1:$I$89,3,0)*VLOOKUP('Données projet'!$B$14,Paramètres!$A$1:$I$89,5,0)</f>
        <v>-3.1036506698001178E-14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164.0740581424559</v>
      </c>
      <c r="DU53" s="59">
        <f t="shared" si="44"/>
        <v>280.99861170359793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4.4452756551216606</v>
      </c>
      <c r="EB53" s="21">
        <f>EXP(-LN(2)/25)*EB52+(1-EXP(-LN(2)/25))/(LN(2)/25)*Calculateur!DW53*Calculateur!DY53*VLOOKUP('Données projet'!$B$14,Paramètres!$A$1:$I$89,3,0)*0.475*44/12</f>
        <v>14.873731391931463</v>
      </c>
      <c r="EC53" s="21">
        <f>EXP(-LN(2)/2)*EC52+(1-EXP(-LN(2)/2))/(LN(2)/2)*DW53*DZ53*VLOOKUP('Données projet'!$B$14,Paramètres!$A$1:$I$89,3,0)*0.475*44/12</f>
        <v>1.48229621651286E-2</v>
      </c>
      <c r="ED53" s="22">
        <f t="shared" si="18"/>
        <v>19.333830009218254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644</v>
      </c>
      <c r="EH53" s="12">
        <f>VLOOKUP(A53,'Données projet'!$A$191:$I$211,9,0)</f>
        <v>26.6</v>
      </c>
      <c r="EI53" s="12">
        <f t="array" ref="EI53">INDEX(EH:EH,MIN(IF(ISNUMBER(EH53:EH249),ROW(EH53:EH249),"")))</f>
        <v>26.6</v>
      </c>
      <c r="EJ53" s="12">
        <f>IF('Données projet'!$A$192&gt;35,EJ52+EI53-ER52,IF(A53&lt;'Données projet'!$A$192,$EG$205^A53,IF(A53='Données projet'!$A$192,'Données projet'!$B$192,EJ52+EI53-ER52)))</f>
        <v>644.00000000000045</v>
      </c>
      <c r="EK53" s="17">
        <f>EJ53*VLOOKUP('Données projet'!$B$15,Paramètres!$A$1:$I$89,3,0)*VLOOKUP('Données projet'!$B$15,Paramètres!$A$1:$I$89,5,0)</f>
        <v>309.76400000000024</v>
      </c>
      <c r="EL53" s="13">
        <f t="shared" si="45"/>
        <v>73.219541794375104</v>
      </c>
      <c r="EM53" s="20">
        <f t="shared" si="19"/>
        <v>667.02966862520373</v>
      </c>
      <c r="EN53" s="59">
        <f t="shared" si="20"/>
        <v>960.3630019585371</v>
      </c>
      <c r="EO53" s="59">
        <f ca="1">AVERAGE(OFFSET($EN$3,0,0,'Données projet'!$E$15+1,1))-AVERAGE(OFFSET($H$3,0,0,'Données projet'!$E$15+1,1))</f>
        <v>312.1172301514103</v>
      </c>
      <c r="EP53" s="59">
        <f t="shared" si="46"/>
        <v>369.85500533493212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77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1.8184849331121773</v>
      </c>
      <c r="EW53" s="21">
        <f>EXP(-LN(2)/25)*EW52+(1-EXP(-LN(2)/25))/(LN(2)/25)*Calculateur!ER53*Calculateur!ET53*VLOOKUP('Données projet'!$B$15,Paramètres!$A$1:$I$89,3,0)*0.475*44/12</f>
        <v>8.6379394867294081</v>
      </c>
      <c r="EX53" s="21">
        <f>EXP(-LN(2)/2)*EX52+(1-EXP(-LN(2)/2))/(LN(2)/2)*ER53*EU53*VLOOKUP('Données projet'!$B$15,Paramètres!$A$1:$I$89,3,0)*0.475*44/12</f>
        <v>3.093415399154107E-2</v>
      </c>
      <c r="EY53" s="22">
        <f t="shared" si="21"/>
        <v>10.487358573833127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-1.7053025658242404E-13</v>
      </c>
      <c r="FF53" s="17">
        <f>FE53*VLOOKUP('Données projet'!$B$16,Paramètres!$A$1:$I$89,3,0)*VLOOKUP('Données projet'!$B$16,Paramètres!$A$1:$I$89,5,0)</f>
        <v>-7.9808160080574461E-14</v>
      </c>
      <c r="FG53" s="13" t="e">
        <f t="shared" si="47"/>
        <v>#NUM!</v>
      </c>
      <c r="FH53" s="20" t="e">
        <f t="shared" si="22"/>
        <v>#NUM!</v>
      </c>
      <c r="FI53" s="59" t="e">
        <f t="shared" si="23"/>
        <v>#NUM!</v>
      </c>
      <c r="FJ53" s="59">
        <f ca="1">AVERAGE(OFFSET($FI$3,0,0,'Données projet'!$E$16+1,1))-AVERAGE(OFFSET($H$3,0,0,'Données projet'!$E$16+1,1))</f>
        <v>87.187251664304199</v>
      </c>
      <c r="FK53" s="59">
        <f t="shared" si="48"/>
        <v>148.84938257884147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4.6313585339235157</v>
      </c>
      <c r="FS53" s="21">
        <f>EXP(-LN(2)/2)*FS52+(1-EXP(-LN(2)/2))/(LN(2)/2)*FM53*FP53*VLOOKUP('Données projet'!$B$16,Paramètres!$A$1:$I$89,3,0)*0.475*44/12</f>
        <v>5.9413332585566397E-3</v>
      </c>
      <c r="FT53" s="22">
        <f t="shared" si="24"/>
        <v>4.6372998671820724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414</v>
      </c>
      <c r="FX53" s="12">
        <f>VLOOKUP(A53,'Données projet'!$A$243:$I$263,9,0)</f>
        <v>17.399999999999999</v>
      </c>
      <c r="FY53" s="12">
        <f t="array" ref="FY53">INDEX(FX:FX,MIN(IF(ISNUMBER(FX53:FX249),ROW(FX53:FX249),"")))</f>
        <v>17.399999999999999</v>
      </c>
      <c r="FZ53" s="12">
        <f>IF('Données projet'!$A$244&gt;35,FZ52+FY53-GH52,IF(A53&lt;'Données projet'!$A$244,$FW$205^A53,IF(A53='Données projet'!$A$244,'Données projet'!$B$244,FZ52+FY53-GH52)))</f>
        <v>414.00000000000006</v>
      </c>
      <c r="GA53" s="17">
        <f>FZ53*VLOOKUP('Données projet'!$B$17,Paramètres!$A$1:$I$89,3,0)*VLOOKUP('Données projet'!$B$17,Paramètres!$A$1:$I$89,5,0)</f>
        <v>247.57200000000003</v>
      </c>
      <c r="GB53" s="13">
        <f t="shared" si="49"/>
        <v>60.065726249156576</v>
      </c>
      <c r="GC53" s="20">
        <f t="shared" si="25"/>
        <v>535.80237321728112</v>
      </c>
      <c r="GD53" s="59">
        <f t="shared" si="26"/>
        <v>829.13570655061449</v>
      </c>
      <c r="GE53" s="59">
        <f ca="1">AVERAGE(OFFSET($GD$3,0,0,'Données projet'!$E$17+1,1))-AVERAGE(OFFSET($H$3,0,0,'Données projet'!$E$17+1,1))</f>
        <v>282.94722676586207</v>
      </c>
      <c r="GF53" s="59">
        <f t="shared" si="50"/>
        <v>310.63647941571298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47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6.1555961790140294</v>
      </c>
      <c r="GN53" s="21">
        <f>EXP(-LN(2)/2)*GN52+(1-EXP(-LN(2)/2))/(LN(2)/2)*GH53*GK53*VLOOKUP('Données projet'!$B$17,Paramètres!$A$1:$I$89,3,0)*0.475*44/12</f>
        <v>2.5037336911512744E-2</v>
      </c>
      <c r="GO53" s="21">
        <f t="shared" si="27"/>
        <v>6.1806335159255426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7.25</v>
      </c>
      <c r="GU53" s="12">
        <f>IF('Données projet'!$A$270&gt;35,GU52+GT53-HC52,IF(A53&lt;'Données projet'!$A$270,$GR$205^A53,IF(A53='Données projet'!$A$270,'Données projet'!$B$270,GU52+GT53-HC52)))</f>
        <v>372.99999999999989</v>
      </c>
      <c r="GV53" s="17">
        <f>GU53*VLOOKUP('Données projet'!$B$18,Paramètres!$A$1:$I$89,3,0)*VLOOKUP('Données projet'!$B$18,Paramètres!$A$1:$I$89,5,0)</f>
        <v>223.05399999999995</v>
      </c>
      <c r="GW53" s="13">
        <f t="shared" si="51"/>
        <v>54.778124005813339</v>
      </c>
      <c r="GX53" s="20">
        <f t="shared" si="28"/>
        <v>483.89094931012482</v>
      </c>
      <c r="GY53" s="59">
        <f t="shared" si="29"/>
        <v>777.22428264345808</v>
      </c>
      <c r="GZ53" s="59">
        <f ca="1">AVERAGE(OFFSET($GY$3,0,0,'Données projet'!$E$18+1,1))-AVERAGE(OFFSET($H$3,0,0,'Données projet'!$E$18+1,1))</f>
        <v>255.54398581450459</v>
      </c>
      <c r="HA53" s="59">
        <f t="shared" si="52"/>
        <v>276.52622328061204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3.0714493954821132</v>
      </c>
      <c r="HI53" s="21">
        <f>EXP(-LN(2)/2)*HI52+(1-EXP(-LN(2)/2))/(LN(2)/2)*HC53*HF53*VLOOKUP('Données projet'!$B$18,Paramètres!$A$1:$I$89,3,0)*0.475*44/12</f>
        <v>1.4518636726882013E-2</v>
      </c>
      <c r="HJ53" s="22">
        <f t="shared" si="30"/>
        <v>3.0859680322089953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8.6</v>
      </c>
      <c r="N54" s="13">
        <f>IF('Données projet'!$A$36&gt;35,N53+M54-V53,IF(A54&lt;'Données projet'!$A$36,$K$205^A54,IF(A54='Données projet'!$A$36,'Données projet'!$B$36,N53+M54-V53)))</f>
        <v>223.60000000000008</v>
      </c>
      <c r="O54" s="13">
        <f>N54*VLOOKUP('Données projet'!$B$9,Paramètres!$A$1:$I$89,3,0)*VLOOKUP('Données projet'!$B$9,Paramètres!$A$1:$I$89,5,0)</f>
        <v>195.33696000000009</v>
      </c>
      <c r="P54" s="13">
        <f t="shared" si="33"/>
        <v>48.717969863105488</v>
      </c>
      <c r="Q54" s="20">
        <f t="shared" si="53"/>
        <v>425.06233617824211</v>
      </c>
      <c r="R54" s="59">
        <f t="shared" si="0"/>
        <v>718.39566951157542</v>
      </c>
      <c r="S54" s="59">
        <f ca="1">AVERAGE(OFFSET($R$3,0,0,'Données projet'!$E$9+1,1))-AVERAGE(OFFSET($H$3,0,0,'Données projet'!$E$9+1,1))</f>
        <v>248.50221719467663</v>
      </c>
      <c r="T54" s="59">
        <f t="shared" si="34"/>
        <v>366.09064580347183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5.2086503334372969</v>
      </c>
      <c r="AA54" s="21">
        <f>EXP(-LN(2)/25)*AA53+(1-EXP(-LN(2)/25))/(LN(2)/25)*Calculateur!V54*Calculateur!X54*VLOOKUP('Données projet'!$B$9,Paramètres!$A$1:$I$89,3,0)*0.475*44/12</f>
        <v>13.446493368502425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18.655143701939721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192.90336000000002</v>
      </c>
      <c r="AK54" s="13">
        <f t="shared" si="35"/>
        <v>48.181276881765257</v>
      </c>
      <c r="AL54" s="20">
        <f t="shared" si="4"/>
        <v>419.88907590240791</v>
      </c>
      <c r="AM54" s="59">
        <f t="shared" si="5"/>
        <v>713.22240923574122</v>
      </c>
      <c r="AN54" s="59">
        <f ca="1">AVERAGE(OFFSET($AM$3,0,0,'Données projet'!$E$10+1,1))-AVERAGE(OFFSET($H$3,0,0,'Données projet'!$E$10+1,1))</f>
        <v>263.22346936777603</v>
      </c>
      <c r="AO54" s="59">
        <f t="shared" si="36"/>
        <v>217.14714468707939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4.0648329707947886</v>
      </c>
      <c r="AW54" s="21">
        <f>EXP(-LN(2)/2)*AW53+(1-EXP(-LN(2)/2))/(LN(2)/2)*AQ54*AT54*VLOOKUP('Données projet'!$B$10,Paramètres!$A$1:$I$89,3,0)*0.475*44/12</f>
        <v>1.2326556406688964E-2</v>
      </c>
      <c r="AX54" s="21">
        <f t="shared" si="6"/>
        <v>4.0771595272014771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10.375</v>
      </c>
      <c r="BD54" s="12">
        <f>IF('Données projet'!$A$88&gt;35,BD53+BC54-BL53,IF(A54&lt;'Données projet'!$A$88,$BA$205^A54,IF(A54='Données projet'!$A$88,'Données projet'!$B$88,BD53+BC54-BL53)))</f>
        <v>259.62499999999989</v>
      </c>
      <c r="BE54" s="13">
        <f>BD54*VLOOKUP('Données projet'!$B$11,Paramètres!$A$1:$I$89,3,0)*VLOOKUP('Données projet'!$B$11,Paramètres!$A$1:$I$89,5,0)</f>
        <v>202.50749999999991</v>
      </c>
      <c r="BF54" s="13">
        <f t="shared" si="37"/>
        <v>50.294840086606349</v>
      </c>
      <c r="BG54" s="20">
        <f t="shared" si="7"/>
        <v>440.29740898417253</v>
      </c>
      <c r="BH54" s="59">
        <f t="shared" si="8"/>
        <v>733.63074231750579</v>
      </c>
      <c r="BI54" s="59">
        <f ca="1">AVERAGE(OFFSET($BH$3,0,0,'Données projet'!$E$11+1,1))-AVERAGE(OFFSET($H$3,0,0,'Données projet'!$E$11+1,1))</f>
        <v>219.22204054948094</v>
      </c>
      <c r="BJ54" s="59">
        <f t="shared" si="38"/>
        <v>222.41711966122034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1.7516721784360778</v>
      </c>
      <c r="BR54" s="21">
        <f>EXP(-LN(2)/2)*BR53+(1-EXP(-LN(2)/2))/(LN(2)/2)*BL54*BO54*VLOOKUP('Données projet'!$B$11,Paramètres!$A$1:$I$89,3,0)*0.475*44/12</f>
        <v>2.258120257264966E-3</v>
      </c>
      <c r="BS54" s="22">
        <f t="shared" si="9"/>
        <v>1.7539302986933427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12.8</v>
      </c>
      <c r="BY54" s="12">
        <f>IF('Données projet'!$A$114&gt;35,BY53+BX54-CG53,IF(A54&lt;'Données projet'!$A$114,$BV$205^A54,IF(A54='Données projet'!$A$114,'Données projet'!$B$114,BY53+BX54-CG53)))</f>
        <v>208.79999999999998</v>
      </c>
      <c r="BZ54" s="13">
        <f>BY54*VLOOKUP('Données projet'!$B$12,Paramètres!$A$1:$I$89,3,0)*VLOOKUP('Données projet'!$B$12,Paramètres!$A$1:$I$89,5,0)</f>
        <v>179.15040000000002</v>
      </c>
      <c r="CA54" s="13">
        <f t="shared" si="39"/>
        <v>45.133113803437304</v>
      </c>
      <c r="CB54" s="20">
        <f t="shared" si="10"/>
        <v>390.62711987431999</v>
      </c>
      <c r="CC54" s="59">
        <f t="shared" si="11"/>
        <v>683.96045320765325</v>
      </c>
      <c r="CD54" s="59">
        <f ca="1">AVERAGE(OFFSET($CC$3,0,0,'Données projet'!$E$12+1,1))-AVERAGE(OFFSET($H$3,0,0,'Données projet'!$E$12+1,1))</f>
        <v>237.27357081252273</v>
      </c>
      <c r="CE54" s="59">
        <f t="shared" si="40"/>
        <v>68.768479693848576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17.8</v>
      </c>
      <c r="CT54" s="12">
        <f>IF('Données projet'!$A$140&gt;35,CT53+CS54-DB53,IF(A54&lt;'Données projet'!$A$140,$CQ$205^A54,IF(A54='Données projet'!$A$140,'Données projet'!$B$140,CT53+CS54-DB53)))</f>
        <v>633.80000000000007</v>
      </c>
      <c r="CU54" s="17">
        <f>CT54*VLOOKUP('Données projet'!$B$13,Paramètres!$A$1:$I$89,3,0)*VLOOKUP('Données projet'!$B$13,Paramètres!$A$1:$I$89,5,0)</f>
        <v>354.2942000000001</v>
      </c>
      <c r="CV54" s="13">
        <f t="shared" si="41"/>
        <v>82.446103089690695</v>
      </c>
      <c r="CW54" s="20">
        <f t="shared" si="13"/>
        <v>760.65602788121134</v>
      </c>
      <c r="CX54" s="59">
        <f t="shared" si="14"/>
        <v>1053.9893612145447</v>
      </c>
      <c r="CY54" s="59">
        <f ca="1">AVERAGE(OFFSET($CX$3,0,0,'Données projet'!$E$13+1,1))-AVERAGE(OFFSET($H$3,0,0,'Données projet'!$E$13+1,1))</f>
        <v>474.03051418249999</v>
      </c>
      <c r="CZ54" s="59">
        <f t="shared" si="42"/>
        <v>649.52271992719091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3.6057005387464591</v>
      </c>
      <c r="DG54" s="21">
        <f>EXP(-LN(2)/25)*DG53+(1-EXP(-LN(2)/25))/(LN(2)/25)*Calculateur!DB54*Calculateur!DD54*VLOOKUP('Données projet'!$B$13,Paramètres!$A$1:$I$89,3,0)*0.475*44/12</f>
        <v>13.515303581543515</v>
      </c>
      <c r="DH54" s="21">
        <f>EXP(-LN(2)/2)*DH53+(1-EXP(-LN(2)/2))/(LN(2)/2)*DB54*DE54*VLOOKUP('Données projet'!$B$13,Paramètres!$A$1:$I$89,3,0)*0.475*44/12</f>
        <v>8.0790181806427164E-3</v>
      </c>
      <c r="DI54" s="22">
        <f t="shared" si="15"/>
        <v>17.129083138470616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-5.6843418860808015E-14</v>
      </c>
      <c r="DP54" s="17">
        <f>DO54*VLOOKUP('Données projet'!$B$14,Paramètres!$A$1:$I$89,3,0)*VLOOKUP('Données projet'!$B$14,Paramètres!$A$1:$I$89,5,0)</f>
        <v>-3.1036506698001178E-14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164.0740581424559</v>
      </c>
      <c r="DU54" s="59">
        <f t="shared" si="44"/>
        <v>280.99861170359793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4.3581065108751504</v>
      </c>
      <c r="EB54" s="21">
        <f>EXP(-LN(2)/25)*EB53+(1-EXP(-LN(2)/25))/(LN(2)/25)*Calculateur!DW54*Calculateur!DY54*VLOOKUP('Données projet'!$B$14,Paramètres!$A$1:$I$89,3,0)*0.475*44/12</f>
        <v>14.467008424843558</v>
      </c>
      <c r="EC54" s="21">
        <f>EXP(-LN(2)/2)*EC53+(1-EXP(-LN(2)/2))/(LN(2)/2)*DW54*DZ54*VLOOKUP('Données projet'!$B$14,Paramètres!$A$1:$I$89,3,0)*0.475*44/12</f>
        <v>1.0481417064234062E-2</v>
      </c>
      <c r="ED54" s="22">
        <f t="shared" si="18"/>
        <v>18.835596352782943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25.4</v>
      </c>
      <c r="EJ54" s="12">
        <f>IF('Données projet'!$A$192&gt;35,EJ53+EI54-ER53,IF(A54&lt;'Données projet'!$A$192,$EG$205^A54,IF(A54='Données projet'!$A$192,'Données projet'!$B$192,EJ53+EI54-ER53)))</f>
        <v>592.40000000000043</v>
      </c>
      <c r="EK54" s="17">
        <f>EJ54*VLOOKUP('Données projet'!$B$15,Paramètres!$A$1:$I$89,3,0)*VLOOKUP('Données projet'!$B$15,Paramètres!$A$1:$I$89,5,0)</f>
        <v>284.9444000000002</v>
      </c>
      <c r="EL54" s="13">
        <f t="shared" si="45"/>
        <v>68.010835859755289</v>
      </c>
      <c r="EM54" s="20">
        <f t="shared" si="19"/>
        <v>614.73036912240741</v>
      </c>
      <c r="EN54" s="59">
        <f t="shared" si="20"/>
        <v>908.06370245574067</v>
      </c>
      <c r="EO54" s="59">
        <f ca="1">AVERAGE(OFFSET($EN$3,0,0,'Données projet'!$E$15+1,1))-AVERAGE(OFFSET($H$3,0,0,'Données projet'!$E$15+1,1))</f>
        <v>312.1172301514103</v>
      </c>
      <c r="EP54" s="59">
        <f t="shared" si="46"/>
        <v>369.85500533493212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1.7828255527401355</v>
      </c>
      <c r="EW54" s="21">
        <f>EXP(-LN(2)/25)*EW53+(1-EXP(-LN(2)/25))/(LN(2)/25)*Calculateur!ER54*Calculateur!ET54*VLOOKUP('Données projet'!$B$15,Paramètres!$A$1:$I$89,3,0)*0.475*44/12</f>
        <v>8.4017345772152972</v>
      </c>
      <c r="EX54" s="21">
        <f>EXP(-LN(2)/2)*EX53+(1-EXP(-LN(2)/2))/(LN(2)/2)*ER54*EU54*VLOOKUP('Données projet'!$B$15,Paramètres!$A$1:$I$89,3,0)*0.475*44/12</f>
        <v>2.1873750057687599E-2</v>
      </c>
      <c r="EY54" s="22">
        <f t="shared" si="21"/>
        <v>10.206433880013121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-1.7053025658242404E-13</v>
      </c>
      <c r="FF54" s="17">
        <f>FE54*VLOOKUP('Données projet'!$B$16,Paramètres!$A$1:$I$89,3,0)*VLOOKUP('Données projet'!$B$16,Paramètres!$A$1:$I$89,5,0)</f>
        <v>-7.9808160080574461E-14</v>
      </c>
      <c r="FG54" s="13" t="e">
        <f t="shared" si="47"/>
        <v>#NUM!</v>
      </c>
      <c r="FH54" s="20" t="e">
        <f t="shared" si="22"/>
        <v>#NUM!</v>
      </c>
      <c r="FI54" s="59" t="e">
        <f t="shared" si="23"/>
        <v>#NUM!</v>
      </c>
      <c r="FJ54" s="59">
        <f ca="1">AVERAGE(OFFSET($FI$3,0,0,'Données projet'!$E$16+1,1))-AVERAGE(OFFSET($H$3,0,0,'Données projet'!$E$16+1,1))</f>
        <v>87.187251664304199</v>
      </c>
      <c r="FK54" s="59">
        <f t="shared" si="48"/>
        <v>148.84938257884147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4.5047137912608166</v>
      </c>
      <c r="FS54" s="21">
        <f>EXP(-LN(2)/2)*FS53+(1-EXP(-LN(2)/2))/(LN(2)/2)*FM54*FP54*VLOOKUP('Données projet'!$B$16,Paramètres!$A$1:$I$89,3,0)*0.475*44/12</f>
        <v>4.2011570364145672E-3</v>
      </c>
      <c r="FT54" s="22">
        <f t="shared" si="24"/>
        <v>4.5089149482972308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19.2</v>
      </c>
      <c r="FZ54" s="12">
        <f>IF('Données projet'!$A$244&gt;35,FZ53+FY54-GH53,IF(A54&lt;'Données projet'!$A$244,$FW$205^A54,IF(A54='Données projet'!$A$244,'Données projet'!$B$244,FZ53+FY54-GH53)))</f>
        <v>386.20000000000005</v>
      </c>
      <c r="GA54" s="17">
        <f>FZ54*VLOOKUP('Données projet'!$B$17,Paramètres!$A$1:$I$89,3,0)*VLOOKUP('Données projet'!$B$17,Paramètres!$A$1:$I$89,5,0)</f>
        <v>230.94760000000002</v>
      </c>
      <c r="GB54" s="13">
        <f t="shared" si="49"/>
        <v>56.487525751065782</v>
      </c>
      <c r="GC54" s="20">
        <f t="shared" si="25"/>
        <v>500.61617734977295</v>
      </c>
      <c r="GD54" s="59">
        <f t="shared" si="26"/>
        <v>793.94951068310627</v>
      </c>
      <c r="GE54" s="59">
        <f ca="1">AVERAGE(OFFSET($GD$3,0,0,'Données projet'!$E$17+1,1))-AVERAGE(OFFSET($H$3,0,0,'Données projet'!$E$17+1,1))</f>
        <v>282.94722676586207</v>
      </c>
      <c r="GF54" s="59">
        <f t="shared" si="50"/>
        <v>310.63647941571298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5.9872710777901563</v>
      </c>
      <c r="GN54" s="21">
        <f>EXP(-LN(2)/2)*GN53+(1-EXP(-LN(2)/2))/(LN(2)/2)*GH54*GK54*VLOOKUP('Données projet'!$B$17,Paramètres!$A$1:$I$89,3,0)*0.475*44/12</f>
        <v>1.7704070712982911E-2</v>
      </c>
      <c r="GO54" s="21">
        <f t="shared" si="27"/>
        <v>6.0049751485031395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7.25</v>
      </c>
      <c r="GU54" s="12">
        <f>IF('Données projet'!$A$270&gt;35,GU53+GT54-HC53,IF(A54&lt;'Données projet'!$A$270,$GR$205^A54,IF(A54='Données projet'!$A$270,'Données projet'!$B$270,GU53+GT54-HC53)))</f>
        <v>380.24999999999989</v>
      </c>
      <c r="GV54" s="17">
        <f>GU54*VLOOKUP('Données projet'!$B$18,Paramètres!$A$1:$I$89,3,0)*VLOOKUP('Données projet'!$B$18,Paramètres!$A$1:$I$89,5,0)</f>
        <v>227.38949999999997</v>
      </c>
      <c r="GW54" s="13">
        <f t="shared" si="51"/>
        <v>55.717855953778901</v>
      </c>
      <c r="GX54" s="20">
        <f t="shared" si="28"/>
        <v>493.07864495283161</v>
      </c>
      <c r="GY54" s="59">
        <f t="shared" si="29"/>
        <v>786.41197828616487</v>
      </c>
      <c r="GZ54" s="59">
        <f ca="1">AVERAGE(OFFSET($GY$3,0,0,'Données projet'!$E$18+1,1))-AVERAGE(OFFSET($H$3,0,0,'Données projet'!$E$18+1,1))</f>
        <v>255.54398581450459</v>
      </c>
      <c r="HA54" s="59">
        <f t="shared" si="52"/>
        <v>276.52622328061204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2.9874604502421511</v>
      </c>
      <c r="HI54" s="21">
        <f>EXP(-LN(2)/2)*HI53+(1-EXP(-LN(2)/2))/(LN(2)/2)*HC54*HF54*VLOOKUP('Données projet'!$B$18,Paramètres!$A$1:$I$89,3,0)*0.475*44/12</f>
        <v>1.0266226483162333E-2</v>
      </c>
      <c r="HJ54" s="22">
        <f t="shared" si="30"/>
        <v>2.9977266767253132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8.6</v>
      </c>
      <c r="N55" s="13">
        <f>IF('Données projet'!$A$36&gt;35,N54+M55-V54,IF(A55&lt;'Données projet'!$A$36,$K$205^A55,IF(A55='Données projet'!$A$36,'Données projet'!$B$36,N54+M55-V54)))</f>
        <v>232.20000000000007</v>
      </c>
      <c r="O55" s="13">
        <f>N55*VLOOKUP('Données projet'!$B$9,Paramètres!$A$1:$I$89,3,0)*VLOOKUP('Données projet'!$B$9,Paramètres!$A$1:$I$89,5,0)</f>
        <v>202.84992000000011</v>
      </c>
      <c r="P55" s="13">
        <f t="shared" si="33"/>
        <v>50.369977187686075</v>
      </c>
      <c r="Q55" s="20">
        <f t="shared" si="53"/>
        <v>441.02465426855338</v>
      </c>
      <c r="R55" s="59">
        <f t="shared" si="0"/>
        <v>734.35798760188663</v>
      </c>
      <c r="S55" s="59">
        <f ca="1">AVERAGE(OFFSET($R$3,0,0,'Données projet'!$E$9+1,1))-AVERAGE(OFFSET($H$3,0,0,'Données projet'!$E$9+1,1))</f>
        <v>248.50221719467663</v>
      </c>
      <c r="T55" s="59">
        <f t="shared" si="34"/>
        <v>366.09064580347183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5.1065118773615961</v>
      </c>
      <c r="AA55" s="21">
        <f>EXP(-LN(2)/25)*AA54+(1-EXP(-LN(2)/25))/(LN(2)/25)*Calculateur!V55*Calculateur!X55*VLOOKUP('Données projet'!$B$9,Paramètres!$A$1:$I$89,3,0)*0.475*44/12</f>
        <v>13.078798300220372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18.185310177581968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202.13232000000002</v>
      </c>
      <c r="AK55" s="13">
        <f t="shared" si="35"/>
        <v>50.212497488959627</v>
      </c>
      <c r="AL55" s="20">
        <f t="shared" si="4"/>
        <v>439.50055712660469</v>
      </c>
      <c r="AM55" s="59">
        <f t="shared" si="5"/>
        <v>732.83389045993795</v>
      </c>
      <c r="AN55" s="59">
        <f ca="1">AVERAGE(OFFSET($AM$3,0,0,'Données projet'!$E$10+1,1))-AVERAGE(OFFSET($H$3,0,0,'Données projet'!$E$10+1,1))</f>
        <v>263.22346936777603</v>
      </c>
      <c r="AO55" s="59">
        <f t="shared" si="36"/>
        <v>217.14714468707939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3.9536798994481295</v>
      </c>
      <c r="AW55" s="21">
        <f>EXP(-LN(2)/2)*AW54+(1-EXP(-LN(2)/2))/(LN(2)/2)*AQ55*AT55*VLOOKUP('Données projet'!$B$10,Paramètres!$A$1:$I$89,3,0)*0.475*44/12</f>
        <v>8.716191623848249E-3</v>
      </c>
      <c r="AX55" s="21">
        <f t="shared" si="6"/>
        <v>3.9623960910719775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270</v>
      </c>
      <c r="BB55" s="12">
        <f>VLOOKUP(A55,'Données projet'!$A$87:$I$107,9,0)</f>
        <v>10.375</v>
      </c>
      <c r="BC55" s="12">
        <f t="array" ref="BC55">INDEX(BB:BB,MIN(IF(ISNUMBER(BB55:BB251),ROW(BB55:BB251),"")))</f>
        <v>10.375</v>
      </c>
      <c r="BD55" s="12">
        <f>IF('Données projet'!$A$88&gt;35,BD54+BC55-BL54,IF(A55&lt;'Données projet'!$A$88,$BA$205^A55,IF(A55='Données projet'!$A$88,'Données projet'!$B$88,BD54+BC55-BL54)))</f>
        <v>269.99999999999989</v>
      </c>
      <c r="BE55" s="13">
        <f>BD55*VLOOKUP('Données projet'!$B$11,Paramètres!$A$1:$I$89,3,0)*VLOOKUP('Données projet'!$B$11,Paramètres!$A$1:$I$89,5,0)</f>
        <v>210.59999999999991</v>
      </c>
      <c r="BF55" s="13">
        <f t="shared" si="37"/>
        <v>52.066679014659961</v>
      </c>
      <c r="BG55" s="20">
        <f t="shared" si="7"/>
        <v>457.47779928386586</v>
      </c>
      <c r="BH55" s="59">
        <f t="shared" si="8"/>
        <v>750.81113261719918</v>
      </c>
      <c r="BI55" s="59">
        <f ca="1">AVERAGE(OFFSET($BH$3,0,0,'Données projet'!$E$11+1,1))-AVERAGE(OFFSET($H$3,0,0,'Données projet'!$E$11+1,1))</f>
        <v>219.22204054948094</v>
      </c>
      <c r="BJ55" s="59">
        <f t="shared" si="38"/>
        <v>222.41711966122034</v>
      </c>
      <c r="BK55" s="15">
        <f>IF(ISNA(VLOOKUP(A55,'Données projet'!$A$87:$I$107,3,0)),0,VLOOKUP(A55,'Données projet'!$A$87:$I$107,3,0))</f>
        <v>7</v>
      </c>
      <c r="BL55" s="15">
        <f>IF(ISNA(VLOOKUP(A55,'Données projet'!$A$87:$I$107,4,0)),0,VLOOKUP(A55,'Données projet'!$A$87:$I$107,4,0))</f>
        <v>48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1.7037726106003068</v>
      </c>
      <c r="BR55" s="21">
        <f>EXP(-LN(2)/2)*BR54+(1-EXP(-LN(2)/2))/(LN(2)/2)*BL55*BO55*VLOOKUP('Données projet'!$B$11,Paramètres!$A$1:$I$89,3,0)*0.475*44/12</f>
        <v>1.5967321466467687E-3</v>
      </c>
      <c r="BS55" s="22">
        <f t="shared" si="9"/>
        <v>1.7053693427469536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12.8</v>
      </c>
      <c r="BY55" s="12">
        <f>IF('Données projet'!$A$114&gt;35,BY54+BX55-CG54,IF(A55&lt;'Données projet'!$A$114,$BV$205^A55,IF(A55='Données projet'!$A$114,'Données projet'!$B$114,BY54+BX55-CG54)))</f>
        <v>221.6</v>
      </c>
      <c r="BZ55" s="13">
        <f>BY55*VLOOKUP('Données projet'!$B$12,Paramètres!$A$1:$I$89,3,0)*VLOOKUP('Données projet'!$B$12,Paramètres!$A$1:$I$89,5,0)</f>
        <v>190.13280000000003</v>
      </c>
      <c r="CA55" s="13">
        <f t="shared" si="39"/>
        <v>47.569311851680148</v>
      </c>
      <c r="CB55" s="20">
        <f t="shared" si="10"/>
        <v>413.99784480834296</v>
      </c>
      <c r="CC55" s="59">
        <f t="shared" si="11"/>
        <v>707.33117814167622</v>
      </c>
      <c r="CD55" s="59">
        <f ca="1">AVERAGE(OFFSET($CC$3,0,0,'Données projet'!$E$12+1,1))-AVERAGE(OFFSET($H$3,0,0,'Données projet'!$E$12+1,1))</f>
        <v>237.27357081252273</v>
      </c>
      <c r="CE55" s="59">
        <f t="shared" si="40"/>
        <v>68.768479693848576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17.8</v>
      </c>
      <c r="CT55" s="12">
        <f>IF('Données projet'!$A$140&gt;35,CT54+CS55-DB54,IF(A55&lt;'Données projet'!$A$140,$CQ$205^A55,IF(A55='Données projet'!$A$140,'Données projet'!$B$140,CT54+CS55-DB54)))</f>
        <v>651.6</v>
      </c>
      <c r="CU55" s="17">
        <f>CT55*VLOOKUP('Données projet'!$B$13,Paramètres!$A$1:$I$89,3,0)*VLOOKUP('Données projet'!$B$13,Paramètres!$A$1:$I$89,5,0)</f>
        <v>364.24439999999998</v>
      </c>
      <c r="CV55" s="13">
        <f t="shared" si="41"/>
        <v>84.488736755792686</v>
      </c>
      <c r="CW55" s="20">
        <f t="shared" si="13"/>
        <v>781.54354651633878</v>
      </c>
      <c r="CX55" s="59">
        <f t="shared" si="14"/>
        <v>1074.8768798496722</v>
      </c>
      <c r="CY55" s="59">
        <f ca="1">AVERAGE(OFFSET($CX$3,0,0,'Données projet'!$E$13+1,1))-AVERAGE(OFFSET($H$3,0,0,'Données projet'!$E$13+1,1))</f>
        <v>474.03051418249999</v>
      </c>
      <c r="CZ55" s="59">
        <f t="shared" si="42"/>
        <v>649.52271992719091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3.5349949504418108</v>
      </c>
      <c r="DG55" s="21">
        <f>EXP(-LN(2)/25)*DG54+(1-EXP(-LN(2)/25))/(LN(2)/25)*Calculateur!DB55*Calculateur!DD55*VLOOKUP('Données projet'!$B$13,Paramètres!$A$1:$I$89,3,0)*0.475*44/12</f>
        <v>13.145726894367282</v>
      </c>
      <c r="DH55" s="21">
        <f>EXP(-LN(2)/2)*DH54+(1-EXP(-LN(2)/2))/(LN(2)/2)*DB55*DE55*VLOOKUP('Données projet'!$B$13,Paramètres!$A$1:$I$89,3,0)*0.475*44/12</f>
        <v>5.7127285408618686E-3</v>
      </c>
      <c r="DI55" s="22">
        <f t="shared" si="15"/>
        <v>16.686434573349953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-5.6843418860808015E-14</v>
      </c>
      <c r="DP55" s="17">
        <f>DO55*VLOOKUP('Données projet'!$B$14,Paramètres!$A$1:$I$89,3,0)*VLOOKUP('Données projet'!$B$14,Paramètres!$A$1:$I$89,5,0)</f>
        <v>-3.1036506698001178E-14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164.0740581424559</v>
      </c>
      <c r="DU55" s="59">
        <f t="shared" si="44"/>
        <v>280.99861170359793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4.2726467003793864</v>
      </c>
      <c r="EB55" s="21">
        <f>EXP(-LN(2)/25)*EB54+(1-EXP(-LN(2)/25))/(LN(2)/25)*Calculateur!DW55*Calculateur!DY55*VLOOKUP('Données projet'!$B$14,Paramètres!$A$1:$I$89,3,0)*0.475*44/12</f>
        <v>14.071407318679302</v>
      </c>
      <c r="EC55" s="21">
        <f>EXP(-LN(2)/2)*EC54+(1-EXP(-LN(2)/2))/(LN(2)/2)*DW55*DZ55*VLOOKUP('Données projet'!$B$14,Paramètres!$A$1:$I$89,3,0)*0.475*44/12</f>
        <v>7.411481082564301E-3</v>
      </c>
      <c r="ED55" s="22">
        <f t="shared" si="18"/>
        <v>18.351465500141252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25.4</v>
      </c>
      <c r="EJ55" s="12">
        <f>IF('Données projet'!$A$192&gt;35,EJ54+EI55-ER54,IF(A55&lt;'Données projet'!$A$192,$EG$205^A55,IF(A55='Données projet'!$A$192,'Données projet'!$B$192,EJ54+EI55-ER54)))</f>
        <v>617.80000000000041</v>
      </c>
      <c r="EK55" s="17">
        <f>EJ55*VLOOKUP('Données projet'!$B$15,Paramètres!$A$1:$I$89,3,0)*VLOOKUP('Données projet'!$B$15,Paramètres!$A$1:$I$89,5,0)</f>
        <v>297.1618000000002</v>
      </c>
      <c r="EL55" s="13">
        <f t="shared" si="45"/>
        <v>70.581138968940266</v>
      </c>
      <c r="EM55" s="20">
        <f t="shared" si="19"/>
        <v>640.48561870423794</v>
      </c>
      <c r="EN55" s="59">
        <f t="shared" si="20"/>
        <v>933.81895203757131</v>
      </c>
      <c r="EO55" s="59">
        <f ca="1">AVERAGE(OFFSET($EN$3,0,0,'Données projet'!$E$15+1,1))-AVERAGE(OFFSET($H$3,0,0,'Données projet'!$E$15+1,1))</f>
        <v>312.1172301514103</v>
      </c>
      <c r="EP55" s="59">
        <f t="shared" si="46"/>
        <v>369.85500533493212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1.7478654310671151</v>
      </c>
      <c r="EW55" s="21">
        <f>EXP(-LN(2)/25)*EW54+(1-EXP(-LN(2)/25))/(LN(2)/25)*Calculateur!ER55*Calculateur!ET55*VLOOKUP('Données projet'!$B$15,Paramètres!$A$1:$I$89,3,0)*0.475*44/12</f>
        <v>8.1719887033733265</v>
      </c>
      <c r="EX55" s="21">
        <f>EXP(-LN(2)/2)*EX54+(1-EXP(-LN(2)/2))/(LN(2)/2)*ER55*EU55*VLOOKUP('Données projet'!$B$15,Paramètres!$A$1:$I$89,3,0)*0.475*44/12</f>
        <v>1.5467076995770537E-2</v>
      </c>
      <c r="EY55" s="22">
        <f t="shared" si="21"/>
        <v>9.9353212114362126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-1.7053025658242404E-13</v>
      </c>
      <c r="FF55" s="17">
        <f>FE55*VLOOKUP('Données projet'!$B$16,Paramètres!$A$1:$I$89,3,0)*VLOOKUP('Données projet'!$B$16,Paramètres!$A$1:$I$89,5,0)</f>
        <v>-7.9808160080574461E-14</v>
      </c>
      <c r="FG55" s="13" t="e">
        <f t="shared" si="47"/>
        <v>#NUM!</v>
      </c>
      <c r="FH55" s="20" t="e">
        <f t="shared" si="22"/>
        <v>#NUM!</v>
      </c>
      <c r="FI55" s="59" t="e">
        <f t="shared" si="23"/>
        <v>#NUM!</v>
      </c>
      <c r="FJ55" s="59">
        <f ca="1">AVERAGE(OFFSET($FI$3,0,0,'Données projet'!$E$16+1,1))-AVERAGE(OFFSET($H$3,0,0,'Données projet'!$E$16+1,1))</f>
        <v>87.187251664304199</v>
      </c>
      <c r="FK55" s="59">
        <f t="shared" si="48"/>
        <v>148.84938257884147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4.3815321557461866</v>
      </c>
      <c r="FS55" s="21">
        <f>EXP(-LN(2)/2)*FS54+(1-EXP(-LN(2)/2))/(LN(2)/2)*FM55*FP55*VLOOKUP('Données projet'!$B$16,Paramètres!$A$1:$I$89,3,0)*0.475*44/12</f>
        <v>2.9706666292783198E-3</v>
      </c>
      <c r="FT55" s="22">
        <f t="shared" si="24"/>
        <v>4.384502822375465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19.2</v>
      </c>
      <c r="FZ55" s="12">
        <f>IF('Données projet'!$A$244&gt;35,FZ54+FY55-GH54,IF(A55&lt;'Données projet'!$A$244,$FW$205^A55,IF(A55='Données projet'!$A$244,'Données projet'!$B$244,FZ54+FY55-GH54)))</f>
        <v>405.40000000000003</v>
      </c>
      <c r="GA55" s="17">
        <f>FZ55*VLOOKUP('Données projet'!$B$17,Paramètres!$A$1:$I$89,3,0)*VLOOKUP('Données projet'!$B$17,Paramètres!$A$1:$I$89,5,0)</f>
        <v>242.42920000000007</v>
      </c>
      <c r="GB55" s="13">
        <f t="shared" si="49"/>
        <v>58.961877963646693</v>
      </c>
      <c r="GC55" s="20">
        <f t="shared" si="25"/>
        <v>524.92279412001812</v>
      </c>
      <c r="GD55" s="59">
        <f t="shared" si="26"/>
        <v>818.25612745335138</v>
      </c>
      <c r="GE55" s="59">
        <f ca="1">AVERAGE(OFFSET($GD$3,0,0,'Données projet'!$E$17+1,1))-AVERAGE(OFFSET($H$3,0,0,'Données projet'!$E$17+1,1))</f>
        <v>282.94722676586207</v>
      </c>
      <c r="GF55" s="59">
        <f t="shared" si="50"/>
        <v>310.63647941571298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5.8235488353110823</v>
      </c>
      <c r="GN55" s="21">
        <f>EXP(-LN(2)/2)*GN54+(1-EXP(-LN(2)/2))/(LN(2)/2)*GH55*GK55*VLOOKUP('Données projet'!$B$17,Paramètres!$A$1:$I$89,3,0)*0.475*44/12</f>
        <v>1.2518668455756372E-2</v>
      </c>
      <c r="GO55" s="21">
        <f t="shared" si="27"/>
        <v>5.8360675037668388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7.25</v>
      </c>
      <c r="GU55" s="12">
        <f>IF('Données projet'!$A$270&gt;35,GU54+GT55-HC54,IF(A55&lt;'Données projet'!$A$270,$GR$205^A55,IF(A55='Données projet'!$A$270,'Données projet'!$B$270,GU54+GT55-HC54)))</f>
        <v>387.49999999999989</v>
      </c>
      <c r="GV55" s="17">
        <f>GU55*VLOOKUP('Données projet'!$B$18,Paramètres!$A$1:$I$89,3,0)*VLOOKUP('Données projet'!$B$18,Paramètres!$A$1:$I$89,5,0)</f>
        <v>231.72499999999994</v>
      </c>
      <c r="GW55" s="13">
        <f t="shared" si="51"/>
        <v>56.655504506153761</v>
      </c>
      <c r="GX55" s="20">
        <f t="shared" si="28"/>
        <v>502.2627120148843</v>
      </c>
      <c r="GY55" s="59">
        <f t="shared" si="29"/>
        <v>795.59604534821756</v>
      </c>
      <c r="GZ55" s="59">
        <f ca="1">AVERAGE(OFFSET($GY$3,0,0,'Données projet'!$E$18+1,1))-AVERAGE(OFFSET($H$3,0,0,'Données projet'!$E$18+1,1))</f>
        <v>255.54398581450459</v>
      </c>
      <c r="HA55" s="59">
        <f t="shared" si="52"/>
        <v>276.52622328061204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2.9057681871265624</v>
      </c>
      <c r="HI55" s="21">
        <f>EXP(-LN(2)/2)*HI54+(1-EXP(-LN(2)/2))/(LN(2)/2)*HC55*HF55*VLOOKUP('Données projet'!$B$18,Paramètres!$A$1:$I$89,3,0)*0.475*44/12</f>
        <v>7.2593183634410072E-3</v>
      </c>
      <c r="HJ55" s="22">
        <f t="shared" si="30"/>
        <v>2.9130275054900032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8.6</v>
      </c>
      <c r="N56" s="13">
        <f>IF('Données projet'!$A$36&gt;35,N55+M56-V55,IF(A56&lt;'Données projet'!$A$36,$K$205^A56,IF(A56='Données projet'!$A$36,'Données projet'!$B$36,N55+M56-V55)))</f>
        <v>240.80000000000007</v>
      </c>
      <c r="O56" s="13">
        <f>N56*VLOOKUP('Données projet'!$B$9,Paramètres!$A$1:$I$89,3,0)*VLOOKUP('Données projet'!$B$9,Paramètres!$A$1:$I$89,5,0)</f>
        <v>210.36288000000008</v>
      </c>
      <c r="P56" s="13">
        <f t="shared" si="33"/>
        <v>52.014876138342963</v>
      </c>
      <c r="Q56" s="20">
        <f t="shared" si="53"/>
        <v>456.97459194094745</v>
      </c>
      <c r="R56" s="59">
        <f t="shared" si="0"/>
        <v>750.30792527428071</v>
      </c>
      <c r="S56" s="59">
        <f ca="1">AVERAGE(OFFSET($R$3,0,0,'Données projet'!$E$9+1,1))-AVERAGE(OFFSET($H$3,0,0,'Données projet'!$E$9+1,1))</f>
        <v>248.50221719467663</v>
      </c>
      <c r="T56" s="59">
        <f t="shared" si="34"/>
        <v>366.09064580347183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5.0063762941112326</v>
      </c>
      <c r="AA56" s="21">
        <f>EXP(-LN(2)/25)*AA55+(1-EXP(-LN(2)/25))/(LN(2)/25)*Calculateur!V56*Calculateur!X56*VLOOKUP('Données projet'!$B$9,Paramètres!$A$1:$I$89,3,0)*0.475*44/12</f>
        <v>12.721157872916736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17.727534167027969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211.36127999999999</v>
      </c>
      <c r="AK56" s="13">
        <f t="shared" si="35"/>
        <v>52.232947669705631</v>
      </c>
      <c r="AL56" s="20">
        <f t="shared" si="4"/>
        <v>459.09327985807062</v>
      </c>
      <c r="AM56" s="59">
        <f t="shared" si="5"/>
        <v>752.42661319140393</v>
      </c>
      <c r="AN56" s="59">
        <f ca="1">AVERAGE(OFFSET($AM$3,0,0,'Données projet'!$E$10+1,1))-AVERAGE(OFFSET($H$3,0,0,'Données projet'!$E$10+1,1))</f>
        <v>263.22346936777603</v>
      </c>
      <c r="AO56" s="59">
        <f t="shared" si="36"/>
        <v>217.14714468707939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3.8455663146827308</v>
      </c>
      <c r="AW56" s="21">
        <f>EXP(-LN(2)/2)*AW55+(1-EXP(-LN(2)/2))/(LN(2)/2)*AQ56*AT56*VLOOKUP('Données projet'!$B$10,Paramètres!$A$1:$I$89,3,0)*0.475*44/12</f>
        <v>6.1632782033444822E-3</v>
      </c>
      <c r="AX56" s="21">
        <f t="shared" si="6"/>
        <v>3.8517295928860751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9.375</v>
      </c>
      <c r="BD56" s="12">
        <f>IF('Données projet'!$A$88&gt;35,BD55+BC56-BL55,IF(A56&lt;'Données projet'!$A$88,$BA$205^A56,IF(A56='Données projet'!$A$88,'Données projet'!$B$88,BD55+BC56-BL55)))</f>
        <v>231.37499999999989</v>
      </c>
      <c r="BE56" s="13">
        <f>BD56*VLOOKUP('Données projet'!$B$11,Paramètres!$A$1:$I$89,3,0)*VLOOKUP('Données projet'!$B$11,Paramètres!$A$1:$I$89,5,0)</f>
        <v>180.47249999999991</v>
      </c>
      <c r="BF56" s="13">
        <f t="shared" si="37"/>
        <v>45.427292666837829</v>
      </c>
      <c r="BG56" s="20">
        <f t="shared" si="7"/>
        <v>393.44213889474241</v>
      </c>
      <c r="BH56" s="59">
        <f t="shared" si="8"/>
        <v>686.77547222807573</v>
      </c>
      <c r="BI56" s="59">
        <f ca="1">AVERAGE(OFFSET($BH$3,0,0,'Données projet'!$E$11+1,1))-AVERAGE(OFFSET($H$3,0,0,'Données projet'!$E$11+1,1))</f>
        <v>219.22204054948094</v>
      </c>
      <c r="BJ56" s="59">
        <f t="shared" si="38"/>
        <v>222.41711966122034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1.6571828589659339</v>
      </c>
      <c r="BR56" s="21">
        <f>EXP(-LN(2)/2)*BR55+(1-EXP(-LN(2)/2))/(LN(2)/2)*BL56*BO56*VLOOKUP('Données projet'!$B$11,Paramètres!$A$1:$I$89,3,0)*0.475*44/12</f>
        <v>1.129060128632483E-3</v>
      </c>
      <c r="BS56" s="22">
        <f t="shared" si="9"/>
        <v>1.6583119190945663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12.8</v>
      </c>
      <c r="BY56" s="12">
        <f>IF('Données projet'!$A$114&gt;35,BY55+BX56-CG55,IF(A56&lt;'Données projet'!$A$114,$BV$205^A56,IF(A56='Données projet'!$A$114,'Données projet'!$B$114,BY55+BX56-CG55)))</f>
        <v>234.4</v>
      </c>
      <c r="BZ56" s="13">
        <f>BY56*VLOOKUP('Données projet'!$B$12,Paramètres!$A$1:$I$89,3,0)*VLOOKUP('Données projet'!$B$12,Paramètres!$A$1:$I$89,5,0)</f>
        <v>201.11520000000004</v>
      </c>
      <c r="CA56" s="13">
        <f t="shared" si="39"/>
        <v>49.989175559706489</v>
      </c>
      <c r="CB56" s="20">
        <f t="shared" si="10"/>
        <v>437.34012076648884</v>
      </c>
      <c r="CC56" s="59">
        <f t="shared" si="11"/>
        <v>730.67345409982215</v>
      </c>
      <c r="CD56" s="59">
        <f ca="1">AVERAGE(OFFSET($CC$3,0,0,'Données projet'!$E$12+1,1))-AVERAGE(OFFSET($H$3,0,0,'Données projet'!$E$12+1,1))</f>
        <v>237.27357081252273</v>
      </c>
      <c r="CE56" s="59">
        <f t="shared" si="40"/>
        <v>68.768479693848576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17.8</v>
      </c>
      <c r="CT56" s="12">
        <f>IF('Données projet'!$A$140&gt;35,CT55+CS56-DB55,IF(A56&lt;'Données projet'!$A$140,$CQ$205^A56,IF(A56='Données projet'!$A$140,'Données projet'!$B$140,CT55+CS56-DB55)))</f>
        <v>669.4</v>
      </c>
      <c r="CU56" s="17">
        <f>CT56*VLOOKUP('Données projet'!$B$13,Paramètres!$A$1:$I$89,3,0)*VLOOKUP('Données projet'!$B$13,Paramètres!$A$1:$I$89,5,0)</f>
        <v>374.19459999999998</v>
      </c>
      <c r="CV56" s="13">
        <f t="shared" si="41"/>
        <v>86.524884836459236</v>
      </c>
      <c r="CW56" s="20">
        <f t="shared" si="13"/>
        <v>802.41976942349982</v>
      </c>
      <c r="CX56" s="59">
        <f t="shared" si="14"/>
        <v>1095.7531027568332</v>
      </c>
      <c r="CY56" s="59">
        <f ca="1">AVERAGE(OFFSET($CX$3,0,0,'Données projet'!$E$13+1,1))-AVERAGE(OFFSET($H$3,0,0,'Données projet'!$E$13+1,1))</f>
        <v>474.03051418249999</v>
      </c>
      <c r="CZ56" s="59">
        <f t="shared" si="42"/>
        <v>649.52271992719091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3.4656758555976661</v>
      </c>
      <c r="DG56" s="21">
        <f>EXP(-LN(2)/25)*DG55+(1-EXP(-LN(2)/25))/(LN(2)/25)*Calculateur!DB56*Calculateur!DD56*VLOOKUP('Données projet'!$B$13,Paramètres!$A$1:$I$89,3,0)*0.475*44/12</f>
        <v>12.786256301137076</v>
      </c>
      <c r="DH56" s="21">
        <f>EXP(-LN(2)/2)*DH55+(1-EXP(-LN(2)/2))/(LN(2)/2)*DB56*DE56*VLOOKUP('Données projet'!$B$13,Paramètres!$A$1:$I$89,3,0)*0.475*44/12</f>
        <v>4.0395090903213582E-3</v>
      </c>
      <c r="DI56" s="22">
        <f t="shared" si="15"/>
        <v>16.255971665825065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-5.6843418860808015E-14</v>
      </c>
      <c r="DP56" s="17">
        <f>DO56*VLOOKUP('Données projet'!$B$14,Paramètres!$A$1:$I$89,3,0)*VLOOKUP('Données projet'!$B$14,Paramètres!$A$1:$I$89,5,0)</f>
        <v>-3.1036506698001178E-14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164.0740581424559</v>
      </c>
      <c r="DU56" s="59">
        <f t="shared" si="44"/>
        <v>280.99861170359793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4.1888627046421067</v>
      </c>
      <c r="EB56" s="21">
        <f>EXP(-LN(2)/25)*EB55+(1-EXP(-LN(2)/25))/(LN(2)/25)*Calculateur!DW56*Calculateur!DY56*VLOOKUP('Données projet'!$B$14,Paramètres!$A$1:$I$89,3,0)*0.475*44/12</f>
        <v>13.686623945566867</v>
      </c>
      <c r="EC56" s="21">
        <f>EXP(-LN(2)/2)*EC55+(1-EXP(-LN(2)/2))/(LN(2)/2)*DW56*DZ56*VLOOKUP('Données projet'!$B$14,Paramètres!$A$1:$I$89,3,0)*0.475*44/12</f>
        <v>5.240708532117032E-3</v>
      </c>
      <c r="ED56" s="22">
        <f t="shared" si="18"/>
        <v>17.88072735874109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25.4</v>
      </c>
      <c r="EJ56" s="12">
        <f>IF('Données projet'!$A$192&gt;35,EJ55+EI56-ER55,IF(A56&lt;'Données projet'!$A$192,$EG$205^A56,IF(A56='Données projet'!$A$192,'Données projet'!$B$192,EJ55+EI56-ER55)))</f>
        <v>643.20000000000039</v>
      </c>
      <c r="EK56" s="17">
        <f>EJ56*VLOOKUP('Données projet'!$B$15,Paramètres!$A$1:$I$89,3,0)*VLOOKUP('Données projet'!$B$15,Paramètres!$A$1:$I$89,5,0)</f>
        <v>309.3792000000002</v>
      </c>
      <c r="EL56" s="13">
        <f t="shared" si="45"/>
        <v>73.139167301517503</v>
      </c>
      <c r="EM56" s="20">
        <f t="shared" si="19"/>
        <v>666.2194897168099</v>
      </c>
      <c r="EN56" s="59">
        <f t="shared" si="20"/>
        <v>959.55282305014316</v>
      </c>
      <c r="EO56" s="59">
        <f ca="1">AVERAGE(OFFSET($EN$3,0,0,'Données projet'!$E$15+1,1))-AVERAGE(OFFSET($H$3,0,0,'Données projet'!$E$15+1,1))</f>
        <v>312.1172301514103</v>
      </c>
      <c r="EP56" s="59">
        <f t="shared" si="46"/>
        <v>369.85500533493212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1.7135908560565341</v>
      </c>
      <c r="EW56" s="21">
        <f>EXP(-LN(2)/25)*EW55+(1-EXP(-LN(2)/25))/(LN(2)/25)*Calculateur!ER56*Calculateur!ET56*VLOOKUP('Données projet'!$B$15,Paramètres!$A$1:$I$89,3,0)*0.475*44/12</f>
        <v>7.9485252425333739</v>
      </c>
      <c r="EX56" s="21">
        <f>EXP(-LN(2)/2)*EX55+(1-EXP(-LN(2)/2))/(LN(2)/2)*ER56*EU56*VLOOKUP('Données projet'!$B$15,Paramètres!$A$1:$I$89,3,0)*0.475*44/12</f>
        <v>1.0936875028843801E-2</v>
      </c>
      <c r="EY56" s="22">
        <f t="shared" si="21"/>
        <v>9.673052973618752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-1.7053025658242404E-13</v>
      </c>
      <c r="FF56" s="17">
        <f>FE56*VLOOKUP('Données projet'!$B$16,Paramètres!$A$1:$I$89,3,0)*VLOOKUP('Données projet'!$B$16,Paramètres!$A$1:$I$89,5,0)</f>
        <v>-7.9808160080574461E-14</v>
      </c>
      <c r="FG56" s="13" t="e">
        <f t="shared" si="47"/>
        <v>#NUM!</v>
      </c>
      <c r="FH56" s="20" t="e">
        <f t="shared" si="22"/>
        <v>#NUM!</v>
      </c>
      <c r="FI56" s="59" t="e">
        <f t="shared" si="23"/>
        <v>#NUM!</v>
      </c>
      <c r="FJ56" s="59">
        <f ca="1">AVERAGE(OFFSET($FI$3,0,0,'Données projet'!$E$16+1,1))-AVERAGE(OFFSET($H$3,0,0,'Données projet'!$E$16+1,1))</f>
        <v>87.187251664304199</v>
      </c>
      <c r="FK56" s="59">
        <f t="shared" si="48"/>
        <v>148.84938257884147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4.2617189285325452</v>
      </c>
      <c r="FS56" s="21">
        <f>EXP(-LN(2)/2)*FS55+(1-EXP(-LN(2)/2))/(LN(2)/2)*FM56*FP56*VLOOKUP('Données projet'!$B$16,Paramètres!$A$1:$I$89,3,0)*0.475*44/12</f>
        <v>2.1005785182072836E-3</v>
      </c>
      <c r="FT56" s="22">
        <f t="shared" si="24"/>
        <v>4.2638195070507523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19.2</v>
      </c>
      <c r="FZ56" s="12">
        <f>IF('Données projet'!$A$244&gt;35,FZ55+FY56-GH55,IF(A56&lt;'Données projet'!$A$244,$FW$205^A56,IF(A56='Données projet'!$A$244,'Données projet'!$B$244,FZ55+FY56-GH55)))</f>
        <v>424.6</v>
      </c>
      <c r="GA56" s="17">
        <f>FZ56*VLOOKUP('Données projet'!$B$17,Paramètres!$A$1:$I$89,3,0)*VLOOKUP('Données projet'!$B$17,Paramètres!$A$1:$I$89,5,0)</f>
        <v>253.91080000000005</v>
      </c>
      <c r="GB56" s="13">
        <f t="shared" si="49"/>
        <v>61.422621781167194</v>
      </c>
      <c r="GC56" s="20">
        <f t="shared" si="25"/>
        <v>549.20570960219959</v>
      </c>
      <c r="GD56" s="59">
        <f t="shared" si="26"/>
        <v>842.53904293553296</v>
      </c>
      <c r="GE56" s="59">
        <f ca="1">AVERAGE(OFFSET($GD$3,0,0,'Données projet'!$E$17+1,1))-AVERAGE(OFFSET($H$3,0,0,'Données projet'!$E$17+1,1))</f>
        <v>282.94722676586207</v>
      </c>
      <c r="GF56" s="59">
        <f t="shared" si="50"/>
        <v>310.63647941571298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5.6643035861623776</v>
      </c>
      <c r="GN56" s="21">
        <f>EXP(-LN(2)/2)*GN55+(1-EXP(-LN(2)/2))/(LN(2)/2)*GH56*GK56*VLOOKUP('Données projet'!$B$17,Paramètres!$A$1:$I$89,3,0)*0.475*44/12</f>
        <v>8.8520353564914556E-3</v>
      </c>
      <c r="GO56" s="21">
        <f t="shared" si="27"/>
        <v>5.6731556215188688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7.25</v>
      </c>
      <c r="GU56" s="12">
        <f>IF('Données projet'!$A$270&gt;35,GU55+GT56-HC55,IF(A56&lt;'Données projet'!$A$270,$GR$205^A56,IF(A56='Données projet'!$A$270,'Données projet'!$B$270,GU55+GT56-HC55)))</f>
        <v>394.74999999999989</v>
      </c>
      <c r="GV56" s="17">
        <f>GU56*VLOOKUP('Données projet'!$B$18,Paramètres!$A$1:$I$89,3,0)*VLOOKUP('Données projet'!$B$18,Paramètres!$A$1:$I$89,5,0)</f>
        <v>236.06049999999993</v>
      </c>
      <c r="GW56" s="13">
        <f t="shared" si="51"/>
        <v>57.591113137594284</v>
      </c>
      <c r="GX56" s="20">
        <f t="shared" si="28"/>
        <v>511.44322621464318</v>
      </c>
      <c r="GY56" s="59">
        <f t="shared" si="29"/>
        <v>804.77655954797649</v>
      </c>
      <c r="GZ56" s="59">
        <f ca="1">AVERAGE(OFFSET($GY$3,0,0,'Données projet'!$E$18+1,1))-AVERAGE(OFFSET($H$3,0,0,'Données projet'!$E$18+1,1))</f>
        <v>255.54398581450459</v>
      </c>
      <c r="HA56" s="59">
        <f t="shared" si="52"/>
        <v>276.52622328061204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2.826309803241879</v>
      </c>
      <c r="HI56" s="21">
        <f>EXP(-LN(2)/2)*HI55+(1-EXP(-LN(2)/2))/(LN(2)/2)*HC56*HF56*VLOOKUP('Données projet'!$B$18,Paramètres!$A$1:$I$89,3,0)*0.475*44/12</f>
        <v>5.1331132415811673E-3</v>
      </c>
      <c r="HJ56" s="22">
        <f t="shared" si="30"/>
        <v>2.8314429164834602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8.6</v>
      </c>
      <c r="N57" s="13">
        <f>IF('Données projet'!$A$36&gt;35,N56+M57-V56,IF(A57&lt;'Données projet'!$A$36,$K$205^A57,IF(A57='Données projet'!$A$36,'Données projet'!$B$36,N56+M57-V56)))</f>
        <v>249.40000000000006</v>
      </c>
      <c r="O57" s="13">
        <f>N57*VLOOKUP('Données projet'!$B$9,Paramètres!$A$1:$I$89,3,0)*VLOOKUP('Données projet'!$B$9,Paramètres!$A$1:$I$89,5,0)</f>
        <v>217.87584000000007</v>
      </c>
      <c r="P57" s="13">
        <f t="shared" si="33"/>
        <v>53.652949670124926</v>
      </c>
      <c r="Q57" s="20">
        <f t="shared" si="53"/>
        <v>472.91264200880101</v>
      </c>
      <c r="R57" s="59">
        <f t="shared" si="0"/>
        <v>766.24597534213433</v>
      </c>
      <c r="S57" s="59">
        <f ca="1">AVERAGE(OFFSET($R$3,0,0,'Données projet'!$E$9+1,1))-AVERAGE(OFFSET($H$3,0,0,'Données projet'!$E$9+1,1))</f>
        <v>248.50221719467663</v>
      </c>
      <c r="T57" s="59">
        <f t="shared" si="34"/>
        <v>366.09064580347183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4.908204308571734</v>
      </c>
      <c r="AA57" s="21">
        <f>EXP(-LN(2)/25)*AA56+(1-EXP(-LN(2)/25))/(LN(2)/25)*Calculateur!V57*Calculateur!X57*VLOOKUP('Données projet'!$B$9,Paramètres!$A$1:$I$89,3,0)*0.475*44/12</f>
        <v>12.37329714190521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17.281501450476945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220.59023999999997</v>
      </c>
      <c r="AK57" s="13">
        <f t="shared" si="35"/>
        <v>54.24315145708789</v>
      </c>
      <c r="AL57" s="20">
        <f t="shared" si="4"/>
        <v>478.66815678776129</v>
      </c>
      <c r="AM57" s="59">
        <f t="shared" si="5"/>
        <v>772.00149012109455</v>
      </c>
      <c r="AN57" s="59">
        <f ca="1">AVERAGE(OFFSET($AM$3,0,0,'Données projet'!$E$10+1,1))-AVERAGE(OFFSET($H$3,0,0,'Données projet'!$E$10+1,1))</f>
        <v>263.22346936777603</v>
      </c>
      <c r="AO57" s="59">
        <f t="shared" si="36"/>
        <v>217.14714468707939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3.7404091015781882</v>
      </c>
      <c r="AW57" s="21">
        <f>EXP(-LN(2)/2)*AW56+(1-EXP(-LN(2)/2))/(LN(2)/2)*AQ57*AT57*VLOOKUP('Données projet'!$B$10,Paramètres!$A$1:$I$89,3,0)*0.475*44/12</f>
        <v>4.3580958119241245E-3</v>
      </c>
      <c r="AX57" s="21">
        <f t="shared" si="6"/>
        <v>3.7447671973901122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9.375</v>
      </c>
      <c r="BD57" s="12">
        <f>IF('Données projet'!$A$88&gt;35,BD56+BC57-BL56,IF(A57&lt;'Données projet'!$A$88,$BA$205^A57,IF(A57='Données projet'!$A$88,'Données projet'!$B$88,BD56+BC57-BL56)))</f>
        <v>240.74999999999989</v>
      </c>
      <c r="BE57" s="13">
        <f>BD57*VLOOKUP('Données projet'!$B$11,Paramètres!$A$1:$I$89,3,0)*VLOOKUP('Données projet'!$B$11,Paramètres!$A$1:$I$89,5,0)</f>
        <v>187.78499999999991</v>
      </c>
      <c r="BF57" s="13">
        <f t="shared" si="37"/>
        <v>47.049914090154054</v>
      </c>
      <c r="BG57" s="20">
        <f t="shared" si="7"/>
        <v>409.0041420403515</v>
      </c>
      <c r="BH57" s="59">
        <f t="shared" si="8"/>
        <v>702.33747537368481</v>
      </c>
      <c r="BI57" s="59">
        <f ca="1">AVERAGE(OFFSET($BH$3,0,0,'Données projet'!$E$11+1,1))-AVERAGE(OFFSET($H$3,0,0,'Données projet'!$E$11+1,1))</f>
        <v>219.22204054948094</v>
      </c>
      <c r="BJ57" s="59">
        <f t="shared" si="38"/>
        <v>222.41711966122034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1.6118671065400514</v>
      </c>
      <c r="BR57" s="21">
        <f>EXP(-LN(2)/2)*BR56+(1-EXP(-LN(2)/2))/(LN(2)/2)*BL57*BO57*VLOOKUP('Données projet'!$B$11,Paramètres!$A$1:$I$89,3,0)*0.475*44/12</f>
        <v>7.9836607332338437E-4</v>
      </c>
      <c r="BS57" s="22">
        <f t="shared" si="9"/>
        <v>1.6126654726133747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12.8</v>
      </c>
      <c r="BY57" s="12">
        <f>IF('Données projet'!$A$114&gt;35,BY56+BX57-CG56,IF(A57&lt;'Données projet'!$A$114,$BV$205^A57,IF(A57='Données projet'!$A$114,'Données projet'!$B$114,BY56+BX57-CG56)))</f>
        <v>247.20000000000002</v>
      </c>
      <c r="BZ57" s="13">
        <f>BY57*VLOOKUP('Données projet'!$B$12,Paramètres!$A$1:$I$89,3,0)*VLOOKUP('Données projet'!$B$12,Paramètres!$A$1:$I$89,5,0)</f>
        <v>212.09760000000003</v>
      </c>
      <c r="CA57" s="13">
        <f t="shared" si="39"/>
        <v>52.393698587113938</v>
      </c>
      <c r="CB57" s="20">
        <f t="shared" si="10"/>
        <v>460.65567837255685</v>
      </c>
      <c r="CC57" s="59">
        <f t="shared" si="11"/>
        <v>753.98901170589011</v>
      </c>
      <c r="CD57" s="59">
        <f ca="1">AVERAGE(OFFSET($CC$3,0,0,'Données projet'!$E$12+1,1))-AVERAGE(OFFSET($H$3,0,0,'Données projet'!$E$12+1,1))</f>
        <v>237.27357081252273</v>
      </c>
      <c r="CE57" s="59">
        <f t="shared" si="40"/>
        <v>68.768479693848576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17.8</v>
      </c>
      <c r="CT57" s="12">
        <f>IF('Données projet'!$A$140&gt;35,CT56+CS57-DB56,IF(A57&lt;'Données projet'!$A$140,$CQ$205^A57,IF(A57='Données projet'!$A$140,'Données projet'!$B$140,CT56+CS57-DB56)))</f>
        <v>687.19999999999993</v>
      </c>
      <c r="CU57" s="17">
        <f>CT57*VLOOKUP('Données projet'!$B$13,Paramètres!$A$1:$I$89,3,0)*VLOOKUP('Données projet'!$B$13,Paramètres!$A$1:$I$89,5,0)</f>
        <v>384.14479999999998</v>
      </c>
      <c r="CV57" s="13">
        <f t="shared" si="41"/>
        <v>88.554739612081832</v>
      </c>
      <c r="CW57" s="20">
        <f t="shared" si="13"/>
        <v>823.28503149104245</v>
      </c>
      <c r="CX57" s="59">
        <f t="shared" si="14"/>
        <v>1116.6183648243757</v>
      </c>
      <c r="CY57" s="59">
        <f ca="1">AVERAGE(OFFSET($CX$3,0,0,'Données projet'!$E$13+1,1))-AVERAGE(OFFSET($H$3,0,0,'Données projet'!$E$13+1,1))</f>
        <v>474.03051418249999</v>
      </c>
      <c r="CZ57" s="59">
        <f t="shared" si="42"/>
        <v>649.52271992719091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3.3977160659229422</v>
      </c>
      <c r="DG57" s="21">
        <f>EXP(-LN(2)/25)*DG56+(1-EXP(-LN(2)/25))/(LN(2)/25)*Calculateur!DB57*Calculateur!DD57*VLOOKUP('Données projet'!$B$13,Paramètres!$A$1:$I$89,3,0)*0.475*44/12</f>
        <v>12.436615450182487</v>
      </c>
      <c r="DH57" s="21">
        <f>EXP(-LN(2)/2)*DH56+(1-EXP(-LN(2)/2))/(LN(2)/2)*DB57*DE57*VLOOKUP('Données projet'!$B$13,Paramètres!$A$1:$I$89,3,0)*0.475*44/12</f>
        <v>2.8563642704309343E-3</v>
      </c>
      <c r="DI57" s="22">
        <f t="shared" si="15"/>
        <v>15.837187880375859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-5.6843418860808015E-14</v>
      </c>
      <c r="DP57" s="17">
        <f>DO57*VLOOKUP('Données projet'!$B$14,Paramètres!$A$1:$I$89,3,0)*VLOOKUP('Données projet'!$B$14,Paramètres!$A$1:$I$89,5,0)</f>
        <v>-3.1036506698001178E-14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164.0740581424559</v>
      </c>
      <c r="DU57" s="59">
        <f t="shared" si="44"/>
        <v>280.99861170359793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4.1067216619580442</v>
      </c>
      <c r="EB57" s="21">
        <f>EXP(-LN(2)/25)*EB56+(1-EXP(-LN(2)/25))/(LN(2)/25)*Calculateur!DW57*Calculateur!DY57*VLOOKUP('Données projet'!$B$14,Paramètres!$A$1:$I$89,3,0)*0.475*44/12</f>
        <v>13.312362494027068</v>
      </c>
      <c r="EC57" s="21">
        <f>EXP(-LN(2)/2)*EC56+(1-EXP(-LN(2)/2))/(LN(2)/2)*DW57*DZ57*VLOOKUP('Données projet'!$B$14,Paramètres!$A$1:$I$89,3,0)*0.475*44/12</f>
        <v>3.7057405412821509E-3</v>
      </c>
      <c r="ED57" s="22">
        <f t="shared" si="18"/>
        <v>17.422789896526393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25.4</v>
      </c>
      <c r="EJ57" s="12">
        <f>IF('Données projet'!$A$192&gt;35,EJ56+EI57-ER56,IF(A57&lt;'Données projet'!$A$192,$EG$205^A57,IF(A57='Données projet'!$A$192,'Données projet'!$B$192,EJ56+EI57-ER56)))</f>
        <v>668.60000000000036</v>
      </c>
      <c r="EK57" s="17">
        <f>EJ57*VLOOKUP('Données projet'!$B$15,Paramètres!$A$1:$I$89,3,0)*VLOOKUP('Données projet'!$B$15,Paramètres!$A$1:$I$89,5,0)</f>
        <v>321.59660000000014</v>
      </c>
      <c r="EL57" s="13">
        <f t="shared" si="45"/>
        <v>75.685461055982486</v>
      </c>
      <c r="EM57" s="20">
        <f t="shared" si="19"/>
        <v>691.93292300583641</v>
      </c>
      <c r="EN57" s="59">
        <f t="shared" si="20"/>
        <v>985.26625633916979</v>
      </c>
      <c r="EO57" s="59">
        <f ca="1">AVERAGE(OFFSET($EN$3,0,0,'Données projet'!$E$15+1,1))-AVERAGE(OFFSET($H$3,0,0,'Données projet'!$E$15+1,1))</f>
        <v>312.1172301514103</v>
      </c>
      <c r="EP57" s="59">
        <f t="shared" si="46"/>
        <v>369.85500533493212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1.679988384556484</v>
      </c>
      <c r="EW57" s="21">
        <f>EXP(-LN(2)/25)*EW56+(1-EXP(-LN(2)/25))/(LN(2)/25)*Calculateur!ER57*Calculateur!ET57*VLOOKUP('Données projet'!$B$15,Paramètres!$A$1:$I$89,3,0)*0.475*44/12</f>
        <v>7.7311724017815227</v>
      </c>
      <c r="EX57" s="21">
        <f>EXP(-LN(2)/2)*EX56+(1-EXP(-LN(2)/2))/(LN(2)/2)*ER57*EU57*VLOOKUP('Données projet'!$B$15,Paramètres!$A$1:$I$89,3,0)*0.475*44/12</f>
        <v>7.7335384978852702E-3</v>
      </c>
      <c r="EY57" s="22">
        <f t="shared" si="21"/>
        <v>9.4188943248358914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-1.7053025658242404E-13</v>
      </c>
      <c r="FF57" s="17">
        <f>FE57*VLOOKUP('Données projet'!$B$16,Paramètres!$A$1:$I$89,3,0)*VLOOKUP('Données projet'!$B$16,Paramètres!$A$1:$I$89,5,0)</f>
        <v>-7.9808160080574461E-14</v>
      </c>
      <c r="FG57" s="13" t="e">
        <f t="shared" si="47"/>
        <v>#NUM!</v>
      </c>
      <c r="FH57" s="20" t="e">
        <f t="shared" si="22"/>
        <v>#NUM!</v>
      </c>
      <c r="FI57" s="59" t="e">
        <f t="shared" si="23"/>
        <v>#NUM!</v>
      </c>
      <c r="FJ57" s="59">
        <f ca="1">AVERAGE(OFFSET($FI$3,0,0,'Données projet'!$E$16+1,1))-AVERAGE(OFFSET($H$3,0,0,'Données projet'!$E$16+1,1))</f>
        <v>87.187251664304199</v>
      </c>
      <c r="FK57" s="59">
        <f t="shared" si="48"/>
        <v>148.84938257884147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4.1451820003177646</v>
      </c>
      <c r="FS57" s="21">
        <f>EXP(-LN(2)/2)*FS56+(1-EXP(-LN(2)/2))/(LN(2)/2)*FM57*FP57*VLOOKUP('Données projet'!$B$16,Paramètres!$A$1:$I$89,3,0)*0.475*44/12</f>
        <v>1.4853333146391599E-3</v>
      </c>
      <c r="FT57" s="22">
        <f t="shared" si="24"/>
        <v>4.1466673336324034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19.2</v>
      </c>
      <c r="FZ57" s="12">
        <f>IF('Données projet'!$A$244&gt;35,FZ56+FY57-GH56,IF(A57&lt;'Données projet'!$A$244,$FW$205^A57,IF(A57='Données projet'!$A$244,'Données projet'!$B$244,FZ56+FY57-GH56)))</f>
        <v>443.8</v>
      </c>
      <c r="GA57" s="17">
        <f>FZ57*VLOOKUP('Données projet'!$B$17,Paramètres!$A$1:$I$89,3,0)*VLOOKUP('Données projet'!$B$17,Paramètres!$A$1:$I$89,5,0)</f>
        <v>265.39240000000007</v>
      </c>
      <c r="GB57" s="13">
        <f t="shared" si="49"/>
        <v>63.870442862391819</v>
      </c>
      <c r="GC57" s="20">
        <f t="shared" si="25"/>
        <v>573.46611798533252</v>
      </c>
      <c r="GD57" s="59">
        <f t="shared" si="26"/>
        <v>866.79945131866589</v>
      </c>
      <c r="GE57" s="59">
        <f ca="1">AVERAGE(OFFSET($GD$3,0,0,'Données projet'!$E$17+1,1))-AVERAGE(OFFSET($H$3,0,0,'Données projet'!$E$17+1,1))</f>
        <v>282.94722676586207</v>
      </c>
      <c r="GF57" s="59">
        <f t="shared" si="50"/>
        <v>310.63647941571298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5.5094129067259878</v>
      </c>
      <c r="GN57" s="21">
        <f>EXP(-LN(2)/2)*GN56+(1-EXP(-LN(2)/2))/(LN(2)/2)*GH57*GK57*VLOOKUP('Données projet'!$B$17,Paramètres!$A$1:$I$89,3,0)*0.475*44/12</f>
        <v>6.259334227878186E-3</v>
      </c>
      <c r="GO57" s="21">
        <f t="shared" si="27"/>
        <v>5.5156722409538661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>
        <f>VLOOKUP(A57,'Données projet'!$A$269:$I$289,2,0)</f>
        <v>402</v>
      </c>
      <c r="GS57" s="12">
        <f>VLOOKUP(A57,'Données projet'!$A$269:$I$289,9,0)</f>
        <v>7.25</v>
      </c>
      <c r="GT57" s="12">
        <f t="array" ref="GT57">INDEX(GS:GS,MIN(IF(ISNUMBER(GS57:GS253),ROW(GS57:GS253),"")))</f>
        <v>7.25</v>
      </c>
      <c r="GU57" s="12">
        <f>IF('Données projet'!$A$270&gt;35,GU56+GT57-HC56,IF(A57&lt;'Données projet'!$A$270,$GR$205^A57,IF(A57='Données projet'!$A$270,'Données projet'!$B$270,GU56+GT57-HC56)))</f>
        <v>401.99999999999989</v>
      </c>
      <c r="GV57" s="17">
        <f>GU57*VLOOKUP('Données projet'!$B$18,Paramètres!$A$1:$I$89,3,0)*VLOOKUP('Données projet'!$B$18,Paramètres!$A$1:$I$89,5,0)</f>
        <v>240.39599999999996</v>
      </c>
      <c r="GW57" s="13">
        <f t="shared" si="51"/>
        <v>58.524723634421605</v>
      </c>
      <c r="GX57" s="20">
        <f t="shared" si="28"/>
        <v>520.62026032995084</v>
      </c>
      <c r="GY57" s="59">
        <f t="shared" si="29"/>
        <v>813.95359366328421</v>
      </c>
      <c r="GZ57" s="59">
        <f ca="1">AVERAGE(OFFSET($GY$3,0,0,'Données projet'!$E$18+1,1))-AVERAGE(OFFSET($H$3,0,0,'Données projet'!$E$18+1,1))</f>
        <v>255.54398581450459</v>
      </c>
      <c r="HA57" s="59">
        <f t="shared" si="52"/>
        <v>276.52622328061204</v>
      </c>
      <c r="HB57" s="15">
        <f>IF(ISNA(VLOOKUP(A57,'Données projet'!$A$269:$I$289,3,0)),0,VLOOKUP(A57,'Données projet'!$A$269:$I$289,3,0))</f>
        <v>9</v>
      </c>
      <c r="HC57" s="15">
        <f>IF(ISNA(VLOOKUP(A57,'Données projet'!$A$269:$I$289,4,0)),0,VLOOKUP(A57,'Données projet'!$A$269:$I$289,4,0))</f>
        <v>17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2.7490242130430569</v>
      </c>
      <c r="HI57" s="21">
        <f>EXP(-LN(2)/2)*HI56+(1-EXP(-LN(2)/2))/(LN(2)/2)*HC57*HF57*VLOOKUP('Données projet'!$B$18,Paramètres!$A$1:$I$89,3,0)*0.475*44/12</f>
        <v>3.6296591817205045E-3</v>
      </c>
      <c r="HJ57" s="22">
        <f t="shared" si="30"/>
        <v>2.7526538722247773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258</v>
      </c>
      <c r="L58" s="12">
        <f>VLOOKUP(A58,'Données projet'!$A$35:$I$55,9,0)</f>
        <v>8.6</v>
      </c>
      <c r="M58" s="12">
        <f t="array" ref="M58">INDEX(L:L,MIN(IF(ISNUMBER(L58:L254),ROW(L58:L254),"")))</f>
        <v>8.6</v>
      </c>
      <c r="N58" s="13">
        <f>IF('Données projet'!$A$36&gt;35,N57+M58-V57,IF(A58&lt;'Données projet'!$A$36,$K$205^A58,IF(A58='Données projet'!$A$36,'Données projet'!$B$36,N57+M58-V57)))</f>
        <v>258.00000000000006</v>
      </c>
      <c r="O58" s="13">
        <f>N58*VLOOKUP('Données projet'!$B$9,Paramètres!$A$1:$I$89,3,0)*VLOOKUP('Données projet'!$B$9,Paramètres!$A$1:$I$89,5,0)</f>
        <v>225.38880000000009</v>
      </c>
      <c r="P58" s="13">
        <f t="shared" si="33"/>
        <v>55.284460117161593</v>
      </c>
      <c r="Q58" s="20">
        <f t="shared" si="53"/>
        <v>488.83926137072331</v>
      </c>
      <c r="R58" s="59">
        <f t="shared" si="0"/>
        <v>782.17259470405656</v>
      </c>
      <c r="S58" s="59">
        <f ca="1">AVERAGE(OFFSET($R$3,0,0,'Données projet'!$E$9+1,1))-AVERAGE(OFFSET($H$3,0,0,'Données projet'!$E$9+1,1))</f>
        <v>248.50221719467663</v>
      </c>
      <c r="T58" s="59">
        <f t="shared" si="34"/>
        <v>366.09064580347183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258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4.8119574157896663</v>
      </c>
      <c r="AA58" s="21">
        <f>EXP(-LN(2)/25)*AA57+(1-EXP(-LN(2)/25))/(LN(2)/25)*Calculateur!V58*Calculateur!X58*VLOOKUP('Données projet'!$B$9,Paramètres!$A$1:$I$89,3,0)*0.475*44/12</f>
        <v>12.034948680876395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16.846906096666061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229.81919999999997</v>
      </c>
      <c r="AK58" s="13">
        <f t="shared" si="35"/>
        <v>56.243586554989342</v>
      </c>
      <c r="AL58" s="20">
        <f t="shared" si="4"/>
        <v>498.22601991660639</v>
      </c>
      <c r="AM58" s="59">
        <f t="shared" si="5"/>
        <v>791.5593532499397</v>
      </c>
      <c r="AN58" s="59">
        <f ca="1">AVERAGE(OFFSET($AM$3,0,0,'Données projet'!$E$10+1,1))-AVERAGE(OFFSET($H$3,0,0,'Données projet'!$E$10+1,1))</f>
        <v>263.22346936777603</v>
      </c>
      <c r="AO58" s="59">
        <f t="shared" si="36"/>
        <v>217.14714468707939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3.6381274179959666</v>
      </c>
      <c r="AW58" s="21">
        <f>EXP(-LN(2)/2)*AW57+(1-EXP(-LN(2)/2))/(LN(2)/2)*AQ58*AT58*VLOOKUP('Données projet'!$B$10,Paramètres!$A$1:$I$89,3,0)*0.475*44/12</f>
        <v>3.0816391016722411E-3</v>
      </c>
      <c r="AX58" s="21">
        <f t="shared" si="6"/>
        <v>3.641209057097639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9.375</v>
      </c>
      <c r="BD58" s="12">
        <f>IF('Données projet'!$A$88&gt;35,BD57+BC58-BL57,IF(A58&lt;'Données projet'!$A$88,$BA$205^A58,IF(A58='Données projet'!$A$88,'Données projet'!$B$88,BD57+BC58-BL57)))</f>
        <v>250.12499999999989</v>
      </c>
      <c r="BE58" s="13">
        <f>BD58*VLOOKUP('Données projet'!$B$11,Paramètres!$A$1:$I$89,3,0)*VLOOKUP('Données projet'!$B$11,Paramètres!$A$1:$I$89,5,0)</f>
        <v>195.09749999999991</v>
      </c>
      <c r="BF58" s="13">
        <f t="shared" si="37"/>
        <v>48.66519532492579</v>
      </c>
      <c r="BG58" s="20">
        <f t="shared" si="7"/>
        <v>424.55336102424553</v>
      </c>
      <c r="BH58" s="59">
        <f t="shared" si="8"/>
        <v>717.88669435757879</v>
      </c>
      <c r="BI58" s="59">
        <f ca="1">AVERAGE(OFFSET($BH$3,0,0,'Données projet'!$E$11+1,1))-AVERAGE(OFFSET($H$3,0,0,'Données projet'!$E$11+1,1))</f>
        <v>219.22204054948094</v>
      </c>
      <c r="BJ58" s="59">
        <f t="shared" si="38"/>
        <v>222.41711966122034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1.5677905157473064</v>
      </c>
      <c r="BR58" s="21">
        <f>EXP(-LN(2)/2)*BR57+(1-EXP(-LN(2)/2))/(LN(2)/2)*BL58*BO58*VLOOKUP('Données projet'!$B$11,Paramètres!$A$1:$I$89,3,0)*0.475*44/12</f>
        <v>5.6453006431624151E-4</v>
      </c>
      <c r="BS58" s="22">
        <f t="shared" si="9"/>
        <v>1.5683550458116227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260</v>
      </c>
      <c r="BW58" s="12">
        <f>VLOOKUP(A58,'Données projet'!$A$113:$I$133,9,0)</f>
        <v>12.8</v>
      </c>
      <c r="BX58" s="12">
        <f t="array" ref="BX58">INDEX(BW:BW,MIN(IF(ISNUMBER(BW58:BW254),ROW(BW58:BW254),"")))</f>
        <v>12.8</v>
      </c>
      <c r="BY58" s="12">
        <f>IF('Données projet'!$A$114&gt;35,BY57+BX58-CG57,IF(A58&lt;'Données projet'!$A$114,$BV$205^A58,IF(A58='Données projet'!$A$114,'Données projet'!$B$114,BY57+BX58-CG57)))</f>
        <v>260</v>
      </c>
      <c r="BZ58" s="13">
        <f>BY58*VLOOKUP('Données projet'!$B$12,Paramètres!$A$1:$I$89,3,0)*VLOOKUP('Données projet'!$B$12,Paramètres!$A$1:$I$89,5,0)</f>
        <v>223.08</v>
      </c>
      <c r="CA58" s="13">
        <f t="shared" si="39"/>
        <v>54.783765878062667</v>
      </c>
      <c r="CB58" s="20">
        <f t="shared" si="10"/>
        <v>483.94605890429244</v>
      </c>
      <c r="CC58" s="59">
        <f t="shared" si="11"/>
        <v>777.27939223762576</v>
      </c>
      <c r="CD58" s="59">
        <f ca="1">AVERAGE(OFFSET($CC$3,0,0,'Données projet'!$E$12+1,1))-AVERAGE(OFFSET($H$3,0,0,'Données projet'!$E$12+1,1))</f>
        <v>237.27357081252273</v>
      </c>
      <c r="CE58" s="59">
        <f t="shared" si="40"/>
        <v>68.768479693848576</v>
      </c>
      <c r="CF58" s="15">
        <f>IF(ISNA(VLOOKUP(A58,'Données projet'!$A$113:$I$133,3,0)),0,VLOOKUP(A58,'Données projet'!$A$113:$I$133,3,0))</f>
        <v>6</v>
      </c>
      <c r="CG58" s="15">
        <f>IF(ISNA(VLOOKUP(A58,'Données projet'!$A$113:$I$133,4,0)),0,VLOOKUP(A58,'Données projet'!$A$113:$I$133,4,0))</f>
        <v>29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705</v>
      </c>
      <c r="CR58" s="12">
        <f>VLOOKUP(A58,'Données projet'!$A$139:$I$159,9,0)</f>
        <v>17.8</v>
      </c>
      <c r="CS58" s="12">
        <f t="array" ref="CS58">INDEX(CR:CR,MIN(IF(ISNUMBER(CR58:CR254),ROW(CR58:CR254),"")))</f>
        <v>17.8</v>
      </c>
      <c r="CT58" s="12">
        <f>IF('Données projet'!$A$140&gt;35,CT57+CS58-DB57,IF(A58&lt;'Données projet'!$A$140,$CQ$205^A58,IF(A58='Données projet'!$A$140,'Données projet'!$B$140,CT57+CS58-DB57)))</f>
        <v>704.99999999999989</v>
      </c>
      <c r="CU58" s="17">
        <f>CT58*VLOOKUP('Données projet'!$B$13,Paramètres!$A$1:$I$89,3,0)*VLOOKUP('Données projet'!$B$13,Paramètres!$A$1:$I$89,5,0)</f>
        <v>394.09499999999991</v>
      </c>
      <c r="CV58" s="13">
        <f t="shared" si="41"/>
        <v>90.578482834670083</v>
      </c>
      <c r="CW58" s="20">
        <f t="shared" si="13"/>
        <v>844.13964927038353</v>
      </c>
      <c r="CX58" s="59">
        <f t="shared" si="14"/>
        <v>1137.4729826037169</v>
      </c>
      <c r="CY58" s="59">
        <f ca="1">AVERAGE(OFFSET($CX$3,0,0,'Données projet'!$E$13+1,1))-AVERAGE(OFFSET($H$3,0,0,'Données projet'!$E$13+1,1))</f>
        <v>474.03051418249999</v>
      </c>
      <c r="CZ58" s="59">
        <f t="shared" si="42"/>
        <v>649.52271992719091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66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3.3310889262723609</v>
      </c>
      <c r="DG58" s="21">
        <f>EXP(-LN(2)/25)*DG57+(1-EXP(-LN(2)/25))/(LN(2)/25)*Calculateur!DB58*Calculateur!DD58*VLOOKUP('Données projet'!$B$13,Paramètres!$A$1:$I$89,3,0)*0.475*44/12</f>
        <v>12.096535546684064</v>
      </c>
      <c r="DH58" s="21">
        <f>EXP(-LN(2)/2)*DH57+(1-EXP(-LN(2)/2))/(LN(2)/2)*DB58*DE58*VLOOKUP('Données projet'!$B$13,Paramètres!$A$1:$I$89,3,0)*0.475*44/12</f>
        <v>2.0197545451606791E-3</v>
      </c>
      <c r="DI58" s="22">
        <f t="shared" si="15"/>
        <v>15.429644227501587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-5.6843418860808015E-14</v>
      </c>
      <c r="DP58" s="17">
        <f>DO58*VLOOKUP('Données projet'!$B$14,Paramètres!$A$1:$I$89,3,0)*VLOOKUP('Données projet'!$B$14,Paramètres!$A$1:$I$89,5,0)</f>
        <v>-3.1036506698001178E-14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164.0740581424559</v>
      </c>
      <c r="DU58" s="59">
        <f t="shared" si="44"/>
        <v>280.99861170359793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4.0261913550199271</v>
      </c>
      <c r="EB58" s="21">
        <f>EXP(-LN(2)/25)*EB57+(1-EXP(-LN(2)/25))/(LN(2)/25)*Calculateur!DW58*Calculateur!DY58*VLOOKUP('Données projet'!$B$14,Paramètres!$A$1:$I$89,3,0)*0.475*44/12</f>
        <v>12.94833524156118</v>
      </c>
      <c r="EC58" s="21">
        <f>EXP(-LN(2)/2)*EC57+(1-EXP(-LN(2)/2))/(LN(2)/2)*DW58*DZ58*VLOOKUP('Données projet'!$B$14,Paramètres!$A$1:$I$89,3,0)*0.475*44/12</f>
        <v>2.6203542660585165E-3</v>
      </c>
      <c r="ED58" s="22">
        <f t="shared" si="18"/>
        <v>16.977146950847164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694</v>
      </c>
      <c r="EH58" s="12">
        <f>VLOOKUP(A58,'Données projet'!$A$191:$I$211,9,0)</f>
        <v>25.4</v>
      </c>
      <c r="EI58" s="12">
        <f t="array" ref="EI58">INDEX(EH:EH,MIN(IF(ISNUMBER(EH58:EH254),ROW(EH58:EH254),"")))</f>
        <v>25.4</v>
      </c>
      <c r="EJ58" s="12">
        <f>IF('Données projet'!$A$192&gt;35,EJ57+EI58-ER57,IF(A58&lt;'Données projet'!$A$192,$EG$205^A58,IF(A58='Données projet'!$A$192,'Données projet'!$B$192,EJ57+EI58-ER57)))</f>
        <v>694.00000000000034</v>
      </c>
      <c r="EK58" s="17">
        <f>EJ58*VLOOKUP('Données projet'!$B$15,Paramètres!$A$1:$I$89,3,0)*VLOOKUP('Données projet'!$B$15,Paramètres!$A$1:$I$89,5,0)</f>
        <v>333.81400000000019</v>
      </c>
      <c r="EL58" s="13">
        <f t="shared" si="45"/>
        <v>78.220517061978072</v>
      </c>
      <c r="EM58" s="20">
        <f t="shared" si="19"/>
        <v>717.62678388294546</v>
      </c>
      <c r="EN58" s="59">
        <f t="shared" si="20"/>
        <v>1010.9601172162788</v>
      </c>
      <c r="EO58" s="59">
        <f ca="1">AVERAGE(OFFSET($EN$3,0,0,'Données projet'!$E$15+1,1))-AVERAGE(OFFSET($H$3,0,0,'Données projet'!$E$15+1,1))</f>
        <v>312.1172301514103</v>
      </c>
      <c r="EP58" s="59">
        <f t="shared" si="46"/>
        <v>369.85500533493212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73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1.6470448370270661</v>
      </c>
      <c r="EW58" s="21">
        <f>EXP(-LN(2)/25)*EW57+(1-EXP(-LN(2)/25))/(LN(2)/25)*Calculateur!ER58*Calculateur!ET58*VLOOKUP('Données projet'!$B$15,Paramètres!$A$1:$I$89,3,0)*0.475*44/12</f>
        <v>7.5197630858901201</v>
      </c>
      <c r="EX58" s="21">
        <f>EXP(-LN(2)/2)*EX57+(1-EXP(-LN(2)/2))/(LN(2)/2)*ER58*EU58*VLOOKUP('Données projet'!$B$15,Paramètres!$A$1:$I$89,3,0)*0.475*44/12</f>
        <v>5.4684375144219014E-3</v>
      </c>
      <c r="EY58" s="22">
        <f t="shared" si="21"/>
        <v>9.1722763604316082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-1.7053025658242404E-13</v>
      </c>
      <c r="FF58" s="17">
        <f>FE58*VLOOKUP('Données projet'!$B$16,Paramètres!$A$1:$I$89,3,0)*VLOOKUP('Données projet'!$B$16,Paramètres!$A$1:$I$89,5,0)</f>
        <v>-7.9808160080574461E-14</v>
      </c>
      <c r="FG58" s="13" t="e">
        <f t="shared" si="47"/>
        <v>#NUM!</v>
      </c>
      <c r="FH58" s="20" t="e">
        <f t="shared" si="22"/>
        <v>#NUM!</v>
      </c>
      <c r="FI58" s="59" t="e">
        <f t="shared" si="23"/>
        <v>#NUM!</v>
      </c>
      <c r="FJ58" s="59">
        <f ca="1">AVERAGE(OFFSET($FI$3,0,0,'Données projet'!$E$16+1,1))-AVERAGE(OFFSET($H$3,0,0,'Données projet'!$E$16+1,1))</f>
        <v>87.187251664304199</v>
      </c>
      <c r="FK58" s="59">
        <f t="shared" si="48"/>
        <v>148.84938257884147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4.0318317805334276</v>
      </c>
      <c r="FS58" s="21">
        <f>EXP(-LN(2)/2)*FS57+(1-EXP(-LN(2)/2))/(LN(2)/2)*FM58*FP58*VLOOKUP('Données projet'!$B$16,Paramètres!$A$1:$I$89,3,0)*0.475*44/12</f>
        <v>1.0502892591036418E-3</v>
      </c>
      <c r="FT58" s="22">
        <f t="shared" si="24"/>
        <v>4.0328820697925316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463</v>
      </c>
      <c r="FX58" s="12">
        <f>VLOOKUP(A58,'Données projet'!$A$243:$I$263,9,0)</f>
        <v>19.2</v>
      </c>
      <c r="FY58" s="12">
        <f t="array" ref="FY58">INDEX(FX:FX,MIN(IF(ISNUMBER(FX58:FX254),ROW(FX58:FX254),"")))</f>
        <v>19.2</v>
      </c>
      <c r="FZ58" s="12">
        <f>IF('Données projet'!$A$244&gt;35,FZ57+FY58-GH57,IF(A58&lt;'Données projet'!$A$244,$FW$205^A58,IF(A58='Données projet'!$A$244,'Données projet'!$B$244,FZ57+FY58-GH57)))</f>
        <v>463</v>
      </c>
      <c r="GA58" s="17">
        <f>FZ58*VLOOKUP('Données projet'!$B$17,Paramètres!$A$1:$I$89,3,0)*VLOOKUP('Données projet'!$B$17,Paramètres!$A$1:$I$89,5,0)</f>
        <v>276.87400000000002</v>
      </c>
      <c r="GB58" s="13">
        <f t="shared" si="49"/>
        <v>66.305964184031993</v>
      </c>
      <c r="GC58" s="20">
        <f t="shared" si="25"/>
        <v>597.7051042871891</v>
      </c>
      <c r="GD58" s="59">
        <f t="shared" si="26"/>
        <v>891.03843762052247</v>
      </c>
      <c r="GE58" s="59">
        <f ca="1">AVERAGE(OFFSET($GD$3,0,0,'Données projet'!$E$17+1,1))-AVERAGE(OFFSET($H$3,0,0,'Données projet'!$E$17+1,1))</f>
        <v>282.94722676586207</v>
      </c>
      <c r="GF58" s="59">
        <f t="shared" si="50"/>
        <v>310.63647941571298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48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5.3587577210641326</v>
      </c>
      <c r="GN58" s="21">
        <f>EXP(-LN(2)/2)*GN57+(1-EXP(-LN(2)/2))/(LN(2)/2)*GH58*GK58*VLOOKUP('Données projet'!$B$17,Paramètres!$A$1:$I$89,3,0)*0.475*44/12</f>
        <v>4.4260176782457278E-3</v>
      </c>
      <c r="GO58" s="21">
        <f t="shared" si="27"/>
        <v>5.3631837387423786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3</v>
      </c>
      <c r="GU58" s="12">
        <f>IF('Données projet'!$A$270&gt;35,GU57+GT58-HC57,IF(A58&lt;'Données projet'!$A$270,$GR$205^A58,IF(A58='Données projet'!$A$270,'Données projet'!$B$270,GU57+GT58-HC57)))</f>
        <v>387.99999999999989</v>
      </c>
      <c r="GV58" s="17">
        <f>GU58*VLOOKUP('Données projet'!$B$18,Paramètres!$A$1:$I$89,3,0)*VLOOKUP('Données projet'!$B$18,Paramètres!$A$1:$I$89,5,0)</f>
        <v>232.02399999999994</v>
      </c>
      <c r="GW58" s="13">
        <f t="shared" si="51"/>
        <v>56.720094243161071</v>
      </c>
      <c r="GX58" s="20">
        <f t="shared" si="28"/>
        <v>502.89596414017211</v>
      </c>
      <c r="GY58" s="59">
        <f t="shared" si="29"/>
        <v>796.22929747350543</v>
      </c>
      <c r="GZ58" s="59">
        <f ca="1">AVERAGE(OFFSET($GY$3,0,0,'Données projet'!$E$18+1,1))-AVERAGE(OFFSET($H$3,0,0,'Données projet'!$E$18+1,1))</f>
        <v>255.54398581450459</v>
      </c>
      <c r="HA58" s="59">
        <f t="shared" si="52"/>
        <v>276.52622328061204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2.6738520013724942</v>
      </c>
      <c r="HI58" s="21">
        <f>EXP(-LN(2)/2)*HI57+(1-EXP(-LN(2)/2))/(LN(2)/2)*HC58*HF58*VLOOKUP('Données projet'!$B$18,Paramètres!$A$1:$I$89,3,0)*0.475*44/12</f>
        <v>2.5665566207905841E-3</v>
      </c>
      <c r="HJ58" s="22">
        <f t="shared" si="30"/>
        <v>2.6764185579932849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5.6843418860808015E-14</v>
      </c>
      <c r="O59" s="13">
        <f>N59*VLOOKUP('Données projet'!$B$9,Paramètres!$A$1:$I$89,3,0)*VLOOKUP('Données projet'!$B$9,Paramètres!$A$1:$I$89,5,0)</f>
        <v>4.9658410716801891E-14</v>
      </c>
      <c r="P59" s="13">
        <f t="shared" si="33"/>
        <v>8.0934058173791862E-13</v>
      </c>
      <c r="Q59" s="20">
        <f t="shared" si="53"/>
        <v>1.4960899118586383E-12</v>
      </c>
      <c r="R59" s="59">
        <f t="shared" si="0"/>
        <v>293.33333333333479</v>
      </c>
      <c r="S59" s="59">
        <f ca="1">AVERAGE(OFFSET($R$3,0,0,'Données projet'!$E$9+1,1))-AVERAGE(OFFSET($H$3,0,0,'Données projet'!$E$9+1,1))</f>
        <v>248.50221719467663</v>
      </c>
      <c r="T59" s="59">
        <f t="shared" si="34"/>
        <v>366.09064580347183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4.7175978658702471</v>
      </c>
      <c r="AA59" s="21">
        <f>EXP(-LN(2)/25)*AA58+(1-EXP(-LN(2)/25))/(LN(2)/25)*Calculateur!V59*Calculateur!X59*VLOOKUP('Données projet'!$B$9,Paramètres!$A$1:$I$89,3,0)*0.475*44/12</f>
        <v>11.705852376307385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16.423450242177633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212.98991999999998</v>
      </c>
      <c r="AK59" s="13">
        <f t="shared" si="35"/>
        <v>52.588419883221171</v>
      </c>
      <c r="AL59" s="20">
        <f t="shared" si="4"/>
        <v>462.54894196327677</v>
      </c>
      <c r="AM59" s="59">
        <f t="shared" si="5"/>
        <v>755.88227529661003</v>
      </c>
      <c r="AN59" s="59">
        <f ca="1">AVERAGE(OFFSET($AM$3,0,0,'Données projet'!$E$10+1,1))-AVERAGE(OFFSET($H$3,0,0,'Données projet'!$E$10+1,1))</f>
        <v>263.22346936777603</v>
      </c>
      <c r="AO59" s="59">
        <f t="shared" si="36"/>
        <v>217.14714468707939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3.5386426324300611</v>
      </c>
      <c r="AW59" s="21">
        <f>EXP(-LN(2)/2)*AW58+(1-EXP(-LN(2)/2))/(LN(2)/2)*AQ59*AT59*VLOOKUP('Données projet'!$B$10,Paramètres!$A$1:$I$89,3,0)*0.475*44/12</f>
        <v>2.1790479059620622E-3</v>
      </c>
      <c r="AX59" s="21">
        <f t="shared" si="6"/>
        <v>3.5408216803360233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9.375</v>
      </c>
      <c r="BD59" s="12">
        <f>IF('Données projet'!$A$88&gt;35,BD58+BC59-BL58,IF(A59&lt;'Données projet'!$A$88,$BA$205^A59,IF(A59='Données projet'!$A$88,'Données projet'!$B$88,BD58+BC59-BL58)))</f>
        <v>259.49999999999989</v>
      </c>
      <c r="BE59" s="13">
        <f>BD59*VLOOKUP('Données projet'!$B$11,Paramètres!$A$1:$I$89,3,0)*VLOOKUP('Données projet'!$B$11,Paramètres!$A$1:$I$89,5,0)</f>
        <v>202.40999999999991</v>
      </c>
      <c r="BF59" s="13">
        <f t="shared" si="37"/>
        <v>50.273442991661817</v>
      </c>
      <c r="BG59" s="20">
        <f t="shared" si="7"/>
        <v>440.09032987714414</v>
      </c>
      <c r="BH59" s="59">
        <f t="shared" si="8"/>
        <v>733.42366321047746</v>
      </c>
      <c r="BI59" s="59">
        <f ca="1">AVERAGE(OFFSET($BH$3,0,0,'Données projet'!$E$11+1,1))-AVERAGE(OFFSET($H$3,0,0,'Données projet'!$E$11+1,1))</f>
        <v>219.22204054948094</v>
      </c>
      <c r="BJ59" s="59">
        <f t="shared" si="38"/>
        <v>222.41711966122034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1.5249192016476762</v>
      </c>
      <c r="BR59" s="21">
        <f>EXP(-LN(2)/2)*BR58+(1-EXP(-LN(2)/2))/(LN(2)/2)*BL59*BO59*VLOOKUP('Données projet'!$B$11,Paramètres!$A$1:$I$89,3,0)*0.475*44/12</f>
        <v>3.9918303666169219E-4</v>
      </c>
      <c r="BS59" s="22">
        <f t="shared" si="9"/>
        <v>1.5253183846843379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13.4</v>
      </c>
      <c r="BY59" s="12">
        <f>IF('Données projet'!$A$114&gt;35,BY58+BX59-CG58,IF(A59&lt;'Données projet'!$A$114,$BV$205^A59,IF(A59='Données projet'!$A$114,'Données projet'!$B$114,BY58+BX59-CG58)))</f>
        <v>244.39999999999998</v>
      </c>
      <c r="BZ59" s="13">
        <f>BY59*VLOOKUP('Données projet'!$B$12,Paramètres!$A$1:$I$89,3,0)*VLOOKUP('Données projet'!$B$12,Paramètres!$A$1:$I$89,5,0)</f>
        <v>209.6952</v>
      </c>
      <c r="CA59" s="13">
        <f t="shared" si="39"/>
        <v>51.868973600145608</v>
      </c>
      <c r="CB59" s="20">
        <f t="shared" si="10"/>
        <v>455.55760235358701</v>
      </c>
      <c r="CC59" s="59">
        <f t="shared" si="11"/>
        <v>748.89093568692033</v>
      </c>
      <c r="CD59" s="59">
        <f ca="1">AVERAGE(OFFSET($CC$3,0,0,'Données projet'!$E$12+1,1))-AVERAGE(OFFSET($H$3,0,0,'Données projet'!$E$12+1,1))</f>
        <v>237.27357081252273</v>
      </c>
      <c r="CE59" s="59">
        <f t="shared" si="40"/>
        <v>68.768479693848576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16.8</v>
      </c>
      <c r="CT59" s="12">
        <f>IF('Données projet'!$A$140&gt;35,CT58+CS59-DB58,IF(A59&lt;'Données projet'!$A$140,$CQ$205^A59,IF(A59='Données projet'!$A$140,'Données projet'!$B$140,CT58+CS59-DB58)))</f>
        <v>655.79999999999984</v>
      </c>
      <c r="CU59" s="17">
        <f>CT59*VLOOKUP('Données projet'!$B$13,Paramètres!$A$1:$I$89,3,0)*VLOOKUP('Données projet'!$B$13,Paramètres!$A$1:$I$89,5,0)</f>
        <v>366.59219999999988</v>
      </c>
      <c r="CV59" s="13">
        <f t="shared" si="41"/>
        <v>84.969753481055022</v>
      </c>
      <c r="CW59" s="20">
        <f t="shared" si="13"/>
        <v>786.47040231283734</v>
      </c>
      <c r="CX59" s="59">
        <f t="shared" si="14"/>
        <v>1079.8037356461707</v>
      </c>
      <c r="CY59" s="59">
        <f ca="1">AVERAGE(OFFSET($CX$3,0,0,'Données projet'!$E$13+1,1))-AVERAGE(OFFSET($H$3,0,0,'Données projet'!$E$13+1,1))</f>
        <v>474.03051418249999</v>
      </c>
      <c r="CZ59" s="59">
        <f t="shared" si="42"/>
        <v>649.52271992719091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3.2657683041917851</v>
      </c>
      <c r="DG59" s="21">
        <f>EXP(-LN(2)/25)*DG58+(1-EXP(-LN(2)/25))/(LN(2)/25)*Calculateur!DB59*Calculateur!DD59*VLOOKUP('Données projet'!$B$13,Paramètres!$A$1:$I$89,3,0)*0.475*44/12</f>
        <v>11.765755146030831</v>
      </c>
      <c r="DH59" s="21">
        <f>EXP(-LN(2)/2)*DH58+(1-EXP(-LN(2)/2))/(LN(2)/2)*DB59*DE59*VLOOKUP('Données projet'!$B$13,Paramètres!$A$1:$I$89,3,0)*0.475*44/12</f>
        <v>1.4281821352154671E-3</v>
      </c>
      <c r="DI59" s="22">
        <f t="shared" si="15"/>
        <v>15.032951632357831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-5.6843418860808015E-14</v>
      </c>
      <c r="DP59" s="17">
        <f>DO59*VLOOKUP('Données projet'!$B$14,Paramètres!$A$1:$I$89,3,0)*VLOOKUP('Données projet'!$B$14,Paramètres!$A$1:$I$89,5,0)</f>
        <v>-3.1036506698001178E-14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164.0740581424559</v>
      </c>
      <c r="DU59" s="59">
        <f t="shared" si="44"/>
        <v>280.99861170359793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3.9472401982822292</v>
      </c>
      <c r="EB59" s="21">
        <f>EXP(-LN(2)/25)*EB58+(1-EXP(-LN(2)/25))/(LN(2)/25)*Calculateur!DW59*Calculateur!DY59*VLOOKUP('Données projet'!$B$14,Paramètres!$A$1:$I$89,3,0)*0.475*44/12</f>
        <v>12.594262333457333</v>
      </c>
      <c r="EC59" s="21">
        <f>EXP(-LN(2)/2)*EC58+(1-EXP(-LN(2)/2))/(LN(2)/2)*DW59*DZ59*VLOOKUP('Données projet'!$B$14,Paramètres!$A$1:$I$89,3,0)*0.475*44/12</f>
        <v>1.8528702706410759E-3</v>
      </c>
      <c r="ED59" s="22">
        <f t="shared" si="18"/>
        <v>16.543355402010206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23.8</v>
      </c>
      <c r="EJ59" s="12">
        <f>IF('Données projet'!$A$192&gt;35,EJ58+EI59-ER58,IF(A59&lt;'Données projet'!$A$192,$EG$205^A59,IF(A59='Données projet'!$A$192,'Données projet'!$B$192,EJ58+EI59-ER58)))</f>
        <v>644.8000000000003</v>
      </c>
      <c r="EK59" s="17">
        <f>EJ59*VLOOKUP('Données projet'!$B$15,Paramètres!$A$1:$I$89,3,0)*VLOOKUP('Données projet'!$B$15,Paramètres!$A$1:$I$89,5,0)</f>
        <v>310.14880000000016</v>
      </c>
      <c r="EL59" s="13">
        <f t="shared" si="45"/>
        <v>73.299904666217628</v>
      </c>
      <c r="EM59" s="20">
        <f t="shared" si="19"/>
        <v>667.83982729366255</v>
      </c>
      <c r="EN59" s="59">
        <f t="shared" si="20"/>
        <v>961.17316062699592</v>
      </c>
      <c r="EO59" s="59">
        <f ca="1">AVERAGE(OFFSET($EN$3,0,0,'Données projet'!$E$15+1,1))-AVERAGE(OFFSET($H$3,0,0,'Données projet'!$E$15+1,1))</f>
        <v>312.1172301514103</v>
      </c>
      <c r="EP59" s="59">
        <f t="shared" si="46"/>
        <v>369.85500533493212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1.6147472923711201</v>
      </c>
      <c r="EW59" s="21">
        <f>EXP(-LN(2)/25)*EW58+(1-EXP(-LN(2)/25))/(LN(2)/25)*Calculateur!ER59*Calculateur!ET59*VLOOKUP('Données projet'!$B$15,Paramètres!$A$1:$I$89,3,0)*0.475*44/12</f>
        <v>7.3141347688593008</v>
      </c>
      <c r="EX59" s="21">
        <f>EXP(-LN(2)/2)*EX58+(1-EXP(-LN(2)/2))/(LN(2)/2)*ER59*EU59*VLOOKUP('Données projet'!$B$15,Paramètres!$A$1:$I$89,3,0)*0.475*44/12</f>
        <v>3.8667692489426355E-3</v>
      </c>
      <c r="EY59" s="22">
        <f t="shared" si="21"/>
        <v>8.9327488304793636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-1.7053025658242404E-13</v>
      </c>
      <c r="FF59" s="17">
        <f>FE59*VLOOKUP('Données projet'!$B$16,Paramètres!$A$1:$I$89,3,0)*VLOOKUP('Données projet'!$B$16,Paramètres!$A$1:$I$89,5,0)</f>
        <v>-7.9808160080574461E-14</v>
      </c>
      <c r="FG59" s="13" t="e">
        <f t="shared" si="47"/>
        <v>#NUM!</v>
      </c>
      <c r="FH59" s="20" t="e">
        <f t="shared" si="22"/>
        <v>#NUM!</v>
      </c>
      <c r="FI59" s="59" t="e">
        <f t="shared" si="23"/>
        <v>#NUM!</v>
      </c>
      <c r="FJ59" s="59">
        <f ca="1">AVERAGE(OFFSET($FI$3,0,0,'Données projet'!$E$16+1,1))-AVERAGE(OFFSET($H$3,0,0,'Données projet'!$E$16+1,1))</f>
        <v>87.187251664304199</v>
      </c>
      <c r="FK59" s="59">
        <f t="shared" si="48"/>
        <v>148.84938257884147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3.9215811284699225</v>
      </c>
      <c r="FS59" s="21">
        <f>EXP(-LN(2)/2)*FS58+(1-EXP(-LN(2)/2))/(LN(2)/2)*FM59*FP59*VLOOKUP('Données projet'!$B$16,Paramètres!$A$1:$I$89,3,0)*0.475*44/12</f>
        <v>7.4266665731957996E-4</v>
      </c>
      <c r="FT59" s="22">
        <f t="shared" si="24"/>
        <v>3.9223237951272418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17</v>
      </c>
      <c r="FZ59" s="12">
        <f>IF('Données projet'!$A$244&gt;35,FZ58+FY59-GH58,IF(A59&lt;'Données projet'!$A$244,$FW$205^A59,IF(A59='Données projet'!$A$244,'Données projet'!$B$244,FZ58+FY59-GH58)))</f>
        <v>432</v>
      </c>
      <c r="GA59" s="17">
        <f>FZ59*VLOOKUP('Données projet'!$B$17,Paramètres!$A$1:$I$89,3,0)*VLOOKUP('Données projet'!$B$17,Paramètres!$A$1:$I$89,5,0)</f>
        <v>258.33600000000001</v>
      </c>
      <c r="GB59" s="13">
        <f t="shared" si="49"/>
        <v>62.367547966451262</v>
      </c>
      <c r="GC59" s="20">
        <f t="shared" si="25"/>
        <v>558.55867937490257</v>
      </c>
      <c r="GD59" s="59">
        <f t="shared" si="26"/>
        <v>851.89201270823582</v>
      </c>
      <c r="GE59" s="59">
        <f ca="1">AVERAGE(OFFSET($GD$3,0,0,'Données projet'!$E$17+1,1))-AVERAGE(OFFSET($H$3,0,0,'Données projet'!$E$17+1,1))</f>
        <v>282.94722676586207</v>
      </c>
      <c r="GF59" s="59">
        <f t="shared" si="50"/>
        <v>310.63647941571298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5.2122222093768134</v>
      </c>
      <c r="GN59" s="21">
        <f>EXP(-LN(2)/2)*GN58+(1-EXP(-LN(2)/2))/(LN(2)/2)*GH59*GK59*VLOOKUP('Données projet'!$B$17,Paramètres!$A$1:$I$89,3,0)*0.475*44/12</f>
        <v>3.129667113939093E-3</v>
      </c>
      <c r="GO59" s="21">
        <f t="shared" si="27"/>
        <v>5.215351876490752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3</v>
      </c>
      <c r="GU59" s="12">
        <f>IF('Données projet'!$A$270&gt;35,GU58+GT59-HC58,IF(A59&lt;'Données projet'!$A$270,$GR$205^A59,IF(A59='Données projet'!$A$270,'Données projet'!$B$270,GU58+GT59-HC58)))</f>
        <v>390.99999999999989</v>
      </c>
      <c r="GV59" s="17">
        <f>GU59*VLOOKUP('Données projet'!$B$18,Paramètres!$A$1:$I$89,3,0)*VLOOKUP('Données projet'!$B$18,Paramètres!$A$1:$I$89,5,0)</f>
        <v>233.81799999999996</v>
      </c>
      <c r="GW59" s="13">
        <f t="shared" si="51"/>
        <v>57.107429708554093</v>
      </c>
      <c r="GX59" s="20">
        <f t="shared" si="28"/>
        <v>506.69512340906493</v>
      </c>
      <c r="GY59" s="59">
        <f t="shared" si="29"/>
        <v>800.02845674239825</v>
      </c>
      <c r="GZ59" s="59">
        <f ca="1">AVERAGE(OFFSET($GY$3,0,0,'Données projet'!$E$18+1,1))-AVERAGE(OFFSET($H$3,0,0,'Données projet'!$E$18+1,1))</f>
        <v>255.54398581450459</v>
      </c>
      <c r="HA59" s="59">
        <f t="shared" si="52"/>
        <v>276.52622328061204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2.6007353777831979</v>
      </c>
      <c r="HI59" s="21">
        <f>EXP(-LN(2)/2)*HI58+(1-EXP(-LN(2)/2))/(LN(2)/2)*HC59*HF59*VLOOKUP('Données projet'!$B$18,Paramètres!$A$1:$I$89,3,0)*0.475*44/12</f>
        <v>1.8148295908602524E-3</v>
      </c>
      <c r="HJ59" s="22">
        <f t="shared" si="30"/>
        <v>2.6025502073740583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5.6843418860808015E-14</v>
      </c>
      <c r="O60" s="13">
        <f>N60*VLOOKUP('Données projet'!$B$9,Paramètres!$A$1:$I$89,3,0)*VLOOKUP('Données projet'!$B$9,Paramètres!$A$1:$I$89,5,0)</f>
        <v>4.9658410716801891E-14</v>
      </c>
      <c r="P60" s="13">
        <f t="shared" si="33"/>
        <v>8.0934058173791862E-13</v>
      </c>
      <c r="Q60" s="20">
        <f t="shared" si="53"/>
        <v>1.4960899118586383E-12</v>
      </c>
      <c r="R60" s="59">
        <f t="shared" si="0"/>
        <v>293.33333333333479</v>
      </c>
      <c r="S60" s="59">
        <f ca="1">AVERAGE(OFFSET($R$3,0,0,'Données projet'!$E$9+1,1))-AVERAGE(OFFSET($H$3,0,0,'Données projet'!$E$9+1,1))</f>
        <v>248.50221719467663</v>
      </c>
      <c r="T60" s="59">
        <f t="shared" si="34"/>
        <v>366.09064580347183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4.6250886491711052</v>
      </c>
      <c r="AA60" s="21">
        <f>EXP(-LN(2)/25)*AA59+(1-EXP(-LN(2)/25))/(LN(2)/25)*Calculateur!V60*Calculateur!X60*VLOOKUP('Données projet'!$B$9,Paramètres!$A$1:$I$89,3,0)*0.475*44/12</f>
        <v>11.385755227493238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16.010843876664342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221.49503999999999</v>
      </c>
      <c r="AK60" s="13">
        <f t="shared" si="35"/>
        <v>54.439697086174412</v>
      </c>
      <c r="AL60" s="20">
        <f t="shared" si="4"/>
        <v>480.58633375842032</v>
      </c>
      <c r="AM60" s="59">
        <f t="shared" si="5"/>
        <v>773.91966709175358</v>
      </c>
      <c r="AN60" s="59">
        <f ca="1">AVERAGE(OFFSET($AM$3,0,0,'Données projet'!$E$10+1,1))-AVERAGE(OFFSET($H$3,0,0,'Données projet'!$E$10+1,1))</f>
        <v>263.22346936777603</v>
      </c>
      <c r="AO60" s="59">
        <f t="shared" si="36"/>
        <v>217.14714468707939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3.4418782635571326</v>
      </c>
      <c r="AW60" s="21">
        <f>EXP(-LN(2)/2)*AW59+(1-EXP(-LN(2)/2))/(LN(2)/2)*AQ60*AT60*VLOOKUP('Données projet'!$B$10,Paramètres!$A$1:$I$89,3,0)*0.475*44/12</f>
        <v>1.5408195508361206E-3</v>
      </c>
      <c r="AX60" s="21">
        <f t="shared" si="6"/>
        <v>3.4434190831079685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9.375</v>
      </c>
      <c r="BD60" s="12">
        <f>IF('Données projet'!$A$88&gt;35,BD59+BC60-BL59,IF(A60&lt;'Données projet'!$A$88,$BA$205^A60,IF(A60='Données projet'!$A$88,'Données projet'!$B$88,BD59+BC60-BL59)))</f>
        <v>268.87499999999989</v>
      </c>
      <c r="BE60" s="13">
        <f>BD60*VLOOKUP('Données projet'!$B$11,Paramètres!$A$1:$I$89,3,0)*VLOOKUP('Données projet'!$B$11,Paramètres!$A$1:$I$89,5,0)</f>
        <v>209.72249999999991</v>
      </c>
      <c r="BF60" s="13">
        <f t="shared" si="37"/>
        <v>51.874940300502246</v>
      </c>
      <c r="BG60" s="20">
        <f t="shared" si="7"/>
        <v>455.61554185670792</v>
      </c>
      <c r="BH60" s="59">
        <f t="shared" si="8"/>
        <v>748.94887519004124</v>
      </c>
      <c r="BI60" s="59">
        <f ca="1">AVERAGE(OFFSET($BH$3,0,0,'Données projet'!$E$11+1,1))-AVERAGE(OFFSET($H$3,0,0,'Données projet'!$E$11+1,1))</f>
        <v>219.22204054948094</v>
      </c>
      <c r="BJ60" s="59">
        <f t="shared" si="38"/>
        <v>222.41711966122034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1.4832202058866051</v>
      </c>
      <c r="BR60" s="21">
        <f>EXP(-LN(2)/2)*BR59+(1-EXP(-LN(2)/2))/(LN(2)/2)*BL60*BO60*VLOOKUP('Données projet'!$B$11,Paramètres!$A$1:$I$89,3,0)*0.475*44/12</f>
        <v>2.8226503215812075E-4</v>
      </c>
      <c r="BS60" s="22">
        <f t="shared" si="9"/>
        <v>1.4835024709187632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13.4</v>
      </c>
      <c r="BY60" s="12">
        <f>IF('Données projet'!$A$114&gt;35,BY59+BX60-CG59,IF(A60&lt;'Données projet'!$A$114,$BV$205^A60,IF(A60='Données projet'!$A$114,'Données projet'!$B$114,BY59+BX60-CG59)))</f>
        <v>257.79999999999995</v>
      </c>
      <c r="BZ60" s="13">
        <f>BY60*VLOOKUP('Données projet'!$B$12,Paramètres!$A$1:$I$89,3,0)*VLOOKUP('Données projet'!$B$12,Paramètres!$A$1:$I$89,5,0)</f>
        <v>221.19239999999999</v>
      </c>
      <c r="CA60" s="13">
        <f t="shared" si="39"/>
        <v>54.373966382420569</v>
      </c>
      <c r="CB60" s="20">
        <f t="shared" si="10"/>
        <v>479.94475478271579</v>
      </c>
      <c r="CC60" s="59">
        <f t="shared" si="11"/>
        <v>773.27808811604905</v>
      </c>
      <c r="CD60" s="59">
        <f ca="1">AVERAGE(OFFSET($CC$3,0,0,'Données projet'!$E$12+1,1))-AVERAGE(OFFSET($H$3,0,0,'Données projet'!$E$12+1,1))</f>
        <v>237.27357081252273</v>
      </c>
      <c r="CE60" s="59">
        <f t="shared" si="40"/>
        <v>68.768479693848576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16.8</v>
      </c>
      <c r="CT60" s="12">
        <f>IF('Données projet'!$A$140&gt;35,CT59+CS60-DB59,IF(A60&lt;'Données projet'!$A$140,$CQ$205^A60,IF(A60='Données projet'!$A$140,'Données projet'!$B$140,CT59+CS60-DB59)))</f>
        <v>672.5999999999998</v>
      </c>
      <c r="CU60" s="17">
        <f>CT60*VLOOKUP('Données projet'!$B$13,Paramètres!$A$1:$I$89,3,0)*VLOOKUP('Données projet'!$B$13,Paramètres!$A$1:$I$89,5,0)</f>
        <v>375.9833999999999</v>
      </c>
      <c r="CV60" s="13">
        <f t="shared" si="41"/>
        <v>86.890261138472837</v>
      </c>
      <c r="CW60" s="20">
        <f t="shared" si="13"/>
        <v>806.17162648284011</v>
      </c>
      <c r="CX60" s="59">
        <f t="shared" si="14"/>
        <v>1099.5049598161734</v>
      </c>
      <c r="CY60" s="59">
        <f ca="1">AVERAGE(OFFSET($CX$3,0,0,'Données projet'!$E$13+1,1))-AVERAGE(OFFSET($H$3,0,0,'Données projet'!$E$13+1,1))</f>
        <v>474.03051418249999</v>
      </c>
      <c r="CZ60" s="59">
        <f t="shared" si="42"/>
        <v>649.52271992719091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3.2017285796685639</v>
      </c>
      <c r="DG60" s="21">
        <f>EXP(-LN(2)/25)*DG59+(1-EXP(-LN(2)/25))/(LN(2)/25)*Calculateur!DB60*Calculateur!DD60*VLOOKUP('Données projet'!$B$13,Paramètres!$A$1:$I$89,3,0)*0.475*44/12</f>
        <v>11.444019952828445</v>
      </c>
      <c r="DH60" s="21">
        <f>EXP(-LN(2)/2)*DH59+(1-EXP(-LN(2)/2))/(LN(2)/2)*DB60*DE60*VLOOKUP('Données projet'!$B$13,Paramètres!$A$1:$I$89,3,0)*0.475*44/12</f>
        <v>1.0098772725803395E-3</v>
      </c>
      <c r="DI60" s="22">
        <f t="shared" si="15"/>
        <v>14.646758409769589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-5.6843418860808015E-14</v>
      </c>
      <c r="DP60" s="17">
        <f>DO60*VLOOKUP('Données projet'!$B$14,Paramètres!$A$1:$I$89,3,0)*VLOOKUP('Données projet'!$B$14,Paramètres!$A$1:$I$89,5,0)</f>
        <v>-3.1036506698001178E-14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164.0740581424559</v>
      </c>
      <c r="DU60" s="59">
        <f t="shared" si="44"/>
        <v>280.99861170359793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3.8698372255727072</v>
      </c>
      <c r="EB60" s="21">
        <f>EXP(-LN(2)/25)*EB59+(1-EXP(-LN(2)/25))/(LN(2)/25)*Calculateur!DW60*Calculateur!DY60*VLOOKUP('Données projet'!$B$14,Paramètres!$A$1:$I$89,3,0)*0.475*44/12</f>
        <v>12.249871567645471</v>
      </c>
      <c r="EC60" s="21">
        <f>EXP(-LN(2)/2)*EC59+(1-EXP(-LN(2)/2))/(LN(2)/2)*DW60*DZ60*VLOOKUP('Données projet'!$B$14,Paramètres!$A$1:$I$89,3,0)*0.475*44/12</f>
        <v>1.3101771330292584E-3</v>
      </c>
      <c r="ED60" s="22">
        <f t="shared" si="18"/>
        <v>16.121018970351205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23.8</v>
      </c>
      <c r="EJ60" s="12">
        <f>IF('Données projet'!$A$192&gt;35,EJ59+EI60-ER59,IF(A60&lt;'Données projet'!$A$192,$EG$205^A60,IF(A60='Données projet'!$A$192,'Données projet'!$B$192,EJ59+EI60-ER59)))</f>
        <v>668.60000000000025</v>
      </c>
      <c r="EK60" s="17">
        <f>EJ60*VLOOKUP('Données projet'!$B$15,Paramètres!$A$1:$I$89,3,0)*VLOOKUP('Données projet'!$B$15,Paramètres!$A$1:$I$89,5,0)</f>
        <v>321.59660000000014</v>
      </c>
      <c r="EL60" s="13">
        <f t="shared" si="45"/>
        <v>75.685461055982486</v>
      </c>
      <c r="EM60" s="20">
        <f t="shared" si="19"/>
        <v>691.93292300583641</v>
      </c>
      <c r="EN60" s="59">
        <f t="shared" si="20"/>
        <v>985.26625633916979</v>
      </c>
      <c r="EO60" s="59">
        <f ca="1">AVERAGE(OFFSET($EN$3,0,0,'Données projet'!$E$15+1,1))-AVERAGE(OFFSET($H$3,0,0,'Données projet'!$E$15+1,1))</f>
        <v>312.1172301514103</v>
      </c>
      <c r="EP60" s="59">
        <f t="shared" si="46"/>
        <v>369.85500533493212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1.58308308286632</v>
      </c>
      <c r="EW60" s="21">
        <f>EXP(-LN(2)/25)*EW59+(1-EXP(-LN(2)/25))/(LN(2)/25)*Calculateur!ER60*Calculateur!ET60*VLOOKUP('Données projet'!$B$15,Paramètres!$A$1:$I$89,3,0)*0.475*44/12</f>
        <v>7.1141293689712128</v>
      </c>
      <c r="EX60" s="21">
        <f>EXP(-LN(2)/2)*EX59+(1-EXP(-LN(2)/2))/(LN(2)/2)*ER60*EU60*VLOOKUP('Données projet'!$B$15,Paramètres!$A$1:$I$89,3,0)*0.475*44/12</f>
        <v>2.7342187572109511E-3</v>
      </c>
      <c r="EY60" s="22">
        <f t="shared" si="21"/>
        <v>8.6999466705947448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-1.7053025658242404E-13</v>
      </c>
      <c r="FF60" s="17">
        <f>FE60*VLOOKUP('Données projet'!$B$16,Paramètres!$A$1:$I$89,3,0)*VLOOKUP('Données projet'!$B$16,Paramètres!$A$1:$I$89,5,0)</f>
        <v>-7.9808160080574461E-14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87.187251664304199</v>
      </c>
      <c r="FK60" s="59">
        <f t="shared" si="48"/>
        <v>148.84938257884147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3.8143452862849236</v>
      </c>
      <c r="FS60" s="21">
        <f>EXP(-LN(2)/2)*FS59+(1-EXP(-LN(2)/2))/(LN(2)/2)*FM60*FP60*VLOOKUP('Données projet'!$B$16,Paramètres!$A$1:$I$89,3,0)*0.475*44/12</f>
        <v>5.251446295518209E-4</v>
      </c>
      <c r="FT60" s="22">
        <f t="shared" si="24"/>
        <v>3.8148704309144756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17</v>
      </c>
      <c r="FZ60" s="12">
        <f>IF('Données projet'!$A$244&gt;35,FZ59+FY60-GH59,IF(A60&lt;'Données projet'!$A$244,$FW$205^A60,IF(A60='Données projet'!$A$244,'Données projet'!$B$244,FZ59+FY60-GH59)))</f>
        <v>449</v>
      </c>
      <c r="GA60" s="17">
        <f>FZ60*VLOOKUP('Données projet'!$B$17,Paramètres!$A$1:$I$89,3,0)*VLOOKUP('Données projet'!$B$17,Paramètres!$A$1:$I$89,5,0)</f>
        <v>268.50200000000001</v>
      </c>
      <c r="GB60" s="13">
        <f t="shared" si="49"/>
        <v>64.531253013339168</v>
      </c>
      <c r="GC60" s="20">
        <f t="shared" si="25"/>
        <v>580.03291566489895</v>
      </c>
      <c r="GD60" s="59">
        <f t="shared" si="26"/>
        <v>873.36624899823232</v>
      </c>
      <c r="GE60" s="59">
        <f ca="1">AVERAGE(OFFSET($GD$3,0,0,'Données projet'!$E$17+1,1))-AVERAGE(OFFSET($H$3,0,0,'Données projet'!$E$17+1,1))</f>
        <v>282.94722676586207</v>
      </c>
      <c r="GF60" s="59">
        <f t="shared" si="50"/>
        <v>310.63647941571298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5.0696937189625508</v>
      </c>
      <c r="GN60" s="21">
        <f>EXP(-LN(2)/2)*GN59+(1-EXP(-LN(2)/2))/(LN(2)/2)*GH60*GK60*VLOOKUP('Données projet'!$B$17,Paramètres!$A$1:$I$89,3,0)*0.475*44/12</f>
        <v>2.2130088391228639E-3</v>
      </c>
      <c r="GO60" s="21">
        <f t="shared" si="27"/>
        <v>5.0719067278016734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3</v>
      </c>
      <c r="GU60" s="12">
        <f>IF('Données projet'!$A$270&gt;35,GU59+GT60-HC59,IF(A60&lt;'Données projet'!$A$270,$GR$205^A60,IF(A60='Données projet'!$A$270,'Données projet'!$B$270,GU59+GT60-HC59)))</f>
        <v>393.99999999999989</v>
      </c>
      <c r="GV60" s="17">
        <f>GU60*VLOOKUP('Données projet'!$B$18,Paramètres!$A$1:$I$89,3,0)*VLOOKUP('Données projet'!$B$18,Paramètres!$A$1:$I$89,5,0)</f>
        <v>235.61199999999994</v>
      </c>
      <c r="GW60" s="13">
        <f t="shared" si="51"/>
        <v>57.494419397561693</v>
      </c>
      <c r="GX60" s="20">
        <f t="shared" si="28"/>
        <v>510.49368045075312</v>
      </c>
      <c r="GY60" s="59">
        <f t="shared" si="29"/>
        <v>803.82701378408638</v>
      </c>
      <c r="GZ60" s="59">
        <f ca="1">AVERAGE(OFFSET($GY$3,0,0,'Données projet'!$E$18+1,1))-AVERAGE(OFFSET($H$3,0,0,'Données projet'!$E$18+1,1))</f>
        <v>255.54398581450459</v>
      </c>
      <c r="HA60" s="59">
        <f t="shared" si="52"/>
        <v>276.52622328061204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2.5296181321109867</v>
      </c>
      <c r="HI60" s="21">
        <f>EXP(-LN(2)/2)*HI59+(1-EXP(-LN(2)/2))/(LN(2)/2)*HC60*HF60*VLOOKUP('Données projet'!$B$18,Paramètres!$A$1:$I$89,3,0)*0.475*44/12</f>
        <v>1.2832783103952923E-3</v>
      </c>
      <c r="HJ60" s="22">
        <f t="shared" si="30"/>
        <v>2.5309014104213818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5.6843418860808015E-14</v>
      </c>
      <c r="O61" s="13">
        <f>N61*VLOOKUP('Données projet'!$B$9,Paramètres!$A$1:$I$89,3,0)*VLOOKUP('Données projet'!$B$9,Paramètres!$A$1:$I$89,5,0)</f>
        <v>4.9658410716801891E-14</v>
      </c>
      <c r="P61" s="13">
        <f t="shared" si="33"/>
        <v>8.0934058173791862E-13</v>
      </c>
      <c r="Q61" s="20">
        <f t="shared" si="53"/>
        <v>1.4960899118586383E-12</v>
      </c>
      <c r="R61" s="59">
        <f t="shared" si="0"/>
        <v>293.33333333333479</v>
      </c>
      <c r="S61" s="59">
        <f ca="1">AVERAGE(OFFSET($R$3,0,0,'Données projet'!$E$9+1,1))-AVERAGE(OFFSET($H$3,0,0,'Données projet'!$E$9+1,1))</f>
        <v>248.50221719467663</v>
      </c>
      <c r="T61" s="59">
        <f t="shared" si="34"/>
        <v>366.09064580347183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4.5343934817863829</v>
      </c>
      <c r="AA61" s="21">
        <f>EXP(-LN(2)/25)*AA60+(1-EXP(-LN(2)/25))/(LN(2)/25)*Calculateur!V61*Calculateur!X61*VLOOKUP('Données projet'!$B$9,Paramètres!$A$1:$I$89,3,0)*0.475*44/12</f>
        <v>11.07441115204659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15.608804633832973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230.00015999999997</v>
      </c>
      <c r="AK61" s="13">
        <f t="shared" si="35"/>
        <v>56.282716126880423</v>
      </c>
      <c r="AL61" s="20">
        <f t="shared" si="4"/>
        <v>498.60934258765002</v>
      </c>
      <c r="AM61" s="59">
        <f t="shared" si="5"/>
        <v>791.94267592098333</v>
      </c>
      <c r="AN61" s="59">
        <f ca="1">AVERAGE(OFFSET($AM$3,0,0,'Données projet'!$E$10+1,1))-AVERAGE(OFFSET($H$3,0,0,'Données projet'!$E$10+1,1))</f>
        <v>263.22346936777603</v>
      </c>
      <c r="AO61" s="59">
        <f t="shared" si="36"/>
        <v>217.14714468707939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3.3477599214396516</v>
      </c>
      <c r="AW61" s="21">
        <f>EXP(-LN(2)/2)*AW60+(1-EXP(-LN(2)/2))/(LN(2)/2)*AQ61*AT61*VLOOKUP('Données projet'!$B$10,Paramètres!$A$1:$I$89,3,0)*0.475*44/12</f>
        <v>1.0895239529810311E-3</v>
      </c>
      <c r="AX61" s="21">
        <f t="shared" si="6"/>
        <v>3.3488494453926325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9.375</v>
      </c>
      <c r="BD61" s="12">
        <f>IF('Données projet'!$A$88&gt;35,BD60+BC61-BL60,IF(A61&lt;'Données projet'!$A$88,$BA$205^A61,IF(A61='Données projet'!$A$88,'Données projet'!$B$88,BD60+BC61-BL60)))</f>
        <v>278.24999999999989</v>
      </c>
      <c r="BE61" s="13">
        <f>BD61*VLOOKUP('Données projet'!$B$11,Paramètres!$A$1:$I$89,3,0)*VLOOKUP('Données projet'!$B$11,Paramètres!$A$1:$I$89,5,0)</f>
        <v>217.03499999999991</v>
      </c>
      <c r="BF61" s="13">
        <f t="shared" si="37"/>
        <v>53.469949591969474</v>
      </c>
      <c r="BG61" s="20">
        <f t="shared" si="7"/>
        <v>471.12945387267996</v>
      </c>
      <c r="BH61" s="59">
        <f t="shared" si="8"/>
        <v>764.46278720601322</v>
      </c>
      <c r="BI61" s="59">
        <f ca="1">AVERAGE(OFFSET($BH$3,0,0,'Données projet'!$E$11+1,1))-AVERAGE(OFFSET($H$3,0,0,'Données projet'!$E$11+1,1))</f>
        <v>219.22204054948094</v>
      </c>
      <c r="BJ61" s="59">
        <f t="shared" si="38"/>
        <v>222.41711966122034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1.4426614713574752</v>
      </c>
      <c r="BR61" s="21">
        <f>EXP(-LN(2)/2)*BR60+(1-EXP(-LN(2)/2))/(LN(2)/2)*BL61*BO61*VLOOKUP('Données projet'!$B$11,Paramètres!$A$1:$I$89,3,0)*0.475*44/12</f>
        <v>1.9959151833084609E-4</v>
      </c>
      <c r="BS61" s="22">
        <f t="shared" si="9"/>
        <v>1.4428610628758061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13.4</v>
      </c>
      <c r="BY61" s="12">
        <f>IF('Données projet'!$A$114&gt;35,BY60+BX61-CG60,IF(A61&lt;'Données projet'!$A$114,$BV$205^A61,IF(A61='Données projet'!$A$114,'Données projet'!$B$114,BY60+BX61-CG60)))</f>
        <v>271.19999999999993</v>
      </c>
      <c r="BZ61" s="13">
        <f>BY61*VLOOKUP('Données projet'!$B$12,Paramètres!$A$1:$I$89,3,0)*VLOOKUP('Données projet'!$B$12,Paramètres!$A$1:$I$89,5,0)</f>
        <v>232.68959999999996</v>
      </c>
      <c r="CA61" s="13">
        <f t="shared" si="39"/>
        <v>56.863841848177323</v>
      </c>
      <c r="CB61" s="20">
        <f t="shared" si="10"/>
        <v>504.30557788557547</v>
      </c>
      <c r="CC61" s="59">
        <f t="shared" si="11"/>
        <v>797.63891121890879</v>
      </c>
      <c r="CD61" s="59">
        <f ca="1">AVERAGE(OFFSET($CC$3,0,0,'Données projet'!$E$12+1,1))-AVERAGE(OFFSET($H$3,0,0,'Données projet'!$E$12+1,1))</f>
        <v>237.27357081252273</v>
      </c>
      <c r="CE61" s="59">
        <f t="shared" si="40"/>
        <v>68.768479693848576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16.8</v>
      </c>
      <c r="CT61" s="12">
        <f>IF('Données projet'!$A$140&gt;35,CT60+CS61-DB60,IF(A61&lt;'Données projet'!$A$140,$CQ$205^A61,IF(A61='Données projet'!$A$140,'Données projet'!$B$140,CT60+CS61-DB60)))</f>
        <v>689.39999999999975</v>
      </c>
      <c r="CU61" s="17">
        <f>CT61*VLOOKUP('Données projet'!$B$13,Paramètres!$A$1:$I$89,3,0)*VLOOKUP('Données projet'!$B$13,Paramètres!$A$1:$I$89,5,0)</f>
        <v>385.37459999999987</v>
      </c>
      <c r="CV61" s="13">
        <f t="shared" si="41"/>
        <v>88.805192600445807</v>
      </c>
      <c r="CW61" s="20">
        <f t="shared" si="13"/>
        <v>825.86313877910959</v>
      </c>
      <c r="CX61" s="59">
        <f t="shared" si="14"/>
        <v>1119.196472112443</v>
      </c>
      <c r="CY61" s="59">
        <f ca="1">AVERAGE(OFFSET($CX$3,0,0,'Données projet'!$E$13+1,1))-AVERAGE(OFFSET($H$3,0,0,'Données projet'!$E$13+1,1))</f>
        <v>474.03051418249999</v>
      </c>
      <c r="CZ61" s="59">
        <f t="shared" si="42"/>
        <v>649.52271992719091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3.138944635082868</v>
      </c>
      <c r="DG61" s="21">
        <f>EXP(-LN(2)/25)*DG60+(1-EXP(-LN(2)/25))/(LN(2)/25)*Calculateur!DB61*Calculateur!DD61*VLOOKUP('Données projet'!$B$13,Paramètres!$A$1:$I$89,3,0)*0.475*44/12</f>
        <v>11.131082625403497</v>
      </c>
      <c r="DH61" s="21">
        <f>EXP(-LN(2)/2)*DH60+(1-EXP(-LN(2)/2))/(LN(2)/2)*DB61*DE61*VLOOKUP('Données projet'!$B$13,Paramètres!$A$1:$I$89,3,0)*0.475*44/12</f>
        <v>7.1409106760773357E-4</v>
      </c>
      <c r="DI61" s="22">
        <f t="shared" si="15"/>
        <v>14.270741351553973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-5.6843418860808015E-14</v>
      </c>
      <c r="DP61" s="17">
        <f>DO61*VLOOKUP('Données projet'!$B$14,Paramètres!$A$1:$I$89,3,0)*VLOOKUP('Données projet'!$B$14,Paramètres!$A$1:$I$89,5,0)</f>
        <v>-3.1036506698001178E-14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164.0740581424559</v>
      </c>
      <c r="DU61" s="59">
        <f t="shared" si="44"/>
        <v>280.99861170359793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3.7939520779468672</v>
      </c>
      <c r="EB61" s="21">
        <f>EXP(-LN(2)/25)*EB60+(1-EXP(-LN(2)/25))/(LN(2)/25)*Calculateur!DW61*Calculateur!DY61*VLOOKUP('Données projet'!$B$14,Paramètres!$A$1:$I$89,3,0)*0.475*44/12</f>
        <v>11.914898185435456</v>
      </c>
      <c r="EC61" s="21">
        <f>EXP(-LN(2)/2)*EC60+(1-EXP(-LN(2)/2))/(LN(2)/2)*DW61*DZ61*VLOOKUP('Données projet'!$B$14,Paramètres!$A$1:$I$89,3,0)*0.475*44/12</f>
        <v>9.2643513532053806E-4</v>
      </c>
      <c r="ED61" s="22">
        <f t="shared" si="18"/>
        <v>15.709776698517645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23.8</v>
      </c>
      <c r="EJ61" s="12">
        <f>IF('Données projet'!$A$192&gt;35,EJ60+EI61-ER60,IF(A61&lt;'Données projet'!$A$192,$EG$205^A61,IF(A61='Données projet'!$A$192,'Données projet'!$B$192,EJ60+EI61-ER60)))</f>
        <v>692.4000000000002</v>
      </c>
      <c r="EK61" s="17">
        <f>EJ61*VLOOKUP('Données projet'!$B$15,Paramètres!$A$1:$I$89,3,0)*VLOOKUP('Données projet'!$B$15,Paramètres!$A$1:$I$89,5,0)</f>
        <v>333.04440000000005</v>
      </c>
      <c r="EL61" s="13">
        <f t="shared" si="45"/>
        <v>78.061151227538204</v>
      </c>
      <c r="EM61" s="20">
        <f t="shared" si="19"/>
        <v>716.008835054629</v>
      </c>
      <c r="EN61" s="59">
        <f t="shared" si="20"/>
        <v>1009.3421683879624</v>
      </c>
      <c r="EO61" s="59">
        <f ca="1">AVERAGE(OFFSET($EN$3,0,0,'Données projet'!$E$15+1,1))-AVERAGE(OFFSET($H$3,0,0,'Données projet'!$E$15+1,1))</f>
        <v>312.1172301514103</v>
      </c>
      <c r="EP61" s="59">
        <f t="shared" si="46"/>
        <v>369.85500533493212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1.5520397891966484</v>
      </c>
      <c r="EW61" s="21">
        <f>EXP(-LN(2)/25)*EW60+(1-EXP(-LN(2)/25))/(LN(2)/25)*Calculateur!ER61*Calculateur!ET61*VLOOKUP('Données projet'!$B$15,Paramètres!$A$1:$I$89,3,0)*0.475*44/12</f>
        <v>6.9195931272608915</v>
      </c>
      <c r="EX61" s="21">
        <f>EXP(-LN(2)/2)*EX60+(1-EXP(-LN(2)/2))/(LN(2)/2)*ER61*EU61*VLOOKUP('Données projet'!$B$15,Paramètres!$A$1:$I$89,3,0)*0.475*44/12</f>
        <v>1.933384624471318E-3</v>
      </c>
      <c r="EY61" s="22">
        <f t="shared" si="21"/>
        <v>8.4735663010820126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-1.7053025658242404E-13</v>
      </c>
      <c r="FF61" s="17">
        <f>FE61*VLOOKUP('Données projet'!$B$16,Paramètres!$A$1:$I$89,3,0)*VLOOKUP('Données projet'!$B$16,Paramètres!$A$1:$I$89,5,0)</f>
        <v>-7.9808160080574461E-14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87.187251664304199</v>
      </c>
      <c r="FK61" s="59">
        <f t="shared" si="48"/>
        <v>148.84938257884147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3.7100418138437616</v>
      </c>
      <c r="FS61" s="21">
        <f>EXP(-LN(2)/2)*FS60+(1-EXP(-LN(2)/2))/(LN(2)/2)*FM61*FP61*VLOOKUP('Données projet'!$B$16,Paramètres!$A$1:$I$89,3,0)*0.475*44/12</f>
        <v>3.7133332865978998E-4</v>
      </c>
      <c r="FT61" s="22">
        <f t="shared" si="24"/>
        <v>3.7104131471724213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17</v>
      </c>
      <c r="FZ61" s="12">
        <f>IF('Données projet'!$A$244&gt;35,FZ60+FY61-GH60,IF(A61&lt;'Données projet'!$A$244,$FW$205^A61,IF(A61='Données projet'!$A$244,'Données projet'!$B$244,FZ60+FY61-GH60)))</f>
        <v>466</v>
      </c>
      <c r="GA61" s="17">
        <f>FZ61*VLOOKUP('Données projet'!$B$17,Paramètres!$A$1:$I$89,3,0)*VLOOKUP('Données projet'!$B$17,Paramètres!$A$1:$I$89,5,0)</f>
        <v>278.66800000000001</v>
      </c>
      <c r="GB61" s="13">
        <f t="shared" si="49"/>
        <v>66.685440917424543</v>
      </c>
      <c r="GC61" s="20">
        <f t="shared" si="25"/>
        <v>601.49057626451452</v>
      </c>
      <c r="GD61" s="59">
        <f t="shared" si="26"/>
        <v>894.82390959784789</v>
      </c>
      <c r="GE61" s="59">
        <f ca="1">AVERAGE(OFFSET($GD$3,0,0,'Données projet'!$E$17+1,1))-AVERAGE(OFFSET($H$3,0,0,'Données projet'!$E$17+1,1))</f>
        <v>282.94722676586207</v>
      </c>
      <c r="GF61" s="59">
        <f t="shared" si="50"/>
        <v>310.63647941571298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4.9310626776139141</v>
      </c>
      <c r="GN61" s="21">
        <f>EXP(-LN(2)/2)*GN60+(1-EXP(-LN(2)/2))/(LN(2)/2)*GH61*GK61*VLOOKUP('Données projet'!$B$17,Paramètres!$A$1:$I$89,3,0)*0.475*44/12</f>
        <v>1.5648335569695465E-3</v>
      </c>
      <c r="GO61" s="21">
        <f t="shared" si="27"/>
        <v>4.9326275111708835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3</v>
      </c>
      <c r="GU61" s="12">
        <f>IF('Données projet'!$A$270&gt;35,GU60+GT61-HC60,IF(A61&lt;'Données projet'!$A$270,$GR$205^A61,IF(A61='Données projet'!$A$270,'Données projet'!$B$270,GU60+GT61-HC60)))</f>
        <v>396.99999999999989</v>
      </c>
      <c r="GV61" s="17">
        <f>GU61*VLOOKUP('Données projet'!$B$18,Paramètres!$A$1:$I$89,3,0)*VLOOKUP('Données projet'!$B$18,Paramètres!$A$1:$I$89,5,0)</f>
        <v>237.40599999999995</v>
      </c>
      <c r="GW61" s="13">
        <f t="shared" si="51"/>
        <v>57.881066248213493</v>
      </c>
      <c r="GX61" s="20">
        <f t="shared" si="28"/>
        <v>514.29164038230499</v>
      </c>
      <c r="GY61" s="59">
        <f t="shared" si="29"/>
        <v>807.62497371563836</v>
      </c>
      <c r="GZ61" s="59">
        <f ca="1">AVERAGE(OFFSET($GY$3,0,0,'Données projet'!$E$18+1,1))-AVERAGE(OFFSET($H$3,0,0,'Données projet'!$E$18+1,1))</f>
        <v>255.54398581450459</v>
      </c>
      <c r="HA61" s="59">
        <f t="shared" si="52"/>
        <v>276.52622328061204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2.4604455912615757</v>
      </c>
      <c r="HI61" s="21">
        <f>EXP(-LN(2)/2)*HI60+(1-EXP(-LN(2)/2))/(LN(2)/2)*HC61*HF61*VLOOKUP('Données projet'!$B$18,Paramètres!$A$1:$I$89,3,0)*0.475*44/12</f>
        <v>9.0741479543012644E-4</v>
      </c>
      <c r="HJ61" s="22">
        <f t="shared" si="30"/>
        <v>2.4613530060570059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5.6843418860808015E-14</v>
      </c>
      <c r="O62" s="13">
        <f>N62*VLOOKUP('Données projet'!$B$9,Paramètres!$A$1:$I$89,3,0)*VLOOKUP('Données projet'!$B$9,Paramètres!$A$1:$I$89,5,0)</f>
        <v>4.9658410716801891E-14</v>
      </c>
      <c r="P62" s="13">
        <f t="shared" si="33"/>
        <v>8.0934058173791862E-13</v>
      </c>
      <c r="Q62" s="20">
        <f t="shared" si="53"/>
        <v>1.4960899118586383E-12</v>
      </c>
      <c r="R62" s="59">
        <f t="shared" si="0"/>
        <v>293.33333333333479</v>
      </c>
      <c r="S62" s="59">
        <f ca="1">AVERAGE(OFFSET($R$3,0,0,'Données projet'!$E$9+1,1))-AVERAGE(OFFSET($H$3,0,0,'Données projet'!$E$9+1,1))</f>
        <v>248.50221719467663</v>
      </c>
      <c r="T62" s="59">
        <f t="shared" si="34"/>
        <v>366.09064580347183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4.4454767913154853</v>
      </c>
      <c r="AA62" s="21">
        <f>EXP(-LN(2)/25)*AA61+(1-EXP(-LN(2)/25))/(LN(2)/25)*Calculateur!V62*Calculateur!X62*VLOOKUP('Données projet'!$B$9,Paramètres!$A$1:$I$89,3,0)*0.475*44/12</f>
        <v>10.771580796715904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15.217057588031389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238.50527999999997</v>
      </c>
      <c r="AK62" s="13">
        <f t="shared" si="35"/>
        <v>58.117817352909881</v>
      </c>
      <c r="AL62" s="20">
        <f t="shared" si="4"/>
        <v>516.61856122298457</v>
      </c>
      <c r="AM62" s="59">
        <f t="shared" si="5"/>
        <v>809.95189455631794</v>
      </c>
      <c r="AN62" s="59">
        <f ca="1">AVERAGE(OFFSET($AM$3,0,0,'Données projet'!$E$10+1,1))-AVERAGE(OFFSET($H$3,0,0,'Données projet'!$E$10+1,1))</f>
        <v>263.22346936777603</v>
      </c>
      <c r="AO62" s="59">
        <f t="shared" si="36"/>
        <v>217.14714468707939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3.2562152503368416</v>
      </c>
      <c r="AW62" s="21">
        <f>EXP(-LN(2)/2)*AW61+(1-EXP(-LN(2)/2))/(LN(2)/2)*AQ62*AT62*VLOOKUP('Données projet'!$B$10,Paramètres!$A$1:$I$89,3,0)*0.475*44/12</f>
        <v>7.7040977541806028E-4</v>
      </c>
      <c r="AX62" s="21">
        <f t="shared" si="6"/>
        <v>3.2569856601122598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9.375</v>
      </c>
      <c r="BD62" s="12">
        <f>IF('Données projet'!$A$88&gt;35,BD61+BC62-BL61,IF(A62&lt;'Données projet'!$A$88,$BA$205^A62,IF(A62='Données projet'!$A$88,'Données projet'!$B$88,BD61+BC62-BL61)))</f>
        <v>287.62499999999989</v>
      </c>
      <c r="BE62" s="13">
        <f>BD62*VLOOKUP('Données projet'!$B$11,Paramètres!$A$1:$I$89,3,0)*VLOOKUP('Données projet'!$B$11,Paramètres!$A$1:$I$89,5,0)</f>
        <v>224.34749999999991</v>
      </c>
      <c r="BF62" s="13">
        <f t="shared" si="37"/>
        <v>55.058714525680429</v>
      </c>
      <c r="BG62" s="20">
        <f t="shared" si="7"/>
        <v>486.63249029889329</v>
      </c>
      <c r="BH62" s="59">
        <f t="shared" si="8"/>
        <v>779.9658236322266</v>
      </c>
      <c r="BI62" s="59">
        <f ca="1">AVERAGE(OFFSET($BH$3,0,0,'Données projet'!$E$11+1,1))-AVERAGE(OFFSET($H$3,0,0,'Données projet'!$E$11+1,1))</f>
        <v>219.22204054948094</v>
      </c>
      <c r="BJ62" s="59">
        <f t="shared" si="38"/>
        <v>222.41711966122034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1.4032118175569355</v>
      </c>
      <c r="BR62" s="21">
        <f>EXP(-LN(2)/2)*BR61+(1-EXP(-LN(2)/2))/(LN(2)/2)*BL62*BO62*VLOOKUP('Données projet'!$B$11,Paramètres!$A$1:$I$89,3,0)*0.475*44/12</f>
        <v>1.4113251607906038E-4</v>
      </c>
      <c r="BS62" s="22">
        <f t="shared" si="9"/>
        <v>1.4033529500730146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13.4</v>
      </c>
      <c r="BY62" s="12">
        <f>IF('Données projet'!$A$114&gt;35,BY61+BX62-CG61,IF(A62&lt;'Données projet'!$A$114,$BV$205^A62,IF(A62='Données projet'!$A$114,'Données projet'!$B$114,BY61+BX62-CG61)))</f>
        <v>284.59999999999991</v>
      </c>
      <c r="BZ62" s="13">
        <f>BY62*VLOOKUP('Données projet'!$B$12,Paramètres!$A$1:$I$89,3,0)*VLOOKUP('Données projet'!$B$12,Paramètres!$A$1:$I$89,5,0)</f>
        <v>244.18679999999998</v>
      </c>
      <c r="CA62" s="13">
        <f t="shared" si="39"/>
        <v>59.339432189038348</v>
      </c>
      <c r="CB62" s="20">
        <f t="shared" si="10"/>
        <v>528.64152106257495</v>
      </c>
      <c r="CC62" s="59">
        <f t="shared" si="11"/>
        <v>821.97485439590832</v>
      </c>
      <c r="CD62" s="59">
        <f ca="1">AVERAGE(OFFSET($CC$3,0,0,'Données projet'!$E$12+1,1))-AVERAGE(OFFSET($H$3,0,0,'Données projet'!$E$12+1,1))</f>
        <v>237.27357081252273</v>
      </c>
      <c r="CE62" s="59">
        <f t="shared" si="40"/>
        <v>68.768479693848576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16.8</v>
      </c>
      <c r="CT62" s="12">
        <f>IF('Données projet'!$A$140&gt;35,CT61+CS62-DB61,IF(A62&lt;'Données projet'!$A$140,$CQ$205^A62,IF(A62='Données projet'!$A$140,'Données projet'!$B$140,CT61+CS62-DB61)))</f>
        <v>706.1999999999997</v>
      </c>
      <c r="CU62" s="17">
        <f>CT62*VLOOKUP('Données projet'!$B$13,Paramètres!$A$1:$I$89,3,0)*VLOOKUP('Données projet'!$B$13,Paramètres!$A$1:$I$89,5,0)</f>
        <v>394.76579999999984</v>
      </c>
      <c r="CV62" s="13">
        <f t="shared" si="41"/>
        <v>90.714699385924675</v>
      </c>
      <c r="CW62" s="20">
        <f t="shared" si="13"/>
        <v>845.5452030971519</v>
      </c>
      <c r="CX62" s="59">
        <f t="shared" si="14"/>
        <v>1138.8785364304852</v>
      </c>
      <c r="CY62" s="59">
        <f ca="1">AVERAGE(OFFSET($CX$3,0,0,'Données projet'!$E$13+1,1))-AVERAGE(OFFSET($H$3,0,0,'Données projet'!$E$13+1,1))</f>
        <v>474.03051418249999</v>
      </c>
      <c r="CZ62" s="59">
        <f t="shared" si="42"/>
        <v>649.52271992719091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3.0773918453560727</v>
      </c>
      <c r="DG62" s="21">
        <f>EXP(-LN(2)/25)*DG61+(1-EXP(-LN(2)/25))/(LN(2)/25)*Calculateur!DB62*Calculateur!DD62*VLOOKUP('Données projet'!$B$13,Paramètres!$A$1:$I$89,3,0)*0.475*44/12</f>
        <v>10.826702585653644</v>
      </c>
      <c r="DH62" s="21">
        <f>EXP(-LN(2)/2)*DH61+(1-EXP(-LN(2)/2))/(LN(2)/2)*DB62*DE62*VLOOKUP('Données projet'!$B$13,Paramètres!$A$1:$I$89,3,0)*0.475*44/12</f>
        <v>5.0493863629016977E-4</v>
      </c>
      <c r="DI62" s="22">
        <f t="shared" si="15"/>
        <v>13.904599369646007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-5.6843418860808015E-14</v>
      </c>
      <c r="DP62" s="17">
        <f>DO62*VLOOKUP('Données projet'!$B$14,Paramètres!$A$1:$I$89,3,0)*VLOOKUP('Données projet'!$B$14,Paramètres!$A$1:$I$89,5,0)</f>
        <v>-3.1036506698001178E-14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164.0740581424559</v>
      </c>
      <c r="DU62" s="59">
        <f t="shared" si="44"/>
        <v>280.99861170359793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3.7195549917805999</v>
      </c>
      <c r="EB62" s="21">
        <f>EXP(-LN(2)/25)*EB61+(1-EXP(-LN(2)/25))/(LN(2)/25)*Calculateur!DW62*Calculateur!DY62*VLOOKUP('Données projet'!$B$14,Paramètres!$A$1:$I$89,3,0)*0.475*44/12</f>
        <v>11.58908466797746</v>
      </c>
      <c r="EC62" s="21">
        <f>EXP(-LN(2)/2)*EC61+(1-EXP(-LN(2)/2))/(LN(2)/2)*DW62*DZ62*VLOOKUP('Données projet'!$B$14,Paramètres!$A$1:$I$89,3,0)*0.475*44/12</f>
        <v>6.5508856651462933E-4</v>
      </c>
      <c r="ED62" s="22">
        <f t="shared" si="18"/>
        <v>15.309294748324573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23.8</v>
      </c>
      <c r="EJ62" s="12">
        <f>IF('Données projet'!$A$192&gt;35,EJ61+EI62-ER61,IF(A62&lt;'Données projet'!$A$192,$EG$205^A62,IF(A62='Données projet'!$A$192,'Données projet'!$B$192,EJ61+EI62-ER61)))</f>
        <v>716.20000000000016</v>
      </c>
      <c r="EK62" s="17">
        <f>EJ62*VLOOKUP('Données projet'!$B$15,Paramètres!$A$1:$I$89,3,0)*VLOOKUP('Données projet'!$B$15,Paramètres!$A$1:$I$89,5,0)</f>
        <v>344.49220000000003</v>
      </c>
      <c r="EL62" s="13">
        <f t="shared" si="45"/>
        <v>80.427353184320381</v>
      </c>
      <c r="EM62" s="20">
        <f t="shared" si="19"/>
        <v>740.06822179602466</v>
      </c>
      <c r="EN62" s="59">
        <f t="shared" si="20"/>
        <v>1033.401555129358</v>
      </c>
      <c r="EO62" s="59">
        <f ca="1">AVERAGE(OFFSET($EN$3,0,0,'Données projet'!$E$15+1,1))-AVERAGE(OFFSET($H$3,0,0,'Données projet'!$E$15+1,1))</f>
        <v>312.1172301514103</v>
      </c>
      <c r="EP62" s="59">
        <f t="shared" si="46"/>
        <v>369.85500533493212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1.5216052355812995</v>
      </c>
      <c r="EW62" s="21">
        <f>EXP(-LN(2)/25)*EW61+(1-EXP(-LN(2)/25))/(LN(2)/25)*Calculateur!ER62*Calculateur!ET62*VLOOKUP('Données projet'!$B$15,Paramètres!$A$1:$I$89,3,0)*0.475*44/12</f>
        <v>6.7303764893103546</v>
      </c>
      <c r="EX62" s="21">
        <f>EXP(-LN(2)/2)*EX61+(1-EXP(-LN(2)/2))/(LN(2)/2)*ER62*EU62*VLOOKUP('Données projet'!$B$15,Paramètres!$A$1:$I$89,3,0)*0.475*44/12</f>
        <v>1.3671093786054758E-3</v>
      </c>
      <c r="EY62" s="22">
        <f t="shared" si="21"/>
        <v>8.253348834270259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-1.7053025658242404E-13</v>
      </c>
      <c r="FF62" s="17">
        <f>FE62*VLOOKUP('Données projet'!$B$16,Paramètres!$A$1:$I$89,3,0)*VLOOKUP('Données projet'!$B$16,Paramètres!$A$1:$I$89,5,0)</f>
        <v>-7.9808160080574461E-14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87.187251664304199</v>
      </c>
      <c r="FK62" s="59">
        <f t="shared" si="48"/>
        <v>148.84938257884147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3.6085905253415844</v>
      </c>
      <c r="FS62" s="21">
        <f>EXP(-LN(2)/2)*FS61+(1-EXP(-LN(2)/2))/(LN(2)/2)*FM62*FP62*VLOOKUP('Données projet'!$B$16,Paramètres!$A$1:$I$89,3,0)*0.475*44/12</f>
        <v>2.6257231477591045E-4</v>
      </c>
      <c r="FT62" s="22">
        <f t="shared" si="24"/>
        <v>3.6088530976563602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17</v>
      </c>
      <c r="FZ62" s="12">
        <f>IF('Données projet'!$A$244&gt;35,FZ61+FY62-GH61,IF(A62&lt;'Données projet'!$A$244,$FW$205^A62,IF(A62='Données projet'!$A$244,'Données projet'!$B$244,FZ61+FY62-GH61)))</f>
        <v>483</v>
      </c>
      <c r="GA62" s="17">
        <f>FZ62*VLOOKUP('Données projet'!$B$17,Paramètres!$A$1:$I$89,3,0)*VLOOKUP('Données projet'!$B$17,Paramètres!$A$1:$I$89,5,0)</f>
        <v>288.834</v>
      </c>
      <c r="GB62" s="13">
        <f t="shared" si="49"/>
        <v>68.830498636563377</v>
      </c>
      <c r="GC62" s="20">
        <f t="shared" si="25"/>
        <v>622.93233512534789</v>
      </c>
      <c r="GD62" s="59">
        <f t="shared" si="26"/>
        <v>916.26566845868115</v>
      </c>
      <c r="GE62" s="59">
        <f ca="1">AVERAGE(OFFSET($GD$3,0,0,'Données projet'!$E$17+1,1))-AVERAGE(OFFSET($H$3,0,0,'Données projet'!$E$17+1,1))</f>
        <v>282.94722676586207</v>
      </c>
      <c r="GF62" s="59">
        <f t="shared" si="50"/>
        <v>310.63647941571298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4.7962225093812458</v>
      </c>
      <c r="GN62" s="21">
        <f>EXP(-LN(2)/2)*GN61+(1-EXP(-LN(2)/2))/(LN(2)/2)*GH62*GK62*VLOOKUP('Données projet'!$B$17,Paramètres!$A$1:$I$89,3,0)*0.475*44/12</f>
        <v>1.1065044195614319E-3</v>
      </c>
      <c r="GO62" s="21">
        <f t="shared" si="27"/>
        <v>4.7973290138008071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3</v>
      </c>
      <c r="GU62" s="12">
        <f>IF('Données projet'!$A$270&gt;35,GU61+GT62-HC61,IF(A62&lt;'Données projet'!$A$270,$GR$205^A62,IF(A62='Données projet'!$A$270,'Données projet'!$B$270,GU61+GT62-HC61)))</f>
        <v>399.99999999999989</v>
      </c>
      <c r="GV62" s="17">
        <f>GU62*VLOOKUP('Données projet'!$B$18,Paramètres!$A$1:$I$89,3,0)*VLOOKUP('Données projet'!$B$18,Paramètres!$A$1:$I$89,5,0)</f>
        <v>239.19999999999993</v>
      </c>
      <c r="GW62" s="13">
        <f t="shared" si="51"/>
        <v>58.267373151570702</v>
      </c>
      <c r="GX62" s="20">
        <f t="shared" si="28"/>
        <v>518.08900823898546</v>
      </c>
      <c r="GY62" s="59">
        <f t="shared" si="29"/>
        <v>811.42234157231883</v>
      </c>
      <c r="GZ62" s="59">
        <f ca="1">AVERAGE(OFFSET($GY$3,0,0,'Données projet'!$E$18+1,1))-AVERAGE(OFFSET($H$3,0,0,'Données projet'!$E$18+1,1))</f>
        <v>255.54398581450459</v>
      </c>
      <c r="HA62" s="59">
        <f t="shared" si="52"/>
        <v>276.52622328061204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2.3931645771793177</v>
      </c>
      <c r="HI62" s="21">
        <f>EXP(-LN(2)/2)*HI61+(1-EXP(-LN(2)/2))/(LN(2)/2)*HC62*HF62*VLOOKUP('Données projet'!$B$18,Paramètres!$A$1:$I$89,3,0)*0.475*44/12</f>
        <v>6.4163915519764624E-4</v>
      </c>
      <c r="HJ62" s="22">
        <f t="shared" si="30"/>
        <v>2.3938062163345153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5.6843418860808015E-14</v>
      </c>
      <c r="O63" s="13">
        <f>N63*VLOOKUP('Données projet'!$B$9,Paramètres!$A$1:$I$89,3,0)*VLOOKUP('Données projet'!$B$9,Paramètres!$A$1:$I$89,5,0)</f>
        <v>4.9658410716801891E-14</v>
      </c>
      <c r="P63" s="13">
        <f t="shared" si="33"/>
        <v>8.0934058173791862E-13</v>
      </c>
      <c r="Q63" s="20">
        <f t="shared" si="53"/>
        <v>1.4960899118586383E-12</v>
      </c>
      <c r="R63" s="59">
        <f t="shared" si="0"/>
        <v>293.33333333333479</v>
      </c>
      <c r="S63" s="59">
        <f ca="1">AVERAGE(OFFSET($R$3,0,0,'Données projet'!$E$9+1,1))-AVERAGE(OFFSET($H$3,0,0,'Données projet'!$E$9+1,1))</f>
        <v>248.50221719467663</v>
      </c>
      <c r="T63" s="59">
        <f t="shared" si="34"/>
        <v>366.09064580347183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4.358303702910896</v>
      </c>
      <c r="AA63" s="21">
        <f>EXP(-LN(2)/25)*AA62+(1-EXP(-LN(2)/25))/(LN(2)/25)*Calculateur!V63*Calculateur!X63*VLOOKUP('Données projet'!$B$9,Paramètres!$A$1:$I$89,3,0)*0.475*44/12</f>
        <v>10.477031353376892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14.835335056287789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247.01039999999992</v>
      </c>
      <c r="AK63" s="13">
        <f t="shared" si="35"/>
        <v>59.945315462121812</v>
      </c>
      <c r="AL63" s="20">
        <f t="shared" si="4"/>
        <v>534.61453776319524</v>
      </c>
      <c r="AM63" s="59">
        <f t="shared" si="5"/>
        <v>827.94787109652862</v>
      </c>
      <c r="AN63" s="59">
        <f ca="1">AVERAGE(OFFSET($AM$3,0,0,'Données projet'!$E$10+1,1))-AVERAGE(OFFSET($H$3,0,0,'Données projet'!$E$10+1,1))</f>
        <v>263.22346936777603</v>
      </c>
      <c r="AO63" s="59">
        <f t="shared" si="36"/>
        <v>217.14714468707939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3.167173873079463</v>
      </c>
      <c r="AW63" s="21">
        <f>EXP(-LN(2)/2)*AW62+(1-EXP(-LN(2)/2))/(LN(2)/2)*AQ63*AT63*VLOOKUP('Données projet'!$B$10,Paramètres!$A$1:$I$89,3,0)*0.475*44/12</f>
        <v>5.4476197649051556E-4</v>
      </c>
      <c r="AX63" s="21">
        <f t="shared" si="6"/>
        <v>3.1677186350559534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297</v>
      </c>
      <c r="BB63" s="12">
        <f>VLOOKUP(A63,'Données projet'!$A$87:$I$107,9,0)</f>
        <v>9.375</v>
      </c>
      <c r="BC63" s="12">
        <f t="array" ref="BC63">INDEX(BB:BB,MIN(IF(ISNUMBER(BB63:BB259),ROW(BB63:BB259),"")))</f>
        <v>9.375</v>
      </c>
      <c r="BD63" s="12">
        <f>IF('Données projet'!$A$88&gt;35,BD62+BC63-BL62,IF(A63&lt;'Données projet'!$A$88,$BA$205^A63,IF(A63='Données projet'!$A$88,'Données projet'!$B$88,BD62+BC63-BL62)))</f>
        <v>296.99999999999989</v>
      </c>
      <c r="BE63" s="13">
        <f>BD63*VLOOKUP('Données projet'!$B$11,Paramètres!$A$1:$I$89,3,0)*VLOOKUP('Données projet'!$B$11,Paramètres!$A$1:$I$89,5,0)</f>
        <v>231.65999999999991</v>
      </c>
      <c r="BF63" s="13">
        <f t="shared" si="37"/>
        <v>56.641461975682766</v>
      </c>
      <c r="BG63" s="20">
        <f t="shared" si="7"/>
        <v>502.125046274314</v>
      </c>
      <c r="BH63" s="59">
        <f t="shared" si="8"/>
        <v>795.45837960764732</v>
      </c>
      <c r="BI63" s="59">
        <f ca="1">AVERAGE(OFFSET($BH$3,0,0,'Données projet'!$E$11+1,1))-AVERAGE(OFFSET($H$3,0,0,'Données projet'!$E$11+1,1))</f>
        <v>219.22204054948094</v>
      </c>
      <c r="BJ63" s="59">
        <f t="shared" si="38"/>
        <v>222.41711966122034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1.3648409166141386</v>
      </c>
      <c r="BR63" s="21">
        <f>EXP(-LN(2)/2)*BR62+(1-EXP(-LN(2)/2))/(LN(2)/2)*BL63*BO63*VLOOKUP('Données projet'!$B$11,Paramètres!$A$1:$I$89,3,0)*0.475*44/12</f>
        <v>9.9795759165423046E-5</v>
      </c>
      <c r="BS63" s="22">
        <f t="shared" si="9"/>
        <v>1.3649407123733042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298</v>
      </c>
      <c r="BW63" s="12">
        <f>VLOOKUP(A63,'Données projet'!$A$113:$I$133,9,0)</f>
        <v>13.4</v>
      </c>
      <c r="BX63" s="12">
        <f t="array" ref="BX63">INDEX(BW:BW,MIN(IF(ISNUMBER(BW63:BW259),ROW(BW63:BW259),"")))</f>
        <v>13.4</v>
      </c>
      <c r="BY63" s="12">
        <f>IF('Données projet'!$A$114&gt;35,BY62+BX63-CG62,IF(A63&lt;'Données projet'!$A$114,$BV$205^A63,IF(A63='Données projet'!$A$114,'Données projet'!$B$114,BY62+BX63-CG62)))</f>
        <v>297.99999999999989</v>
      </c>
      <c r="BZ63" s="13">
        <f>BY63*VLOOKUP('Données projet'!$B$12,Paramètres!$A$1:$I$89,3,0)*VLOOKUP('Données projet'!$B$12,Paramètres!$A$1:$I$89,5,0)</f>
        <v>255.68399999999994</v>
      </c>
      <c r="CA63" s="13">
        <f t="shared" si="39"/>
        <v>61.801486802993999</v>
      </c>
      <c r="CB63" s="20">
        <f t="shared" si="10"/>
        <v>552.95388951521443</v>
      </c>
      <c r="CC63" s="59">
        <f t="shared" si="11"/>
        <v>846.2872228485478</v>
      </c>
      <c r="CD63" s="59">
        <f ca="1">AVERAGE(OFFSET($CC$3,0,0,'Données projet'!$E$12+1,1))-AVERAGE(OFFSET($H$3,0,0,'Données projet'!$E$12+1,1))</f>
        <v>237.27357081252273</v>
      </c>
      <c r="CE63" s="59">
        <f t="shared" si="40"/>
        <v>68.768479693848576</v>
      </c>
      <c r="CF63" s="15">
        <f>IF(ISNA(VLOOKUP(A63,'Données projet'!$A$113:$I$133,3,0)),0,VLOOKUP(A63,'Données projet'!$A$113:$I$133,3,0))</f>
        <v>7</v>
      </c>
      <c r="CG63" s="15">
        <f>IF(ISNA(VLOOKUP(A63,'Données projet'!$A$113:$I$133,4,0)),0,VLOOKUP(A63,'Données projet'!$A$113:$I$133,4,0))</f>
        <v>33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723</v>
      </c>
      <c r="CR63" s="12">
        <f>VLOOKUP(A63,'Données projet'!$A$139:$I$159,9,0)</f>
        <v>16.8</v>
      </c>
      <c r="CS63" s="12">
        <f t="array" ref="CS63">INDEX(CR:CR,MIN(IF(ISNUMBER(CR63:CR259),ROW(CR63:CR259),"")))</f>
        <v>16.8</v>
      </c>
      <c r="CT63" s="12">
        <f>IF('Données projet'!$A$140&gt;35,CT62+CS63-DB62,IF(A63&lt;'Données projet'!$A$140,$CQ$205^A63,IF(A63='Données projet'!$A$140,'Données projet'!$B$140,CT62+CS63-DB62)))</f>
        <v>722.99999999999966</v>
      </c>
      <c r="CU63" s="17">
        <f>CT63*VLOOKUP('Données projet'!$B$13,Paramètres!$A$1:$I$89,3,0)*VLOOKUP('Données projet'!$B$13,Paramètres!$A$1:$I$89,5,0)</f>
        <v>404.15699999999987</v>
      </c>
      <c r="CV63" s="13">
        <f t="shared" si="41"/>
        <v>92.618925393623158</v>
      </c>
      <c r="CW63" s="20">
        <f t="shared" si="13"/>
        <v>865.21807006056008</v>
      </c>
      <c r="CX63" s="59">
        <f t="shared" si="14"/>
        <v>1158.5514033938935</v>
      </c>
      <c r="CY63" s="59">
        <f ca="1">AVERAGE(OFFSET($CX$3,0,0,'Données projet'!$E$13+1,1))-AVERAGE(OFFSET($H$3,0,0,'Données projet'!$E$13+1,1))</f>
        <v>474.03051418249999</v>
      </c>
      <c r="CZ63" s="59">
        <f t="shared" si="42"/>
        <v>649.52271992719091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723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3.0170460682923252</v>
      </c>
      <c r="DG63" s="21">
        <f>EXP(-LN(2)/25)*DG62+(1-EXP(-LN(2)/25))/(LN(2)/25)*Calculateur!DB63*Calculateur!DD63*VLOOKUP('Données projet'!$B$13,Paramètres!$A$1:$I$89,3,0)*0.475*44/12</f>
        <v>10.530645834097401</v>
      </c>
      <c r="DH63" s="21">
        <f>EXP(-LN(2)/2)*DH62+(1-EXP(-LN(2)/2))/(LN(2)/2)*DB63*DE63*VLOOKUP('Données projet'!$B$13,Paramètres!$A$1:$I$89,3,0)*0.475*44/12</f>
        <v>3.5704553380386679E-4</v>
      </c>
      <c r="DI63" s="22">
        <f t="shared" si="15"/>
        <v>13.54804894792353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-5.6843418860808015E-14</v>
      </c>
      <c r="DP63" s="17">
        <f>DO63*VLOOKUP('Données projet'!$B$14,Paramètres!$A$1:$I$89,3,0)*VLOOKUP('Données projet'!$B$14,Paramètres!$A$1:$I$89,5,0)</f>
        <v>-3.1036506698001178E-14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164.0740581424559</v>
      </c>
      <c r="DU63" s="59">
        <f t="shared" si="44"/>
        <v>280.99861170359793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3.6466167870963115</v>
      </c>
      <c r="EB63" s="21">
        <f>EXP(-LN(2)/25)*EB62+(1-EXP(-LN(2)/25))/(LN(2)/25)*Calculateur!DW63*Calculateur!DY63*VLOOKUP('Données projet'!$B$14,Paramètres!$A$1:$I$89,3,0)*0.475*44/12</f>
        <v>11.27218053828814</v>
      </c>
      <c r="EC63" s="21">
        <f>EXP(-LN(2)/2)*EC62+(1-EXP(-LN(2)/2))/(LN(2)/2)*DW63*DZ63*VLOOKUP('Données projet'!$B$14,Paramètres!$A$1:$I$89,3,0)*0.475*44/12</f>
        <v>4.6321756766026914E-4</v>
      </c>
      <c r="ED63" s="22">
        <f t="shared" si="18"/>
        <v>14.919260542952111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740</v>
      </c>
      <c r="EH63" s="12">
        <f>VLOOKUP(A63,'Données projet'!$A$191:$I$211,9,0)</f>
        <v>23.8</v>
      </c>
      <c r="EI63" s="12">
        <f t="array" ref="EI63">INDEX(EH:EH,MIN(IF(ISNUMBER(EH63:EH259),ROW(EH63:EH259),"")))</f>
        <v>23.8</v>
      </c>
      <c r="EJ63" s="12">
        <f>IF('Données projet'!$A$192&gt;35,EJ62+EI63-ER62,IF(A63&lt;'Données projet'!$A$192,$EG$205^A63,IF(A63='Données projet'!$A$192,'Données projet'!$B$192,EJ62+EI63-ER62)))</f>
        <v>740.00000000000011</v>
      </c>
      <c r="EK63" s="17">
        <f>EJ63*VLOOKUP('Données projet'!$B$15,Paramètres!$A$1:$I$89,3,0)*VLOOKUP('Données projet'!$B$15,Paramètres!$A$1:$I$89,5,0)</f>
        <v>355.94000000000005</v>
      </c>
      <c r="EL63" s="13">
        <f t="shared" si="45"/>
        <v>82.784418381290166</v>
      </c>
      <c r="EM63" s="20">
        <f t="shared" si="19"/>
        <v>764.11169534741384</v>
      </c>
      <c r="EN63" s="59">
        <f t="shared" si="20"/>
        <v>1057.4450286807471</v>
      </c>
      <c r="EO63" s="59">
        <f ca="1">AVERAGE(OFFSET($EN$3,0,0,'Données projet'!$E$15+1,1))-AVERAGE(OFFSET($H$3,0,0,'Données projet'!$E$15+1,1))</f>
        <v>312.1172301514103</v>
      </c>
      <c r="EP63" s="59">
        <f t="shared" si="46"/>
        <v>369.85500533493212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740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1.4917674849991029</v>
      </c>
      <c r="EW63" s="21">
        <f>EXP(-LN(2)/25)*EW62+(1-EXP(-LN(2)/25))/(LN(2)/25)*Calculateur!ER63*Calculateur!ET63*VLOOKUP('Données projet'!$B$15,Paramètres!$A$1:$I$89,3,0)*0.475*44/12</f>
        <v>6.5463339902750457</v>
      </c>
      <c r="EX63" s="21">
        <f>EXP(-LN(2)/2)*EX62+(1-EXP(-LN(2)/2))/(LN(2)/2)*ER63*EU63*VLOOKUP('Données projet'!$B$15,Paramètres!$A$1:$I$89,3,0)*0.475*44/12</f>
        <v>9.6669231223565921E-4</v>
      </c>
      <c r="EY63" s="22">
        <f t="shared" si="21"/>
        <v>8.0390681675863842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-1.7053025658242404E-13</v>
      </c>
      <c r="FF63" s="17">
        <f>FE63*VLOOKUP('Données projet'!$B$16,Paramètres!$A$1:$I$89,3,0)*VLOOKUP('Données projet'!$B$16,Paramètres!$A$1:$I$89,5,0)</f>
        <v>-7.9808160080574461E-14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87.187251664304199</v>
      </c>
      <c r="FK63" s="59">
        <f t="shared" si="48"/>
        <v>148.84938257884147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3.5099134276585908</v>
      </c>
      <c r="FS63" s="21">
        <f>EXP(-LN(2)/2)*FS62+(1-EXP(-LN(2)/2))/(LN(2)/2)*FM63*FP63*VLOOKUP('Données projet'!$B$16,Paramètres!$A$1:$I$89,3,0)*0.475*44/12</f>
        <v>1.8566666432989499E-4</v>
      </c>
      <c r="FT63" s="22">
        <f t="shared" si="24"/>
        <v>3.5100990943229209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500</v>
      </c>
      <c r="FX63" s="12">
        <f>VLOOKUP(A63,'Données projet'!$A$243:$I$263,9,0)</f>
        <v>17</v>
      </c>
      <c r="FY63" s="12">
        <f t="array" ref="FY63">INDEX(FX:FX,MIN(IF(ISNUMBER(FX63:FX259),ROW(FX63:FX259),"")))</f>
        <v>17</v>
      </c>
      <c r="FZ63" s="12">
        <f>IF('Données projet'!$A$244&gt;35,FZ62+FY63-GH62,IF(A63&lt;'Données projet'!$A$244,$FW$205^A63,IF(A63='Données projet'!$A$244,'Données projet'!$B$244,FZ62+FY63-GH62)))</f>
        <v>500</v>
      </c>
      <c r="GA63" s="17">
        <f>FZ63*VLOOKUP('Données projet'!$B$17,Paramètres!$A$1:$I$89,3,0)*VLOOKUP('Données projet'!$B$17,Paramètres!$A$1:$I$89,5,0)</f>
        <v>299</v>
      </c>
      <c r="GB63" s="13">
        <f t="shared" si="49"/>
        <v>70.966784344875109</v>
      </c>
      <c r="GC63" s="20">
        <f t="shared" si="25"/>
        <v>644.35881606732414</v>
      </c>
      <c r="GD63" s="59">
        <f t="shared" si="26"/>
        <v>937.6921494006574</v>
      </c>
      <c r="GE63" s="59">
        <f ca="1">AVERAGE(OFFSET($GD$3,0,0,'Données projet'!$E$17+1,1))-AVERAGE(OFFSET($H$3,0,0,'Données projet'!$E$17+1,1))</f>
        <v>282.94722676586207</v>
      </c>
      <c r="GF63" s="59">
        <f t="shared" si="50"/>
        <v>310.63647941571298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32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4.665069552639836</v>
      </c>
      <c r="GN63" s="21">
        <f>EXP(-LN(2)/2)*GN62+(1-EXP(-LN(2)/2))/(LN(2)/2)*GH63*GK63*VLOOKUP('Données projet'!$B$17,Paramètres!$A$1:$I$89,3,0)*0.475*44/12</f>
        <v>7.8241677848477325E-4</v>
      </c>
      <c r="GO63" s="21">
        <f t="shared" si="27"/>
        <v>4.6658519694183207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3</v>
      </c>
      <c r="GU63" s="12">
        <f>IF('Données projet'!$A$270&gt;35,GU62+GT63-HC62,IF(A63&lt;'Données projet'!$A$270,$GR$205^A63,IF(A63='Données projet'!$A$270,'Données projet'!$B$270,GU62+GT63-HC62)))</f>
        <v>402.99999999999989</v>
      </c>
      <c r="GV63" s="17">
        <f>GU63*VLOOKUP('Données projet'!$B$18,Paramètres!$A$1:$I$89,3,0)*VLOOKUP('Données projet'!$B$18,Paramètres!$A$1:$I$89,5,0)</f>
        <v>240.99399999999997</v>
      </c>
      <c r="GW63" s="13">
        <f t="shared" si="51"/>
        <v>58.653342952823401</v>
      </c>
      <c r="GX63" s="20">
        <f t="shared" si="28"/>
        <v>521.88578897616731</v>
      </c>
      <c r="GY63" s="59">
        <f t="shared" si="29"/>
        <v>815.21912230950056</v>
      </c>
      <c r="GZ63" s="59">
        <f ca="1">AVERAGE(OFFSET($GY$3,0,0,'Données projet'!$E$18+1,1))-AVERAGE(OFFSET($H$3,0,0,'Données projet'!$E$18+1,1))</f>
        <v>255.54398581450459</v>
      </c>
      <c r="HA63" s="59">
        <f t="shared" si="52"/>
        <v>276.52622328061204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2.3277233659652938</v>
      </c>
      <c r="HI63" s="21">
        <f>EXP(-LN(2)/2)*HI62+(1-EXP(-LN(2)/2))/(LN(2)/2)*HC63*HF63*VLOOKUP('Données projet'!$B$18,Paramètres!$A$1:$I$89,3,0)*0.475*44/12</f>
        <v>4.5370739771506327E-4</v>
      </c>
      <c r="HJ63" s="22">
        <f t="shared" si="30"/>
        <v>2.3281770733630087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5.6843418860808015E-14</v>
      </c>
      <c r="O64" s="13">
        <f>N64*VLOOKUP('Données projet'!$B$9,Paramètres!$A$1:$I$89,3,0)*VLOOKUP('Données projet'!$B$9,Paramètres!$A$1:$I$89,5,0)</f>
        <v>4.9658410716801891E-14</v>
      </c>
      <c r="P64" s="13">
        <f t="shared" si="33"/>
        <v>8.0934058173791862E-13</v>
      </c>
      <c r="Q64" s="20">
        <f t="shared" si="53"/>
        <v>1.4960899118586383E-12</v>
      </c>
      <c r="R64" s="59">
        <f t="shared" si="0"/>
        <v>293.33333333333479</v>
      </c>
      <c r="S64" s="59">
        <f ca="1">AVERAGE(OFFSET($R$3,0,0,'Données projet'!$E$9+1,1))-AVERAGE(OFFSET($H$3,0,0,'Données projet'!$E$9+1,1))</f>
        <v>248.50221719467663</v>
      </c>
      <c r="T64" s="59">
        <f t="shared" si="34"/>
        <v>366.09064580347183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4.2728400255995869</v>
      </c>
      <c r="AA64" s="21">
        <f>EXP(-LN(2)/25)*AA63+(1-EXP(-LN(2)/25))/(LN(2)/25)*Calculateur!V64*Calculateur!X64*VLOOKUP('Données projet'!$B$9,Paramètres!$A$1:$I$89,3,0)*0.475*44/12</f>
        <v>10.190536380055669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14.463376405655255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229.63823999999994</v>
      </c>
      <c r="AK64" s="13">
        <f t="shared" si="35"/>
        <v>56.204453396569633</v>
      </c>
      <c r="AL64" s="20">
        <f t="shared" si="4"/>
        <v>497.84269099902531</v>
      </c>
      <c r="AM64" s="59">
        <f t="shared" si="5"/>
        <v>791.17602433235857</v>
      </c>
      <c r="AN64" s="59">
        <f ca="1">AVERAGE(OFFSET($AM$3,0,0,'Données projet'!$E$10+1,1))-AVERAGE(OFFSET($H$3,0,0,'Données projet'!$E$10+1,1))</f>
        <v>263.22346936777603</v>
      </c>
      <c r="AO64" s="59">
        <f t="shared" si="36"/>
        <v>217.14714468707939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3.0805673369656699</v>
      </c>
      <c r="AW64" s="21">
        <f>EXP(-LN(2)/2)*AW63+(1-EXP(-LN(2)/2))/(LN(2)/2)*AQ64*AT64*VLOOKUP('Données projet'!$B$10,Paramètres!$A$1:$I$89,3,0)*0.475*44/12</f>
        <v>3.8520488770903014E-4</v>
      </c>
      <c r="AX64" s="21">
        <f t="shared" si="6"/>
        <v>3.080952541853379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8.6666666666666661</v>
      </c>
      <c r="BD64" s="12">
        <f>IF('Données projet'!$A$88&gt;35,BD63+BC64-BL63,IF(A64&lt;'Données projet'!$A$88,$BA$205^A64,IF(A64='Données projet'!$A$88,'Données projet'!$B$88,BD63+BC64-BL63)))</f>
        <v>258.66666666666657</v>
      </c>
      <c r="BE64" s="13">
        <f>BD64*VLOOKUP('Données projet'!$B$11,Paramètres!$A$1:$I$89,3,0)*VLOOKUP('Données projet'!$B$11,Paramètres!$A$1:$I$89,5,0)</f>
        <v>201.75999999999993</v>
      </c>
      <c r="BF64" s="13">
        <f t="shared" si="37"/>
        <v>50.130765000424169</v>
      </c>
      <c r="BG64" s="20">
        <f t="shared" si="7"/>
        <v>438.70974904240529</v>
      </c>
      <c r="BH64" s="59">
        <f t="shared" si="8"/>
        <v>732.04308237573855</v>
      </c>
      <c r="BI64" s="59">
        <f ca="1">AVERAGE(OFFSET($BH$3,0,0,'Données projet'!$E$11+1,1))-AVERAGE(OFFSET($H$3,0,0,'Données projet'!$E$11+1,1))</f>
        <v>219.22204054948094</v>
      </c>
      <c r="BJ64" s="59">
        <f t="shared" si="38"/>
        <v>222.41711966122034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1.3275192699754605</v>
      </c>
      <c r="BR64" s="21">
        <f>EXP(-LN(2)/2)*BR63+(1-EXP(-LN(2)/2))/(LN(2)/2)*BL64*BO64*VLOOKUP('Données projet'!$B$11,Paramètres!$A$1:$I$89,3,0)*0.475*44/12</f>
        <v>7.0566258039530188E-5</v>
      </c>
      <c r="BS64" s="22">
        <f t="shared" si="9"/>
        <v>1.3275898362335001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13.4</v>
      </c>
      <c r="BY64" s="12">
        <f>IF('Données projet'!$A$114&gt;35,BY63+BX64-CG63,IF(A64&lt;'Données projet'!$A$114,$BV$205^A64,IF(A64='Données projet'!$A$114,'Données projet'!$B$114,BY63+BX64-CG63)))</f>
        <v>278.39999999999986</v>
      </c>
      <c r="BZ64" s="13">
        <f>BY64*VLOOKUP('Données projet'!$B$12,Paramètres!$A$1:$I$89,3,0)*VLOOKUP('Données projet'!$B$12,Paramètres!$A$1:$I$89,5,0)</f>
        <v>238.86719999999994</v>
      </c>
      <c r="CA64" s="13">
        <f t="shared" si="39"/>
        <v>58.195735973104156</v>
      </c>
      <c r="CB64" s="20">
        <f t="shared" si="10"/>
        <v>517.38461348648957</v>
      </c>
      <c r="CC64" s="59">
        <f t="shared" si="11"/>
        <v>810.71794681982283</v>
      </c>
      <c r="CD64" s="59">
        <f ca="1">AVERAGE(OFFSET($CC$3,0,0,'Données projet'!$E$12+1,1))-AVERAGE(OFFSET($H$3,0,0,'Données projet'!$E$12+1,1))</f>
        <v>237.27357081252273</v>
      </c>
      <c r="CE64" s="59">
        <f t="shared" si="40"/>
        <v>68.768479693848576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-3.4106051316484809E-13</v>
      </c>
      <c r="CU64" s="17">
        <f>CT64*VLOOKUP('Données projet'!$B$13,Paramètres!$A$1:$I$89,3,0)*VLOOKUP('Données projet'!$B$13,Paramètres!$A$1:$I$89,5,0)</f>
        <v>-1.9065282685915009E-13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474.03051418249999</v>
      </c>
      <c r="CZ64" s="59">
        <f t="shared" si="42"/>
        <v>649.52271992719091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2.9578836351095079</v>
      </c>
      <c r="DG64" s="21">
        <f>EXP(-LN(2)/25)*DG63+(1-EXP(-LN(2)/25))/(LN(2)/25)*Calculateur!DB64*Calculateur!DD64*VLOOKUP('Données projet'!$B$13,Paramètres!$A$1:$I$89,3,0)*0.475*44/12</f>
        <v>10.242684769981411</v>
      </c>
      <c r="DH64" s="21">
        <f>EXP(-LN(2)/2)*DH63+(1-EXP(-LN(2)/2))/(LN(2)/2)*DB64*DE64*VLOOKUP('Données projet'!$B$13,Paramètres!$A$1:$I$89,3,0)*0.475*44/12</f>
        <v>2.5246931814508489E-4</v>
      </c>
      <c r="DI64" s="22">
        <f t="shared" si="15"/>
        <v>13.200820874409064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-5.6843418860808015E-14</v>
      </c>
      <c r="DP64" s="17">
        <f>DO64*VLOOKUP('Données projet'!$B$14,Paramètres!$A$1:$I$89,3,0)*VLOOKUP('Données projet'!$B$14,Paramètres!$A$1:$I$89,5,0)</f>
        <v>-3.1036506698001178E-14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164.0740581424559</v>
      </c>
      <c r="DU64" s="59">
        <f t="shared" si="44"/>
        <v>280.99861170359793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3.57510885611797</v>
      </c>
      <c r="EB64" s="21">
        <f>EXP(-LN(2)/25)*EB63+(1-EXP(-LN(2)/25))/(LN(2)/25)*Calculateur!DW64*Calculateur!DY64*VLOOKUP('Données projet'!$B$14,Paramètres!$A$1:$I$89,3,0)*0.475*44/12</f>
        <v>10.963942168690439</v>
      </c>
      <c r="EC64" s="21">
        <f>EXP(-LN(2)/2)*EC63+(1-EXP(-LN(2)/2))/(LN(2)/2)*DW64*DZ64*VLOOKUP('Données projet'!$B$14,Paramètres!$A$1:$I$89,3,0)*0.475*44/12</f>
        <v>3.2754428325731472E-4</v>
      </c>
      <c r="ED64" s="22">
        <f t="shared" si="18"/>
        <v>14.539378569091665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1.1368683772161603E-13</v>
      </c>
      <c r="EK64" s="17">
        <f>EJ64*VLOOKUP('Données projet'!$B$15,Paramètres!$A$1:$I$89,3,0)*VLOOKUP('Données projet'!$B$15,Paramètres!$A$1:$I$89,5,0)</f>
        <v>5.4683368944097308E-14</v>
      </c>
      <c r="EL64" s="13">
        <f t="shared" si="45"/>
        <v>8.8129432816788268E-13</v>
      </c>
      <c r="EM64" s="20">
        <f t="shared" si="19"/>
        <v>1.6301611558033651E-12</v>
      </c>
      <c r="EN64" s="59">
        <f t="shared" si="20"/>
        <v>293.33333333333496</v>
      </c>
      <c r="EO64" s="59">
        <f ca="1">AVERAGE(OFFSET($EN$3,0,0,'Données projet'!$E$15+1,1))-AVERAGE(OFFSET($H$3,0,0,'Données projet'!$E$15+1,1))</f>
        <v>312.1172301514103</v>
      </c>
      <c r="EP64" s="59">
        <f t="shared" si="46"/>
        <v>369.85500533493212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1.4625148345065924</v>
      </c>
      <c r="EW64" s="21">
        <f>EXP(-LN(2)/25)*EW63+(1-EXP(-LN(2)/25))/(LN(2)/25)*Calculateur!ER64*Calculateur!ET64*VLOOKUP('Données projet'!$B$15,Paramètres!$A$1:$I$89,3,0)*0.475*44/12</f>
        <v>6.3673241430542316</v>
      </c>
      <c r="EX64" s="21">
        <f>EXP(-LN(2)/2)*EX63+(1-EXP(-LN(2)/2))/(LN(2)/2)*ER64*EU64*VLOOKUP('Données projet'!$B$15,Paramètres!$A$1:$I$89,3,0)*0.475*44/12</f>
        <v>6.83554689302738E-4</v>
      </c>
      <c r="EY64" s="22">
        <f t="shared" si="21"/>
        <v>7.8305225322501268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-1.7053025658242404E-13</v>
      </c>
      <c r="FF64" s="17">
        <f>FE64*VLOOKUP('Données projet'!$B$16,Paramètres!$A$1:$I$89,3,0)*VLOOKUP('Données projet'!$B$16,Paramètres!$A$1:$I$89,5,0)</f>
        <v>-7.9808160080574461E-14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87.187251664304199</v>
      </c>
      <c r="FK64" s="59">
        <f t="shared" si="48"/>
        <v>148.84938257884147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3.4139346604009417</v>
      </c>
      <c r="FS64" s="21">
        <f>EXP(-LN(2)/2)*FS63+(1-EXP(-LN(2)/2))/(LN(2)/2)*FM64*FP64*VLOOKUP('Données projet'!$B$16,Paramètres!$A$1:$I$89,3,0)*0.475*44/12</f>
        <v>1.3128615738795522E-4</v>
      </c>
      <c r="FT64" s="22">
        <f t="shared" si="24"/>
        <v>3.4140659465583298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17.399999999999999</v>
      </c>
      <c r="FZ64" s="12">
        <f>IF('Données projet'!$A$244&gt;35,FZ63+FY64-GH63,IF(A64&lt;'Données projet'!$A$244,$FW$205^A64,IF(A64='Données projet'!$A$244,'Données projet'!$B$244,FZ63+FY64-GH63)))</f>
        <v>485.4</v>
      </c>
      <c r="GA64" s="17">
        <f>FZ64*VLOOKUP('Données projet'!$B$17,Paramètres!$A$1:$I$89,3,0)*VLOOKUP('Données projet'!$B$17,Paramètres!$A$1:$I$89,5,0)</f>
        <v>290.26920000000001</v>
      </c>
      <c r="GB64" s="13">
        <f t="shared" si="49"/>
        <v>69.13261576818384</v>
      </c>
      <c r="GC64" s="20">
        <f t="shared" si="25"/>
        <v>625.95816246292009</v>
      </c>
      <c r="GD64" s="59">
        <f t="shared" si="26"/>
        <v>919.29149579625346</v>
      </c>
      <c r="GE64" s="59">
        <f ca="1">AVERAGE(OFFSET($GD$3,0,0,'Données projet'!$E$17+1,1))-AVERAGE(OFFSET($H$3,0,0,'Données projet'!$E$17+1,1))</f>
        <v>282.94722676586207</v>
      </c>
      <c r="GF64" s="59">
        <f t="shared" si="50"/>
        <v>310.63647941571298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4.5375029803975542</v>
      </c>
      <c r="GN64" s="21">
        <f>EXP(-LN(2)/2)*GN63+(1-EXP(-LN(2)/2))/(LN(2)/2)*GH64*GK64*VLOOKUP('Données projet'!$B$17,Paramètres!$A$1:$I$89,3,0)*0.475*44/12</f>
        <v>5.5325220978071597E-4</v>
      </c>
      <c r="GO64" s="21">
        <f t="shared" si="27"/>
        <v>4.5380562326073353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3</v>
      </c>
      <c r="GU64" s="12">
        <f>IF('Données projet'!$A$270&gt;35,GU63+GT64-HC63,IF(A64&lt;'Données projet'!$A$270,$GR$205^A64,IF(A64='Données projet'!$A$270,'Données projet'!$B$270,GU63+GT64-HC63)))</f>
        <v>405.99999999999989</v>
      </c>
      <c r="GV64" s="17">
        <f>GU64*VLOOKUP('Données projet'!$B$18,Paramètres!$A$1:$I$89,3,0)*VLOOKUP('Données projet'!$B$18,Paramètres!$A$1:$I$89,5,0)</f>
        <v>242.78799999999995</v>
      </c>
      <c r="GW64" s="13">
        <f t="shared" si="51"/>
        <v>59.038978452354506</v>
      </c>
      <c r="GX64" s="20">
        <f t="shared" si="28"/>
        <v>525.68198747118402</v>
      </c>
      <c r="GY64" s="59">
        <f t="shared" si="29"/>
        <v>819.01532080451739</v>
      </c>
      <c r="GZ64" s="59">
        <f ca="1">AVERAGE(OFFSET($GY$3,0,0,'Données projet'!$E$18+1,1))-AVERAGE(OFFSET($H$3,0,0,'Données projet'!$E$18+1,1))</f>
        <v>255.54398581450459</v>
      </c>
      <c r="HA64" s="59">
        <f t="shared" si="52"/>
        <v>276.52622328061204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2.2640716481133212</v>
      </c>
      <c r="HI64" s="21">
        <f>EXP(-LN(2)/2)*HI63+(1-EXP(-LN(2)/2))/(LN(2)/2)*HC64*HF64*VLOOKUP('Données projet'!$B$18,Paramètres!$A$1:$I$89,3,0)*0.475*44/12</f>
        <v>3.2081957759882317E-4</v>
      </c>
      <c r="HJ64" s="22">
        <f t="shared" si="30"/>
        <v>2.2643924676909202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5.6843418860808015E-14</v>
      </c>
      <c r="O65" s="13">
        <f>N65*VLOOKUP('Données projet'!$B$9,Paramètres!$A$1:$I$89,3,0)*VLOOKUP('Données projet'!$B$9,Paramètres!$A$1:$I$89,5,0)</f>
        <v>4.9658410716801891E-14</v>
      </c>
      <c r="P65" s="13">
        <f t="shared" si="33"/>
        <v>8.0934058173791862E-13</v>
      </c>
      <c r="Q65" s="20">
        <f t="shared" si="53"/>
        <v>1.4960899118586383E-12</v>
      </c>
      <c r="R65" s="59">
        <f t="shared" si="0"/>
        <v>293.33333333333479</v>
      </c>
      <c r="S65" s="59">
        <f ca="1">AVERAGE(OFFSET($R$3,0,0,'Données projet'!$E$9+1,1))-AVERAGE(OFFSET($H$3,0,0,'Données projet'!$E$9+1,1))</f>
        <v>248.50221719467663</v>
      </c>
      <c r="T65" s="59">
        <f t="shared" si="34"/>
        <v>366.09064580347183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4.1890522388726561</v>
      </c>
      <c r="AA65" s="21">
        <f>EXP(-LN(2)/25)*AA64+(1-EXP(-LN(2)/25))/(LN(2)/25)*Calculateur!V65*Calculateur!X65*VLOOKUP('Données projet'!$B$9,Paramètres!$A$1:$I$89,3,0)*0.475*44/12</f>
        <v>9.9118756268460295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14.100927865718685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237.60047999999995</v>
      </c>
      <c r="AK65" s="13">
        <f t="shared" si="35"/>
        <v>57.922960533442058</v>
      </c>
      <c r="AL65" s="20">
        <f t="shared" si="4"/>
        <v>514.70332559574479</v>
      </c>
      <c r="AM65" s="59">
        <f t="shared" si="5"/>
        <v>808.03665892907816</v>
      </c>
      <c r="AN65" s="59">
        <f ca="1">AVERAGE(OFFSET($AM$3,0,0,'Données projet'!$E$10+1,1))-AVERAGE(OFFSET($H$3,0,0,'Données projet'!$E$10+1,1))</f>
        <v>263.22346936777603</v>
      </c>
      <c r="AO65" s="59">
        <f t="shared" si="36"/>
        <v>217.14714468707939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2.9963290611363482</v>
      </c>
      <c r="AW65" s="21">
        <f>EXP(-LN(2)/2)*AW64+(1-EXP(-LN(2)/2))/(LN(2)/2)*AQ65*AT65*VLOOKUP('Données projet'!$B$10,Paramètres!$A$1:$I$89,3,0)*0.475*44/12</f>
        <v>2.7238098824525778E-4</v>
      </c>
      <c r="AX65" s="21">
        <f t="shared" si="6"/>
        <v>2.9966014421245935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8.6666666666666661</v>
      </c>
      <c r="BD65" s="12">
        <f>IF('Données projet'!$A$88&gt;35,BD64+BC65-BL64,IF(A65&lt;'Données projet'!$A$88,$BA$205^A65,IF(A65='Données projet'!$A$88,'Données projet'!$B$88,BD64+BC65-BL64)))</f>
        <v>267.33333333333326</v>
      </c>
      <c r="BE65" s="13">
        <f>BD65*VLOOKUP('Données projet'!$B$11,Paramètres!$A$1:$I$89,3,0)*VLOOKUP('Données projet'!$B$11,Paramètres!$A$1:$I$89,5,0)</f>
        <v>208.51999999999995</v>
      </c>
      <c r="BF65" s="13">
        <f t="shared" si="37"/>
        <v>51.612035456318459</v>
      </c>
      <c r="BG65" s="20">
        <f t="shared" si="7"/>
        <v>453.06329508642119</v>
      </c>
      <c r="BH65" s="59">
        <f t="shared" si="8"/>
        <v>746.39662841975451</v>
      </c>
      <c r="BI65" s="59">
        <f ca="1">AVERAGE(OFFSET($BH$3,0,0,'Données projet'!$E$11+1,1))-AVERAGE(OFFSET($H$3,0,0,'Données projet'!$E$11+1,1))</f>
        <v>219.22204054948094</v>
      </c>
      <c r="BJ65" s="59">
        <f t="shared" si="38"/>
        <v>222.41711966122034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1.2912181857267773</v>
      </c>
      <c r="BR65" s="21">
        <f>EXP(-LN(2)/2)*BR64+(1-EXP(-LN(2)/2))/(LN(2)/2)*BL65*BO65*VLOOKUP('Données projet'!$B$11,Paramètres!$A$1:$I$89,3,0)*0.475*44/12</f>
        <v>4.9897879582711523E-5</v>
      </c>
      <c r="BS65" s="22">
        <f t="shared" si="9"/>
        <v>1.2912680836063599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13.4</v>
      </c>
      <c r="BY65" s="12">
        <f>IF('Données projet'!$A$114&gt;35,BY64+BX65-CG64,IF(A65&lt;'Données projet'!$A$114,$BV$205^A65,IF(A65='Données projet'!$A$114,'Données projet'!$B$114,BY64+BX65-CG64)))</f>
        <v>291.79999999999984</v>
      </c>
      <c r="BZ65" s="13">
        <f>BY65*VLOOKUP('Données projet'!$B$12,Paramètres!$A$1:$I$89,3,0)*VLOOKUP('Données projet'!$B$12,Paramètres!$A$1:$I$89,5,0)</f>
        <v>250.3643999999999</v>
      </c>
      <c r="CA65" s="13">
        <f t="shared" si="39"/>
        <v>60.663965011943425</v>
      </c>
      <c r="CB65" s="20">
        <f t="shared" si="10"/>
        <v>541.70773572913458</v>
      </c>
      <c r="CC65" s="59">
        <f t="shared" si="11"/>
        <v>835.04106906246784</v>
      </c>
      <c r="CD65" s="59">
        <f ca="1">AVERAGE(OFFSET($CC$3,0,0,'Données projet'!$E$12+1,1))-AVERAGE(OFFSET($H$3,0,0,'Données projet'!$E$12+1,1))</f>
        <v>237.27357081252273</v>
      </c>
      <c r="CE65" s="59">
        <f t="shared" si="40"/>
        <v>68.768479693848576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-3.4106051316484809E-13</v>
      </c>
      <c r="CU65" s="17">
        <f>CT65*VLOOKUP('Données projet'!$B$13,Paramètres!$A$1:$I$89,3,0)*VLOOKUP('Données projet'!$B$13,Paramètres!$A$1:$I$89,5,0)</f>
        <v>-1.9065282685915009E-13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474.03051418249999</v>
      </c>
      <c r="CZ65" s="59">
        <f t="shared" si="42"/>
        <v>649.52271992719091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2.8998813411558846</v>
      </c>
      <c r="DG65" s="21">
        <f>EXP(-LN(2)/25)*DG64+(1-EXP(-LN(2)/25))/(LN(2)/25)*Calculateur!DB65*Calculateur!DD65*VLOOKUP('Données projet'!$B$13,Paramètres!$A$1:$I$89,3,0)*0.475*44/12</f>
        <v>9.9625980163068864</v>
      </c>
      <c r="DH65" s="21">
        <f>EXP(-LN(2)/2)*DH64+(1-EXP(-LN(2)/2))/(LN(2)/2)*DB65*DE65*VLOOKUP('Données projet'!$B$13,Paramètres!$A$1:$I$89,3,0)*0.475*44/12</f>
        <v>1.7852276690193339E-4</v>
      </c>
      <c r="DI65" s="22">
        <f t="shared" si="15"/>
        <v>12.862657880229673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-5.6843418860808015E-14</v>
      </c>
      <c r="DP65" s="17">
        <f>DO65*VLOOKUP('Données projet'!$B$14,Paramètres!$A$1:$I$89,3,0)*VLOOKUP('Données projet'!$B$14,Paramètres!$A$1:$I$89,5,0)</f>
        <v>-3.1036506698001178E-14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164.0740581424559</v>
      </c>
      <c r="DU65" s="59">
        <f t="shared" si="44"/>
        <v>280.99861170359793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3.5050031520505822</v>
      </c>
      <c r="EB65" s="21">
        <f>EXP(-LN(2)/25)*EB64+(1-EXP(-LN(2)/25))/(LN(2)/25)*Calculateur!DW65*Calculateur!DY65*VLOOKUP('Données projet'!$B$14,Paramètres!$A$1:$I$89,3,0)*0.475*44/12</f>
        <v>10.664132593518939</v>
      </c>
      <c r="EC65" s="21">
        <f>EXP(-LN(2)/2)*EC64+(1-EXP(-LN(2)/2))/(LN(2)/2)*DW65*DZ65*VLOOKUP('Données projet'!$B$14,Paramètres!$A$1:$I$89,3,0)*0.475*44/12</f>
        <v>2.316087838301346E-4</v>
      </c>
      <c r="ED65" s="22">
        <f t="shared" si="18"/>
        <v>14.169367354353351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1.1368683772161603E-13</v>
      </c>
      <c r="EK65" s="17">
        <f>EJ65*VLOOKUP('Données projet'!$B$15,Paramètres!$A$1:$I$89,3,0)*VLOOKUP('Données projet'!$B$15,Paramètres!$A$1:$I$89,5,0)</f>
        <v>5.4683368944097308E-14</v>
      </c>
      <c r="EL65" s="13">
        <f t="shared" si="45"/>
        <v>8.8129432816788268E-13</v>
      </c>
      <c r="EM65" s="20">
        <f t="shared" si="19"/>
        <v>1.6301611558033651E-12</v>
      </c>
      <c r="EN65" s="59">
        <f t="shared" si="20"/>
        <v>293.33333333333496</v>
      </c>
      <c r="EO65" s="59">
        <f ca="1">AVERAGE(OFFSET($EN$3,0,0,'Données projet'!$E$15+1,1))-AVERAGE(OFFSET($H$3,0,0,'Données projet'!$E$15+1,1))</f>
        <v>312.1172301514103</v>
      </c>
      <c r="EP65" s="59">
        <f t="shared" si="46"/>
        <v>369.85500533493212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1.433835810647885</v>
      </c>
      <c r="EW65" s="21">
        <f>EXP(-LN(2)/25)*EW64+(1-EXP(-LN(2)/25))/(LN(2)/25)*Calculateur!ER65*Calculateur!ET65*VLOOKUP('Données projet'!$B$15,Paramètres!$A$1:$I$89,3,0)*0.475*44/12</f>
        <v>6.19320932951939</v>
      </c>
      <c r="EX65" s="21">
        <f>EXP(-LN(2)/2)*EX64+(1-EXP(-LN(2)/2))/(LN(2)/2)*ER65*EU65*VLOOKUP('Données projet'!$B$15,Paramètres!$A$1:$I$89,3,0)*0.475*44/12</f>
        <v>4.8334615611782966E-4</v>
      </c>
      <c r="EY65" s="22">
        <f t="shared" si="21"/>
        <v>7.627528486323393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-1.7053025658242404E-13</v>
      </c>
      <c r="FF65" s="17">
        <f>FE65*VLOOKUP('Données projet'!$B$16,Paramètres!$A$1:$I$89,3,0)*VLOOKUP('Données projet'!$B$16,Paramètres!$A$1:$I$89,5,0)</f>
        <v>-7.9808160080574461E-14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87.187251664304199</v>
      </c>
      <c r="FK65" s="59">
        <f t="shared" si="48"/>
        <v>148.84938257884147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3.3205804375812566</v>
      </c>
      <c r="FS65" s="21">
        <f>EXP(-LN(2)/2)*FS64+(1-EXP(-LN(2)/2))/(LN(2)/2)*FM65*FP65*VLOOKUP('Données projet'!$B$16,Paramètres!$A$1:$I$89,3,0)*0.475*44/12</f>
        <v>9.2833332164947495E-5</v>
      </c>
      <c r="FT65" s="22">
        <f t="shared" si="24"/>
        <v>3.3206732709134217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17.399999999999999</v>
      </c>
      <c r="FZ65" s="12">
        <f>IF('Données projet'!$A$244&gt;35,FZ64+FY65-GH64,IF(A65&lt;'Données projet'!$A$244,$FW$205^A65,IF(A65='Données projet'!$A$244,'Données projet'!$B$244,FZ64+FY65-GH64)))</f>
        <v>502.79999999999995</v>
      </c>
      <c r="GA65" s="17">
        <f>FZ65*VLOOKUP('Données projet'!$B$17,Paramètres!$A$1:$I$89,3,0)*VLOOKUP('Données projet'!$B$17,Paramètres!$A$1:$I$89,5,0)</f>
        <v>300.67439999999999</v>
      </c>
      <c r="GB65" s="13">
        <f t="shared" si="49"/>
        <v>71.317825137860439</v>
      </c>
      <c r="GC65" s="20">
        <f t="shared" si="25"/>
        <v>647.88645878177363</v>
      </c>
      <c r="GD65" s="59">
        <f t="shared" si="26"/>
        <v>941.21979211510688</v>
      </c>
      <c r="GE65" s="59">
        <f ca="1">AVERAGE(OFFSET($GD$3,0,0,'Données projet'!$E$17+1,1))-AVERAGE(OFFSET($H$3,0,0,'Données projet'!$E$17+1,1))</f>
        <v>282.94722676586207</v>
      </c>
      <c r="GF65" s="59">
        <f t="shared" si="50"/>
        <v>310.63647941571298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4.4134247227816719</v>
      </c>
      <c r="GN65" s="21">
        <f>EXP(-LN(2)/2)*GN64+(1-EXP(-LN(2)/2))/(LN(2)/2)*GH65*GK65*VLOOKUP('Données projet'!$B$17,Paramètres!$A$1:$I$89,3,0)*0.475*44/12</f>
        <v>3.9120838924238663E-4</v>
      </c>
      <c r="GO65" s="21">
        <f t="shared" si="27"/>
        <v>4.4138159311709142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>
        <f>VLOOKUP(A65,'Données projet'!$A$269:$I$289,2,0)</f>
        <v>409</v>
      </c>
      <c r="GS65" s="12">
        <f>VLOOKUP(A65,'Données projet'!$A$269:$I$289,9,0)</f>
        <v>3</v>
      </c>
      <c r="GT65" s="12">
        <f t="array" ref="GT65">INDEX(GS:GS,MIN(IF(ISNUMBER(GS65:GS261),ROW(GS65:GS261),"")))</f>
        <v>3</v>
      </c>
      <c r="GU65" s="12">
        <f>IF('Données projet'!$A$270&gt;35,GU64+GT65-HC64,IF(A65&lt;'Données projet'!$A$270,$GR$205^A65,IF(A65='Données projet'!$A$270,'Données projet'!$B$270,GU64+GT65-HC64)))</f>
        <v>408.99999999999989</v>
      </c>
      <c r="GV65" s="17">
        <f>GU65*VLOOKUP('Données projet'!$B$18,Paramètres!$A$1:$I$89,3,0)*VLOOKUP('Données projet'!$B$18,Paramètres!$A$1:$I$89,5,0)</f>
        <v>244.58199999999997</v>
      </c>
      <c r="GW65" s="13">
        <f t="shared" si="51"/>
        <v>59.424282406770885</v>
      </c>
      <c r="GX65" s="20">
        <f t="shared" si="28"/>
        <v>529.4776085251259</v>
      </c>
      <c r="GY65" s="59">
        <f t="shared" si="29"/>
        <v>822.81094185845927</v>
      </c>
      <c r="GZ65" s="59">
        <f ca="1">AVERAGE(OFFSET($GY$3,0,0,'Données projet'!$E$18+1,1))-AVERAGE(OFFSET($H$3,0,0,'Données projet'!$E$18+1,1))</f>
        <v>255.54398581450459</v>
      </c>
      <c r="HA65" s="59">
        <f t="shared" si="52"/>
        <v>276.52622328061204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409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2.2021604898333091</v>
      </c>
      <c r="HI65" s="21">
        <f>EXP(-LN(2)/2)*HI64+(1-EXP(-LN(2)/2))/(LN(2)/2)*HC65*HF65*VLOOKUP('Données projet'!$B$18,Paramètres!$A$1:$I$89,3,0)*0.475*44/12</f>
        <v>2.2685369885753166E-4</v>
      </c>
      <c r="HJ65" s="22">
        <f t="shared" si="30"/>
        <v>2.2023873435321666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5.6843418860808015E-14</v>
      </c>
      <c r="O66" s="13">
        <f>N66*VLOOKUP('Données projet'!$B$9,Paramètres!$A$1:$I$89,3,0)*VLOOKUP('Données projet'!$B$9,Paramètres!$A$1:$I$89,5,0)</f>
        <v>4.9658410716801891E-14</v>
      </c>
      <c r="P66" s="13">
        <f t="shared" si="33"/>
        <v>8.0934058173791862E-13</v>
      </c>
      <c r="Q66" s="20">
        <f t="shared" si="53"/>
        <v>1.4960899118586383E-12</v>
      </c>
      <c r="R66" s="59">
        <f t="shared" si="0"/>
        <v>293.33333333333479</v>
      </c>
      <c r="S66" s="59">
        <f ca="1">AVERAGE(OFFSET($R$3,0,0,'Données projet'!$E$9+1,1))-AVERAGE(OFFSET($H$3,0,0,'Données projet'!$E$9+1,1))</f>
        <v>248.50221719467663</v>
      </c>
      <c r="T66" s="59">
        <f t="shared" si="34"/>
        <v>366.09064580347183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4.106907479537937</v>
      </c>
      <c r="AA66" s="21">
        <f>EXP(-LN(2)/25)*AA65+(1-EXP(-LN(2)/25))/(LN(2)/25)*Calculateur!V66*Calculateur!X66*VLOOKUP('Données projet'!$B$9,Paramètres!$A$1:$I$89,3,0)*0.475*44/12</f>
        <v>9.6408348665870403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13.747742346124976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245.56271999999998</v>
      </c>
      <c r="AK66" s="13">
        <f t="shared" si="35"/>
        <v>59.634776048276898</v>
      </c>
      <c r="AL66" s="20">
        <f t="shared" si="4"/>
        <v>531.55230561741564</v>
      </c>
      <c r="AM66" s="59">
        <f t="shared" si="5"/>
        <v>824.8856389507489</v>
      </c>
      <c r="AN66" s="59">
        <f ca="1">AVERAGE(OFFSET($AM$3,0,0,'Données projet'!$E$10+1,1))-AVERAGE(OFFSET($H$3,0,0,'Données projet'!$E$10+1,1))</f>
        <v>263.22346936777603</v>
      </c>
      <c r="AO66" s="59">
        <f t="shared" si="36"/>
        <v>217.14714468707939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2.9143942853894775</v>
      </c>
      <c r="AW66" s="21">
        <f>EXP(-LN(2)/2)*AW65+(1-EXP(-LN(2)/2))/(LN(2)/2)*AQ66*AT66*VLOOKUP('Données projet'!$B$10,Paramètres!$A$1:$I$89,3,0)*0.475*44/12</f>
        <v>1.9260244385451507E-4</v>
      </c>
      <c r="AX66" s="21">
        <f t="shared" si="6"/>
        <v>2.9145868878333321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8.6666666666666661</v>
      </c>
      <c r="BD66" s="12">
        <f>IF('Données projet'!$A$88&gt;35,BD65+BC66-BL65,IF(A66&lt;'Données projet'!$A$88,$BA$205^A66,IF(A66='Données projet'!$A$88,'Données projet'!$B$88,BD65+BC66-BL65)))</f>
        <v>275.99999999999994</v>
      </c>
      <c r="BE66" s="13">
        <f>BD66*VLOOKUP('Données projet'!$B$11,Paramètres!$A$1:$I$89,3,0)*VLOOKUP('Données projet'!$B$11,Paramètres!$A$1:$I$89,5,0)</f>
        <v>215.27999999999997</v>
      </c>
      <c r="BF66" s="13">
        <f t="shared" si="37"/>
        <v>53.087725740853138</v>
      </c>
      <c r="BG66" s="20">
        <f t="shared" si="7"/>
        <v>467.40712233198587</v>
      </c>
      <c r="BH66" s="59">
        <f t="shared" si="8"/>
        <v>760.74045566531913</v>
      </c>
      <c r="BI66" s="59">
        <f ca="1">AVERAGE(OFFSET($BH$3,0,0,'Données projet'!$E$11+1,1))-AVERAGE(OFFSET($H$3,0,0,'Données projet'!$E$11+1,1))</f>
        <v>219.22204054948094</v>
      </c>
      <c r="BJ66" s="59">
        <f t="shared" si="38"/>
        <v>222.41711966122034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1.2559097565358652</v>
      </c>
      <c r="BR66" s="21">
        <f>EXP(-LN(2)/2)*BR65+(1-EXP(-LN(2)/2))/(LN(2)/2)*BL66*BO66*VLOOKUP('Données projet'!$B$11,Paramètres!$A$1:$I$89,3,0)*0.475*44/12</f>
        <v>3.5283129019765094E-5</v>
      </c>
      <c r="BS66" s="22">
        <f t="shared" si="9"/>
        <v>1.255945039664885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13.4</v>
      </c>
      <c r="BY66" s="12">
        <f>IF('Données projet'!$A$114&gt;35,BY65+BX66-CG65,IF(A66&lt;'Données projet'!$A$114,$BV$205^A66,IF(A66='Données projet'!$A$114,'Données projet'!$B$114,BY65+BX66-CG65)))</f>
        <v>305.19999999999982</v>
      </c>
      <c r="BZ66" s="13">
        <f>BY66*VLOOKUP('Données projet'!$B$12,Paramètres!$A$1:$I$89,3,0)*VLOOKUP('Données projet'!$B$12,Paramètres!$A$1:$I$89,5,0)</f>
        <v>261.86159999999984</v>
      </c>
      <c r="CA66" s="13">
        <f t="shared" si="39"/>
        <v>63.119030927358601</v>
      </c>
      <c r="CB66" s="20">
        <f t="shared" si="10"/>
        <v>566.00793219848265</v>
      </c>
      <c r="CC66" s="59">
        <f t="shared" si="11"/>
        <v>859.34126553181591</v>
      </c>
      <c r="CD66" s="59">
        <f ca="1">AVERAGE(OFFSET($CC$3,0,0,'Données projet'!$E$12+1,1))-AVERAGE(OFFSET($H$3,0,0,'Données projet'!$E$12+1,1))</f>
        <v>237.27357081252273</v>
      </c>
      <c r="CE66" s="59">
        <f t="shared" si="40"/>
        <v>68.768479693848576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-3.4106051316484809E-13</v>
      </c>
      <c r="CU66" s="17">
        <f>CT66*VLOOKUP('Données projet'!$B$13,Paramètres!$A$1:$I$89,3,0)*VLOOKUP('Données projet'!$B$13,Paramètres!$A$1:$I$89,5,0)</f>
        <v>-1.9065282685915009E-13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474.03051418249999</v>
      </c>
      <c r="CZ66" s="59">
        <f t="shared" si="42"/>
        <v>649.52271992719091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2.843016436808786</v>
      </c>
      <c r="DG66" s="21">
        <f>EXP(-LN(2)/25)*DG65+(1-EXP(-LN(2)/25))/(LN(2)/25)*Calculateur!DB66*Calculateur!DD66*VLOOKUP('Données projet'!$B$13,Paramètres!$A$1:$I$89,3,0)*0.475*44/12</f>
        <v>9.6901702496407154</v>
      </c>
      <c r="DH66" s="21">
        <f>EXP(-LN(2)/2)*DH65+(1-EXP(-LN(2)/2))/(LN(2)/2)*DB66*DE66*VLOOKUP('Données projet'!$B$13,Paramètres!$A$1:$I$89,3,0)*0.475*44/12</f>
        <v>1.2623465907254244E-4</v>
      </c>
      <c r="DI66" s="22">
        <f t="shared" si="15"/>
        <v>12.533312921108573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-5.6843418860808015E-14</v>
      </c>
      <c r="DP66" s="17">
        <f>DO66*VLOOKUP('Données projet'!$B$14,Paramètres!$A$1:$I$89,3,0)*VLOOKUP('Données projet'!$B$14,Paramètres!$A$1:$I$89,5,0)</f>
        <v>-3.1036506698001178E-14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164.0740581424559</v>
      </c>
      <c r="DU66" s="59">
        <f t="shared" si="44"/>
        <v>280.99861170359793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3.4362721780796988</v>
      </c>
      <c r="EB66" s="21">
        <f>EXP(-LN(2)/25)*EB65+(1-EXP(-LN(2)/25))/(LN(2)/25)*Calculateur!DW66*Calculateur!DY66*VLOOKUP('Données projet'!$B$14,Paramètres!$A$1:$I$89,3,0)*0.475*44/12</f>
        <v>10.372521326946805</v>
      </c>
      <c r="EC66" s="21">
        <f>EXP(-LN(2)/2)*EC65+(1-EXP(-LN(2)/2))/(LN(2)/2)*DW66*DZ66*VLOOKUP('Données projet'!$B$14,Paramètres!$A$1:$I$89,3,0)*0.475*44/12</f>
        <v>1.6377214162865739E-4</v>
      </c>
      <c r="ED66" s="22">
        <f t="shared" si="18"/>
        <v>13.808957277168133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1.1368683772161603E-13</v>
      </c>
      <c r="EK66" s="17">
        <f>EJ66*VLOOKUP('Données projet'!$B$15,Paramètres!$A$1:$I$89,3,0)*VLOOKUP('Données projet'!$B$15,Paramètres!$A$1:$I$89,5,0)</f>
        <v>5.4683368944097308E-14</v>
      </c>
      <c r="EL66" s="13">
        <f t="shared" si="45"/>
        <v>8.8129432816788268E-13</v>
      </c>
      <c r="EM66" s="20">
        <f t="shared" si="19"/>
        <v>1.6301611558033651E-12</v>
      </c>
      <c r="EN66" s="59">
        <f t="shared" si="20"/>
        <v>293.33333333333496</v>
      </c>
      <c r="EO66" s="59">
        <f ca="1">AVERAGE(OFFSET($EN$3,0,0,'Données projet'!$E$15+1,1))-AVERAGE(OFFSET($H$3,0,0,'Données projet'!$E$15+1,1))</f>
        <v>312.1172301514103</v>
      </c>
      <c r="EP66" s="59">
        <f t="shared" si="46"/>
        <v>369.85500533493212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1.4057191649545695</v>
      </c>
      <c r="EW66" s="21">
        <f>EXP(-LN(2)/25)*EW65+(1-EXP(-LN(2)/25))/(LN(2)/25)*Calculateur!ER66*Calculateur!ET66*VLOOKUP('Données projet'!$B$15,Paramètres!$A$1:$I$89,3,0)*0.475*44/12</f>
        <v>6.0238556947169588</v>
      </c>
      <c r="EX66" s="21">
        <f>EXP(-LN(2)/2)*EX65+(1-EXP(-LN(2)/2))/(LN(2)/2)*ER66*EU66*VLOOKUP('Données projet'!$B$15,Paramètres!$A$1:$I$89,3,0)*0.475*44/12</f>
        <v>3.4177734465136905E-4</v>
      </c>
      <c r="EY66" s="22">
        <f t="shared" si="21"/>
        <v>7.4299166370161798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-1.7053025658242404E-13</v>
      </c>
      <c r="FF66" s="17">
        <f>FE66*VLOOKUP('Données projet'!$B$16,Paramètres!$A$1:$I$89,3,0)*VLOOKUP('Données projet'!$B$16,Paramètres!$A$1:$I$89,5,0)</f>
        <v>-7.9808160080574461E-14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87.187251664304199</v>
      </c>
      <c r="FK66" s="59">
        <f t="shared" si="48"/>
        <v>148.84938257884147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3.2297789908938612</v>
      </c>
      <c r="FS66" s="21">
        <f>EXP(-LN(2)/2)*FS65+(1-EXP(-LN(2)/2))/(LN(2)/2)*FM66*FP66*VLOOKUP('Données projet'!$B$16,Paramètres!$A$1:$I$89,3,0)*0.475*44/12</f>
        <v>6.5643078693977612E-5</v>
      </c>
      <c r="FT66" s="22">
        <f t="shared" si="24"/>
        <v>3.2298446339725553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17.399999999999999</v>
      </c>
      <c r="FZ66" s="12">
        <f>IF('Données projet'!$A$244&gt;35,FZ65+FY66-GH65,IF(A66&lt;'Données projet'!$A$244,$FW$205^A66,IF(A66='Données projet'!$A$244,'Données projet'!$B$244,FZ65+FY66-GH65)))</f>
        <v>520.19999999999993</v>
      </c>
      <c r="GA66" s="17">
        <f>FZ66*VLOOKUP('Données projet'!$B$17,Paramètres!$A$1:$I$89,3,0)*VLOOKUP('Données projet'!$B$17,Paramètres!$A$1:$I$89,5,0)</f>
        <v>311.07959999999997</v>
      </c>
      <c r="GB66" s="13">
        <f t="shared" si="49"/>
        <v>73.49424798183118</v>
      </c>
      <c r="GC66" s="20">
        <f t="shared" si="25"/>
        <v>669.79945190168917</v>
      </c>
      <c r="GD66" s="59">
        <f t="shared" si="26"/>
        <v>963.13278523502254</v>
      </c>
      <c r="GE66" s="59">
        <f ca="1">AVERAGE(OFFSET($GD$3,0,0,'Données projet'!$E$17+1,1))-AVERAGE(OFFSET($H$3,0,0,'Données projet'!$E$17+1,1))</f>
        <v>282.94722676586207</v>
      </c>
      <c r="GF66" s="59">
        <f t="shared" si="50"/>
        <v>310.63647941571298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4.2927393916452878</v>
      </c>
      <c r="GN66" s="21">
        <f>EXP(-LN(2)/2)*GN65+(1-EXP(-LN(2)/2))/(LN(2)/2)*GH66*GK66*VLOOKUP('Données projet'!$B$17,Paramètres!$A$1:$I$89,3,0)*0.475*44/12</f>
        <v>2.7662610489035799E-4</v>
      </c>
      <c r="GO66" s="21">
        <f t="shared" si="27"/>
        <v>4.2930160177501779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-1.1368683772161603E-13</v>
      </c>
      <c r="GV66" s="17">
        <f>GU66*VLOOKUP('Données projet'!$B$18,Paramètres!$A$1:$I$89,3,0)*VLOOKUP('Données projet'!$B$18,Paramètres!$A$1:$I$89,5,0)</f>
        <v>-6.7984728957526396E-14</v>
      </c>
      <c r="GW66" s="13" t="e">
        <f t="shared" si="51"/>
        <v>#NUM!</v>
      </c>
      <c r="GX66" s="20" t="e">
        <f t="shared" si="28"/>
        <v>#NUM!</v>
      </c>
      <c r="GY66" s="59" t="e">
        <f t="shared" si="29"/>
        <v>#NUM!</v>
      </c>
      <c r="GZ66" s="59">
        <f ca="1">AVERAGE(OFFSET($GY$3,0,0,'Données projet'!$E$18+1,1))-AVERAGE(OFFSET($H$3,0,0,'Données projet'!$E$18+1,1))</f>
        <v>255.54398581450459</v>
      </c>
      <c r="HA66" s="59">
        <f t="shared" si="52"/>
        <v>276.52622328061204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2.1419422954322305</v>
      </c>
      <c r="HI66" s="21">
        <f>EXP(-LN(2)/2)*HI65+(1-EXP(-LN(2)/2))/(LN(2)/2)*HC66*HF66*VLOOKUP('Données projet'!$B$18,Paramètres!$A$1:$I$89,3,0)*0.475*44/12</f>
        <v>1.6040978879941159E-4</v>
      </c>
      <c r="HJ66" s="22">
        <f t="shared" si="30"/>
        <v>2.14210270522103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5.6843418860808015E-14</v>
      </c>
      <c r="O67" s="13">
        <f>N67*VLOOKUP('Données projet'!$B$9,Paramètres!$A$1:$I$89,3,0)*VLOOKUP('Données projet'!$B$9,Paramètres!$A$1:$I$89,5,0)</f>
        <v>4.9658410716801891E-14</v>
      </c>
      <c r="P67" s="13">
        <f t="shared" si="33"/>
        <v>8.0934058173791862E-13</v>
      </c>
      <c r="Q67" s="20">
        <f t="shared" ref="Q67:Q98" si="54">(O67+P67)*0.475*44/12</f>
        <v>1.4960899118586383E-12</v>
      </c>
      <c r="R67" s="59">
        <f t="shared" ref="R67:R130" si="55">Q67+(I67+J67)*44/12</f>
        <v>293.33333333333479</v>
      </c>
      <c r="S67" s="59">
        <f ca="1">AVERAGE(OFFSET($R$3,0,0,'Données projet'!$E$9+1,1))-AVERAGE(OFFSET($H$3,0,0,'Données projet'!$E$9+1,1))</f>
        <v>248.50221719467663</v>
      </c>
      <c r="T67" s="59">
        <f t="shared" si="34"/>
        <v>366.09064580347183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4.0263735288304154</v>
      </c>
      <c r="AA67" s="21">
        <f>EXP(-LN(2)/25)*AA66+(1-EXP(-LN(2)/25))/(LN(2)/25)*Calculateur!V67*Calculateur!X67*VLOOKUP('Données projet'!$B$9,Paramètres!$A$1:$I$89,3,0)*0.475*44/12</f>
        <v>9.377205730170747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13.403579259001162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253.52495999999999</v>
      </c>
      <c r="AK67" s="13">
        <f t="shared" si="35"/>
        <v>61.340141798422209</v>
      </c>
      <c r="AL67" s="20">
        <f t="shared" si="4"/>
        <v>548.39005229891859</v>
      </c>
      <c r="AM67" s="59">
        <f t="shared" si="5"/>
        <v>841.72338563225185</v>
      </c>
      <c r="AN67" s="59">
        <f ca="1">AVERAGE(OFFSET($AM$3,0,0,'Données projet'!$E$10+1,1))-AVERAGE(OFFSET($H$3,0,0,'Données projet'!$E$10+1,1))</f>
        <v>263.22346936777603</v>
      </c>
      <c r="AO67" s="59">
        <f t="shared" si="36"/>
        <v>217.14714468707939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2.8347000203941679</v>
      </c>
      <c r="AW67" s="21">
        <f>EXP(-LN(2)/2)*AW66+(1-EXP(-LN(2)/2))/(LN(2)/2)*AQ67*AT67*VLOOKUP('Données projet'!$B$10,Paramètres!$A$1:$I$89,3,0)*0.475*44/12</f>
        <v>1.3619049412262889E-4</v>
      </c>
      <c r="AX67" s="21">
        <f t="shared" si="6"/>
        <v>2.8348362108882905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8.6666666666666661</v>
      </c>
      <c r="BD67" s="12">
        <f>IF('Données projet'!$A$88&gt;35,BD66+BC67-BL66,IF(A67&lt;'Données projet'!$A$88,$BA$205^A67,IF(A67='Données projet'!$A$88,'Données projet'!$B$88,BD66+BC67-BL66)))</f>
        <v>284.66666666666663</v>
      </c>
      <c r="BE67" s="13">
        <f>BD67*VLOOKUP('Données projet'!$B$11,Paramètres!$A$1:$I$89,3,0)*VLOOKUP('Données projet'!$B$11,Paramètres!$A$1:$I$89,5,0)</f>
        <v>222.04</v>
      </c>
      <c r="BF67" s="13">
        <f t="shared" si="37"/>
        <v>54.558031180803546</v>
      </c>
      <c r="BG67" s="20">
        <f t="shared" si="7"/>
        <v>481.74157097323285</v>
      </c>
      <c r="BH67" s="59">
        <f t="shared" si="8"/>
        <v>775.07490430656617</v>
      </c>
      <c r="BI67" s="59">
        <f ca="1">AVERAGE(OFFSET($BH$3,0,0,'Données projet'!$E$11+1,1))-AVERAGE(OFFSET($H$3,0,0,'Données projet'!$E$11+1,1))</f>
        <v>219.22204054948094</v>
      </c>
      <c r="BJ67" s="59">
        <f t="shared" si="38"/>
        <v>222.41711966122034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1.2215668381979683</v>
      </c>
      <c r="BR67" s="21">
        <f>EXP(-LN(2)/2)*BR66+(1-EXP(-LN(2)/2))/(LN(2)/2)*BL67*BO67*VLOOKUP('Données projet'!$B$11,Paramètres!$A$1:$I$89,3,0)*0.475*44/12</f>
        <v>2.4948939791355762E-5</v>
      </c>
      <c r="BS67" s="22">
        <f t="shared" si="9"/>
        <v>1.2215917871377597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13.4</v>
      </c>
      <c r="BY67" s="12">
        <f>IF('Données projet'!$A$114&gt;35,BY66+BX67-CG66,IF(A67&lt;'Données projet'!$A$114,$BV$205^A67,IF(A67='Données projet'!$A$114,'Données projet'!$B$114,BY66+BX67-CG66)))</f>
        <v>318.5999999999998</v>
      </c>
      <c r="BZ67" s="13">
        <f>BY67*VLOOKUP('Données projet'!$B$12,Paramètres!$A$1:$I$89,3,0)*VLOOKUP('Données projet'!$B$12,Paramètres!$A$1:$I$89,5,0)</f>
        <v>273.35879999999986</v>
      </c>
      <c r="CA67" s="13">
        <f t="shared" si="39"/>
        <v>65.561577702883213</v>
      </c>
      <c r="CB67" s="20">
        <f t="shared" si="10"/>
        <v>590.28632449918803</v>
      </c>
      <c r="CC67" s="59">
        <f t="shared" si="11"/>
        <v>883.6196578325214</v>
      </c>
      <c r="CD67" s="59">
        <f ca="1">AVERAGE(OFFSET($CC$3,0,0,'Données projet'!$E$12+1,1))-AVERAGE(OFFSET($H$3,0,0,'Données projet'!$E$12+1,1))</f>
        <v>237.27357081252273</v>
      </c>
      <c r="CE67" s="59">
        <f t="shared" si="40"/>
        <v>68.768479693848576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-3.4106051316484809E-13</v>
      </c>
      <c r="CU67" s="17">
        <f>CT67*VLOOKUP('Données projet'!$B$13,Paramètres!$A$1:$I$89,3,0)*VLOOKUP('Données projet'!$B$13,Paramètres!$A$1:$I$89,5,0)</f>
        <v>-1.9065282685915009E-13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474.03051418249999</v>
      </c>
      <c r="CZ67" s="59">
        <f t="shared" si="42"/>
        <v>649.52271992719091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2.7872666185517669</v>
      </c>
      <c r="DG67" s="21">
        <f>EXP(-LN(2)/25)*DG66+(1-EXP(-LN(2)/25))/(LN(2)/25)*Calculateur!DB67*Calculateur!DD67*VLOOKUP('Données projet'!$B$13,Paramètres!$A$1:$I$89,3,0)*0.475*44/12</f>
        <v>9.4251920345803839</v>
      </c>
      <c r="DH67" s="21">
        <f>EXP(-LN(2)/2)*DH66+(1-EXP(-LN(2)/2))/(LN(2)/2)*DB67*DE67*VLOOKUP('Données projet'!$B$13,Paramètres!$A$1:$I$89,3,0)*0.475*44/12</f>
        <v>8.9261383450966696E-5</v>
      </c>
      <c r="DI67" s="22">
        <f t="shared" si="15"/>
        <v>12.212547914515602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-5.6843418860808015E-14</v>
      </c>
      <c r="DP67" s="17">
        <f>DO67*VLOOKUP('Données projet'!$B$14,Paramètres!$A$1:$I$89,3,0)*VLOOKUP('Données projet'!$B$14,Paramètres!$A$1:$I$89,5,0)</f>
        <v>-3.1036506698001178E-14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164.0740581424559</v>
      </c>
      <c r="DU67" s="59">
        <f t="shared" si="44"/>
        <v>280.99861170359793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3.3688889765866299</v>
      </c>
      <c r="EB67" s="21">
        <f>EXP(-LN(2)/25)*EB66+(1-EXP(-LN(2)/25))/(LN(2)/25)*Calculateur!DW67*Calculateur!DY67*VLOOKUP('Données projet'!$B$14,Paramètres!$A$1:$I$89,3,0)*0.475*44/12</f>
        <v>10.088884185794255</v>
      </c>
      <c r="EC67" s="21">
        <f>EXP(-LN(2)/2)*EC66+(1-EXP(-LN(2)/2))/(LN(2)/2)*DW67*DZ67*VLOOKUP('Données projet'!$B$14,Paramètres!$A$1:$I$89,3,0)*0.475*44/12</f>
        <v>1.1580439191506731E-4</v>
      </c>
      <c r="ED67" s="22">
        <f t="shared" si="18"/>
        <v>13.457888966772801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1.1368683772161603E-13</v>
      </c>
      <c r="EK67" s="17">
        <f>EJ67*VLOOKUP('Données projet'!$B$15,Paramètres!$A$1:$I$89,3,0)*VLOOKUP('Données projet'!$B$15,Paramètres!$A$1:$I$89,5,0)</f>
        <v>5.4683368944097308E-14</v>
      </c>
      <c r="EL67" s="13">
        <f t="shared" si="45"/>
        <v>8.8129432816788268E-13</v>
      </c>
      <c r="EM67" s="20">
        <f t="shared" si="19"/>
        <v>1.6301611558033651E-12</v>
      </c>
      <c r="EN67" s="59">
        <f t="shared" si="20"/>
        <v>293.33333333333496</v>
      </c>
      <c r="EO67" s="59">
        <f ca="1">AVERAGE(OFFSET($EN$3,0,0,'Données projet'!$E$15+1,1))-AVERAGE(OFFSET($H$3,0,0,'Données projet'!$E$15+1,1))</f>
        <v>312.1172301514103</v>
      </c>
      <c r="EP67" s="59">
        <f t="shared" si="46"/>
        <v>369.85500533493212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1.3781538695338393</v>
      </c>
      <c r="EW67" s="21">
        <f>EXP(-LN(2)/25)*EW66+(1-EXP(-LN(2)/25))/(LN(2)/25)*Calculateur!ER67*Calculateur!ET67*VLOOKUP('Données projet'!$B$15,Paramètres!$A$1:$I$89,3,0)*0.475*44/12</f>
        <v>5.8591330439641203</v>
      </c>
      <c r="EX67" s="21">
        <f>EXP(-LN(2)/2)*EX66+(1-EXP(-LN(2)/2))/(LN(2)/2)*ER67*EU67*VLOOKUP('Données projet'!$B$15,Paramètres!$A$1:$I$89,3,0)*0.475*44/12</f>
        <v>2.4167307805891488E-4</v>
      </c>
      <c r="EY67" s="22">
        <f t="shared" si="21"/>
        <v>7.2375285865760182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-1.7053025658242404E-13</v>
      </c>
      <c r="FF67" s="17">
        <f>FE67*VLOOKUP('Données projet'!$B$16,Paramètres!$A$1:$I$89,3,0)*VLOOKUP('Données projet'!$B$16,Paramètres!$A$1:$I$89,5,0)</f>
        <v>-7.9808160080574461E-14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87.187251664304199</v>
      </c>
      <c r="FK67" s="59">
        <f t="shared" si="48"/>
        <v>148.84938257884147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3.1414605145411731</v>
      </c>
      <c r="FS67" s="21">
        <f>EXP(-LN(2)/2)*FS66+(1-EXP(-LN(2)/2))/(LN(2)/2)*FM67*FP67*VLOOKUP('Données projet'!$B$16,Paramètres!$A$1:$I$89,3,0)*0.475*44/12</f>
        <v>4.6416666082473747E-5</v>
      </c>
      <c r="FT67" s="22">
        <f t="shared" si="24"/>
        <v>3.1415069312072554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17.399999999999999</v>
      </c>
      <c r="FZ67" s="12">
        <f>IF('Données projet'!$A$244&gt;35,FZ66+FY67-GH66,IF(A67&lt;'Données projet'!$A$244,$FW$205^A67,IF(A67='Données projet'!$A$244,'Données projet'!$B$244,FZ66+FY67-GH66)))</f>
        <v>537.59999999999991</v>
      </c>
      <c r="GA67" s="17">
        <f>FZ67*VLOOKUP('Données projet'!$B$17,Paramètres!$A$1:$I$89,3,0)*VLOOKUP('Données projet'!$B$17,Paramètres!$A$1:$I$89,5,0)</f>
        <v>321.48479999999995</v>
      </c>
      <c r="GB67" s="13">
        <f t="shared" si="49"/>
        <v>75.662211893590367</v>
      </c>
      <c r="GC67" s="20">
        <f t="shared" si="25"/>
        <v>691.69771238133637</v>
      </c>
      <c r="GD67" s="59">
        <f t="shared" si="26"/>
        <v>985.03104571466974</v>
      </c>
      <c r="GE67" s="59">
        <f ca="1">AVERAGE(OFFSET($GD$3,0,0,'Données projet'!$E$17+1,1))-AVERAGE(OFFSET($H$3,0,0,'Données projet'!$E$17+1,1))</f>
        <v>282.94722676586207</v>
      </c>
      <c r="GF67" s="59">
        <f t="shared" si="50"/>
        <v>310.63647941571298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4.1753542072353937</v>
      </c>
      <c r="GN67" s="21">
        <f>EXP(-LN(2)/2)*GN66+(1-EXP(-LN(2)/2))/(LN(2)/2)*GH67*GK67*VLOOKUP('Données projet'!$B$17,Paramètres!$A$1:$I$89,3,0)*0.475*44/12</f>
        <v>1.9560419462119331E-4</v>
      </c>
      <c r="GO67" s="21">
        <f t="shared" si="27"/>
        <v>4.1755498114300149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-1.1368683772161603E-13</v>
      </c>
      <c r="GV67" s="17">
        <f>GU67*VLOOKUP('Données projet'!$B$18,Paramètres!$A$1:$I$89,3,0)*VLOOKUP('Données projet'!$B$18,Paramètres!$A$1:$I$89,5,0)</f>
        <v>-6.7984728957526396E-14</v>
      </c>
      <c r="GW67" s="13" t="e">
        <f t="shared" si="51"/>
        <v>#NUM!</v>
      </c>
      <c r="GX67" s="20" t="e">
        <f t="shared" si="28"/>
        <v>#NUM!</v>
      </c>
      <c r="GY67" s="59" t="e">
        <f t="shared" si="29"/>
        <v>#NUM!</v>
      </c>
      <c r="GZ67" s="59">
        <f ca="1">AVERAGE(OFFSET($GY$3,0,0,'Données projet'!$E$18+1,1))-AVERAGE(OFFSET($H$3,0,0,'Données projet'!$E$18+1,1))</f>
        <v>255.54398581450459</v>
      </c>
      <c r="HA67" s="59">
        <f t="shared" si="52"/>
        <v>276.52622328061204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2.0833707707237861</v>
      </c>
      <c r="HI67" s="21">
        <f>EXP(-LN(2)/2)*HI66+(1-EXP(-LN(2)/2))/(LN(2)/2)*HC67*HF67*VLOOKUP('Données projet'!$B$18,Paramètres!$A$1:$I$89,3,0)*0.475*44/12</f>
        <v>1.1342684942876583E-4</v>
      </c>
      <c r="HJ67" s="22">
        <f t="shared" si="30"/>
        <v>2.083484197573215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5.6843418860808015E-14</v>
      </c>
      <c r="O68" s="13">
        <f>N68*VLOOKUP('Données projet'!$B$9,Paramètres!$A$1:$I$89,3,0)*VLOOKUP('Données projet'!$B$9,Paramètres!$A$1:$I$89,5,0)</f>
        <v>4.9658410716801891E-14</v>
      </c>
      <c r="P68" s="13">
        <f t="shared" si="33"/>
        <v>8.0934058173791862E-13</v>
      </c>
      <c r="Q68" s="20">
        <f t="shared" si="54"/>
        <v>1.4960899118586383E-12</v>
      </c>
      <c r="R68" s="59">
        <f t="shared" si="55"/>
        <v>293.33333333333479</v>
      </c>
      <c r="S68" s="59">
        <f ca="1">AVERAGE(OFFSET($R$3,0,0,'Données projet'!$E$9+1,1))-AVERAGE(OFFSET($H$3,0,0,'Données projet'!$E$9+1,1))</f>
        <v>248.50221719467663</v>
      </c>
      <c r="T68" s="59">
        <f t="shared" si="34"/>
        <v>366.09064580347183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3.9474187997754089</v>
      </c>
      <c r="AA68" s="21">
        <f>EXP(-LN(2)/25)*AA67+(1-EXP(-LN(2)/25))/(LN(2)/25)*Calculateur!V68*Calculateur!X68*VLOOKUP('Données projet'!$B$9,Paramètres!$A$1:$I$89,3,0)*0.475*44/12</f>
        <v>9.1207855463534102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13.06820434612882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261.48719999999997</v>
      </c>
      <c r="AK68" s="13">
        <f t="shared" si="35"/>
        <v>63.039283586802391</v>
      </c>
      <c r="AL68" s="20">
        <f t="shared" ref="AL68:AL131" si="58">(AJ68+AK68)*0.475*44/12</f>
        <v>565.21695891368086</v>
      </c>
      <c r="AM68" s="59">
        <f t="shared" ref="AM68:AM131" si="59">AL68+(AD68+AE68)*44/12</f>
        <v>858.55029224701411</v>
      </c>
      <c r="AN68" s="59">
        <f ca="1">AVERAGE(OFFSET($AM$3,0,0,'Données projet'!$E$10+1,1))-AVERAGE(OFFSET($H$3,0,0,'Données projet'!$E$10+1,1))</f>
        <v>263.22346936777603</v>
      </c>
      <c r="AO68" s="59">
        <f t="shared" si="36"/>
        <v>217.14714468707939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2.7571849992660939</v>
      </c>
      <c r="AW68" s="21">
        <f>EXP(-LN(2)/2)*AW67+(1-EXP(-LN(2)/2))/(LN(2)/2)*AQ68*AT68*VLOOKUP('Données projet'!$B$10,Paramètres!$A$1:$I$89,3,0)*0.475*44/12</f>
        <v>9.6301221927257535E-5</v>
      </c>
      <c r="AX68" s="21">
        <f t="shared" ref="AX68:AX131" si="60">SUM(AU68:AW68)</f>
        <v>2.757281300488021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8.6666666666666661</v>
      </c>
      <c r="BD68" s="12">
        <f>IF('Données projet'!$A$88&gt;35,BD67+BC68-BL67,IF(A68&lt;'Données projet'!$A$88,$BA$205^A68,IF(A68='Données projet'!$A$88,'Données projet'!$B$88,BD67+BC68-BL67)))</f>
        <v>293.33333333333331</v>
      </c>
      <c r="BE68" s="13">
        <f>BD68*VLOOKUP('Données projet'!$B$11,Paramètres!$A$1:$I$89,3,0)*VLOOKUP('Données projet'!$B$11,Paramètres!$A$1:$I$89,5,0)</f>
        <v>228.79999999999998</v>
      </c>
      <c r="BF68" s="13">
        <f t="shared" si="37"/>
        <v>56.023134533701196</v>
      </c>
      <c r="BG68" s="20">
        <f t="shared" ref="BG68:BG131" si="61">(BE68+BF68)*0.475*44/12</f>
        <v>496.06695931286293</v>
      </c>
      <c r="BH68" s="59">
        <f t="shared" ref="BH68:BH131" si="62">BG68+(AY68+AZ68)*44/12</f>
        <v>789.40029264619625</v>
      </c>
      <c r="BI68" s="59">
        <f ca="1">AVERAGE(OFFSET($BH$3,0,0,'Données projet'!$E$11+1,1))-AVERAGE(OFFSET($H$3,0,0,'Données projet'!$E$11+1,1))</f>
        <v>219.22204054948094</v>
      </c>
      <c r="BJ68" s="59">
        <f t="shared" si="38"/>
        <v>222.41711966122034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1.1881630287680367</v>
      </c>
      <c r="BR68" s="21">
        <f>EXP(-LN(2)/2)*BR67+(1-EXP(-LN(2)/2))/(LN(2)/2)*BL68*BO68*VLOOKUP('Données projet'!$B$11,Paramètres!$A$1:$I$89,3,0)*0.475*44/12</f>
        <v>1.7641564509882547E-5</v>
      </c>
      <c r="BS68" s="22">
        <f t="shared" ref="BS68:BS131" si="63">SUM(BP68:BR68)</f>
        <v>1.1881806703325466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332</v>
      </c>
      <c r="BW68" s="12">
        <f>VLOOKUP(A68,'Données projet'!$A$113:$I$133,9,0)</f>
        <v>13.4</v>
      </c>
      <c r="BX68" s="12">
        <f t="array" ref="BX68">INDEX(BW:BW,MIN(IF(ISNUMBER(BW68:BW264),ROW(BW68:BW264),"")))</f>
        <v>13.4</v>
      </c>
      <c r="BY68" s="12">
        <f>IF('Données projet'!$A$114&gt;35,BY67+BX68-CG67,IF(A68&lt;'Données projet'!$A$114,$BV$205^A68,IF(A68='Données projet'!$A$114,'Données projet'!$B$114,BY67+BX68-CG67)))</f>
        <v>331.99999999999977</v>
      </c>
      <c r="BZ68" s="13">
        <f>BY68*VLOOKUP('Données projet'!$B$12,Paramètres!$A$1:$I$89,3,0)*VLOOKUP('Données projet'!$B$12,Paramètres!$A$1:$I$89,5,0)</f>
        <v>284.85599999999982</v>
      </c>
      <c r="CA68" s="13">
        <f t="shared" si="39"/>
        <v>67.992192087001939</v>
      </c>
      <c r="CB68" s="20">
        <f t="shared" ref="CB68:CB131" si="64">(BZ68+CA68)*0.475*44/12</f>
        <v>614.54393455152797</v>
      </c>
      <c r="CC68" s="59">
        <f t="shared" ref="CC68:CC131" si="65">CB68+(BT68+BU68)*44/12</f>
        <v>907.87726788486134</v>
      </c>
      <c r="CD68" s="59">
        <f ca="1">AVERAGE(OFFSET($CC$3,0,0,'Données projet'!$E$12+1,1))-AVERAGE(OFFSET($H$3,0,0,'Données projet'!$E$12+1,1))</f>
        <v>237.27357081252273</v>
      </c>
      <c r="CE68" s="59">
        <f t="shared" si="40"/>
        <v>68.768479693848576</v>
      </c>
      <c r="CF68" s="15">
        <f>IF(ISNA(VLOOKUP(A68,'Données projet'!$A$113:$I$133,3,0)),0,VLOOKUP(A68,'Données projet'!$A$113:$I$133,3,0))</f>
        <v>8</v>
      </c>
      <c r="CG68" s="15">
        <f>IF(ISNA(VLOOKUP(A68,'Données projet'!$A$113:$I$133,4,0)),0,VLOOKUP(A68,'Données projet'!$A$113:$I$133,4,0))</f>
        <v>36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-3.4106051316484809E-13</v>
      </c>
      <c r="CU68" s="17">
        <f>CT68*VLOOKUP('Données projet'!$B$13,Paramètres!$A$1:$I$89,3,0)*VLOOKUP('Données projet'!$B$13,Paramètres!$A$1:$I$89,5,0)</f>
        <v>-1.9065282685915009E-13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474.03051418249999</v>
      </c>
      <c r="CZ68" s="59">
        <f t="shared" si="42"/>
        <v>649.52271992719091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2.7326100202267365</v>
      </c>
      <c r="DG68" s="21">
        <f>EXP(-LN(2)/25)*DG67+(1-EXP(-LN(2)/25))/(LN(2)/25)*Calculateur!DB68*Calculateur!DD68*VLOOKUP('Données projet'!$B$13,Paramètres!$A$1:$I$89,3,0)*0.475*44/12</f>
        <v>9.1674596627454754</v>
      </c>
      <c r="DH68" s="21">
        <f>EXP(-LN(2)/2)*DH67+(1-EXP(-LN(2)/2))/(LN(2)/2)*DB68*DE68*VLOOKUP('Données projet'!$B$13,Paramètres!$A$1:$I$89,3,0)*0.475*44/12</f>
        <v>6.3117329536271222E-5</v>
      </c>
      <c r="DI68" s="22">
        <f t="shared" ref="DI68:DI131" si="69">SUM(DF68:DH68)</f>
        <v>11.900132800301749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-5.6843418860808015E-14</v>
      </c>
      <c r="DP68" s="17">
        <f>DO68*VLOOKUP('Données projet'!$B$14,Paramètres!$A$1:$I$89,3,0)*VLOOKUP('Données projet'!$B$14,Paramètres!$A$1:$I$89,5,0)</f>
        <v>-3.1036506698001178E-14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164.0740581424559</v>
      </c>
      <c r="DU68" s="59">
        <f t="shared" si="44"/>
        <v>280.99861170359793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3.3028271185751454</v>
      </c>
      <c r="EB68" s="21">
        <f>EXP(-LN(2)/25)*EB67+(1-EXP(-LN(2)/25))/(LN(2)/25)*Calculateur!DW68*Calculateur!DY68*VLOOKUP('Données projet'!$B$14,Paramètres!$A$1:$I$89,3,0)*0.475*44/12</f>
        <v>9.8130031171823493</v>
      </c>
      <c r="EC68" s="21">
        <f>EXP(-LN(2)/2)*EC67+(1-EXP(-LN(2)/2))/(LN(2)/2)*DW68*DZ68*VLOOKUP('Données projet'!$B$14,Paramètres!$A$1:$I$89,3,0)*0.475*44/12</f>
        <v>8.1886070814328707E-5</v>
      </c>
      <c r="ED68" s="22">
        <f t="shared" ref="ED68:ED131" si="72">SUM(EA68:EC68)</f>
        <v>13.115912121828309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1.1368683772161603E-13</v>
      </c>
      <c r="EK68" s="17">
        <f>EJ68*VLOOKUP('Données projet'!$B$15,Paramètres!$A$1:$I$89,3,0)*VLOOKUP('Données projet'!$B$15,Paramètres!$A$1:$I$89,5,0)</f>
        <v>5.4683368944097308E-14</v>
      </c>
      <c r="EL68" s="13">
        <f t="shared" si="45"/>
        <v>8.8129432816788268E-13</v>
      </c>
      <c r="EM68" s="20">
        <f t="shared" ref="EM68:EM131" si="73">(EK68+EL68)*0.475*44/12</f>
        <v>1.6301611558033651E-12</v>
      </c>
      <c r="EN68" s="59">
        <f t="shared" ref="EN68:EN131" si="74">EM68+(EE68+EF68)*44/12</f>
        <v>293.33333333333496</v>
      </c>
      <c r="EO68" s="59">
        <f ca="1">AVERAGE(OFFSET($EN$3,0,0,'Données projet'!$E$15+1,1))-AVERAGE(OFFSET($H$3,0,0,'Données projet'!$E$15+1,1))</f>
        <v>312.1172301514103</v>
      </c>
      <c r="EP68" s="59">
        <f t="shared" si="46"/>
        <v>369.85500533493212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1.3511291127431397</v>
      </c>
      <c r="EW68" s="21">
        <f>EXP(-LN(2)/25)*EW67+(1-EXP(-LN(2)/25))/(LN(2)/25)*Calculateur!ER68*Calculateur!ET68*VLOOKUP('Données projet'!$B$15,Paramètres!$A$1:$I$89,3,0)*0.475*44/12</f>
        <v>5.6989147427585056</v>
      </c>
      <c r="EX68" s="21">
        <f>EXP(-LN(2)/2)*EX67+(1-EXP(-LN(2)/2))/(LN(2)/2)*ER68*EU68*VLOOKUP('Données projet'!$B$15,Paramètres!$A$1:$I$89,3,0)*0.475*44/12</f>
        <v>1.7088867232568455E-4</v>
      </c>
      <c r="EY68" s="22">
        <f t="shared" ref="EY68:EY131" si="75">SUM(EV68:EX68)</f>
        <v>7.0502147441739709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-1.7053025658242404E-13</v>
      </c>
      <c r="FF68" s="17">
        <f>FE68*VLOOKUP('Données projet'!$B$16,Paramètres!$A$1:$I$89,3,0)*VLOOKUP('Données projet'!$B$16,Paramètres!$A$1:$I$89,5,0)</f>
        <v>-7.9808160080574461E-14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87.187251664304199</v>
      </c>
      <c r="FK68" s="59">
        <f t="shared" si="48"/>
        <v>148.84938257884147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3.0555571115688163</v>
      </c>
      <c r="FS68" s="21">
        <f>EXP(-LN(2)/2)*FS67+(1-EXP(-LN(2)/2))/(LN(2)/2)*FM68*FP68*VLOOKUP('Données projet'!$B$16,Paramètres!$A$1:$I$89,3,0)*0.475*44/12</f>
        <v>3.2821539346988806E-5</v>
      </c>
      <c r="FT68" s="22">
        <f t="shared" ref="FT68:FT131" si="78">SUM(FQ68:FS68)</f>
        <v>3.0555899331081631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555</v>
      </c>
      <c r="FX68" s="12">
        <f>VLOOKUP(A68,'Données projet'!$A$243:$I$263,9,0)</f>
        <v>17.399999999999999</v>
      </c>
      <c r="FY68" s="12">
        <f t="array" ref="FY68">INDEX(FX:FX,MIN(IF(ISNUMBER(FX68:FX264),ROW(FX68:FX264),"")))</f>
        <v>17.399999999999999</v>
      </c>
      <c r="FZ68" s="12">
        <f>IF('Données projet'!$A$244&gt;35,FZ67+FY68-GH67,IF(A68&lt;'Données projet'!$A$244,$FW$205^A68,IF(A68='Données projet'!$A$244,'Données projet'!$B$244,FZ67+FY68-GH67)))</f>
        <v>554.99999999999989</v>
      </c>
      <c r="GA68" s="17">
        <f>FZ68*VLOOKUP('Données projet'!$B$17,Paramètres!$A$1:$I$89,3,0)*VLOOKUP('Données projet'!$B$17,Paramètres!$A$1:$I$89,5,0)</f>
        <v>331.88999999999993</v>
      </c>
      <c r="GB68" s="13">
        <f t="shared" si="49"/>
        <v>77.822022056956186</v>
      </c>
      <c r="GC68" s="20">
        <f t="shared" ref="GC68:GC131" si="79">(GA68+GB68)*0.475*44/12</f>
        <v>713.58177174919854</v>
      </c>
      <c r="GD68" s="59">
        <f t="shared" ref="GD68:GD131" si="80">GC68+(FU68+FV68)*44/12</f>
        <v>1006.9151050825319</v>
      </c>
      <c r="GE68" s="59">
        <f ca="1">AVERAGE(OFFSET($GD$3,0,0,'Données projet'!$E$17+1,1))-AVERAGE(OFFSET($H$3,0,0,'Données projet'!$E$17+1,1))</f>
        <v>282.94722676586207</v>
      </c>
      <c r="GF68" s="59">
        <f t="shared" si="50"/>
        <v>310.63647941571298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555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4.0611789268662069</v>
      </c>
      <c r="GN68" s="21">
        <f>EXP(-LN(2)/2)*GN67+(1-EXP(-LN(2)/2))/(LN(2)/2)*GH68*GK68*VLOOKUP('Données projet'!$B$17,Paramètres!$A$1:$I$89,3,0)*0.475*44/12</f>
        <v>1.3831305244517899E-4</v>
      </c>
      <c r="GO68" s="21">
        <f t="shared" ref="GO68:GO131" si="81">SUM(GL68:GN68)</f>
        <v>4.0613172399186519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-1.1368683772161603E-13</v>
      </c>
      <c r="GV68" s="17">
        <f>GU68*VLOOKUP('Données projet'!$B$18,Paramètres!$A$1:$I$89,3,0)*VLOOKUP('Données projet'!$B$18,Paramètres!$A$1:$I$89,5,0)</f>
        <v>-6.7984728957526396E-14</v>
      </c>
      <c r="GW68" s="13" t="e">
        <f t="shared" si="51"/>
        <v>#NUM!</v>
      </c>
      <c r="GX68" s="20" t="e">
        <f t="shared" ref="GX68:GX131" si="82">(GV68+GW68)*0.475*44/12</f>
        <v>#NUM!</v>
      </c>
      <c r="GY68" s="59" t="e">
        <f t="shared" ref="GY68:GY131" si="83">GX68+(GP68+GQ68)*44/12</f>
        <v>#NUM!</v>
      </c>
      <c r="GZ68" s="59">
        <f ca="1">AVERAGE(OFFSET($GY$3,0,0,'Données projet'!$E$18+1,1))-AVERAGE(OFFSET($H$3,0,0,'Données projet'!$E$18+1,1))</f>
        <v>255.54398581450459</v>
      </c>
      <c r="HA68" s="59">
        <f t="shared" si="52"/>
        <v>276.52622328061204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2.026400887438637</v>
      </c>
      <c r="HI68" s="21">
        <f>EXP(-LN(2)/2)*HI67+(1-EXP(-LN(2)/2))/(LN(2)/2)*HC68*HF68*VLOOKUP('Données projet'!$B$18,Paramètres!$A$1:$I$89,3,0)*0.475*44/12</f>
        <v>8.0204894399705793E-5</v>
      </c>
      <c r="HJ68" s="22">
        <f t="shared" ref="HJ68:HJ131" si="84">SUM(HG68:HI68)</f>
        <v>2.0264810923330367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5.6843418860808015E-14</v>
      </c>
      <c r="O69" s="13">
        <f>N69*VLOOKUP('Données projet'!$B$9,Paramètres!$A$1:$I$89,3,0)*VLOOKUP('Données projet'!$B$9,Paramètres!$A$1:$I$89,5,0)</f>
        <v>4.9658410716801891E-14</v>
      </c>
      <c r="P69" s="13">
        <f t="shared" ref="P69:P132" si="87">EXP(-1.0587+0.8836*LN(O69)+0.284)</f>
        <v>8.0934058173791862E-13</v>
      </c>
      <c r="Q69" s="20">
        <f t="shared" si="54"/>
        <v>1.4960899118586383E-12</v>
      </c>
      <c r="R69" s="59">
        <f t="shared" si="55"/>
        <v>293.33333333333479</v>
      </c>
      <c r="S69" s="59">
        <f ca="1">AVERAGE(OFFSET($R$3,0,0,'Données projet'!$E$9+1,1))-AVERAGE(OFFSET($H$3,0,0,'Données projet'!$E$9+1,1))</f>
        <v>248.50221719467663</v>
      </c>
      <c r="T69" s="59">
        <f t="shared" ref="T69:T132" si="88">$T$3</f>
        <v>366.09064580347183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3.8700123247995415</v>
      </c>
      <c r="AA69" s="21">
        <f>EXP(-LN(2)/25)*AA68+(1-EXP(-LN(2)/25))/(LN(2)/25)*Calculateur!V69*Calculateur!X69*VLOOKUP('Données projet'!$B$9,Paramètres!$A$1:$I$89,3,0)*0.475*44/12</f>
        <v>8.8713771859471109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12.741389510746652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243.57216</v>
      </c>
      <c r="AK69" s="13">
        <f t="shared" ref="AK69:AK132" si="89">EXP(-1.0587+0.8836*LN(AJ69)+0.284)</f>
        <v>59.207435995642292</v>
      </c>
      <c r="AL69" s="20">
        <f t="shared" si="58"/>
        <v>527.34112969241028</v>
      </c>
      <c r="AM69" s="59">
        <f t="shared" si="59"/>
        <v>820.67446302574353</v>
      </c>
      <c r="AN69" s="59">
        <f ca="1">AVERAGE(OFFSET($AM$3,0,0,'Données projet'!$E$10+1,1))-AVERAGE(OFFSET($H$3,0,0,'Données projet'!$E$10+1,1))</f>
        <v>263.22346936777603</v>
      </c>
      <c r="AO69" s="59">
        <f t="shared" ref="AO69:AO132" si="90">$AO$3</f>
        <v>217.14714468707939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2.6817896304671049</v>
      </c>
      <c r="AW69" s="21">
        <f>EXP(-LN(2)/2)*AW68+(1-EXP(-LN(2)/2))/(LN(2)/2)*AQ69*AT69*VLOOKUP('Données projet'!$B$10,Paramètres!$A$1:$I$89,3,0)*0.475*44/12</f>
        <v>6.8095247061314445E-5</v>
      </c>
      <c r="AX69" s="21">
        <f t="shared" si="60"/>
        <v>2.6818577257141665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8.6666666666666661</v>
      </c>
      <c r="BD69" s="12">
        <f>IF('Données projet'!$A$88&gt;35,BD68+BC69-BL68,IF(A69&lt;'Données projet'!$A$88,$BA$205^A69,IF(A69='Données projet'!$A$88,'Données projet'!$B$88,BD68+BC69-BL68)))</f>
        <v>302</v>
      </c>
      <c r="BE69" s="13">
        <f>BD69*VLOOKUP('Données projet'!$B$11,Paramètres!$A$1:$I$89,3,0)*VLOOKUP('Données projet'!$B$11,Paramètres!$A$1:$I$89,5,0)</f>
        <v>235.56</v>
      </c>
      <c r="BF69" s="13">
        <f t="shared" ref="BF69:BF132" si="91">EXP(-1.0587+0.8836*LN(BE69)+0.284)</f>
        <v>57.483207143847721</v>
      </c>
      <c r="BG69" s="20">
        <f t="shared" si="61"/>
        <v>510.38358577553481</v>
      </c>
      <c r="BH69" s="59">
        <f t="shared" si="62"/>
        <v>803.71691910886807</v>
      </c>
      <c r="BI69" s="59">
        <f ca="1">AVERAGE(OFFSET($BH$3,0,0,'Données projet'!$E$11+1,1))-AVERAGE(OFFSET($H$3,0,0,'Données projet'!$E$11+1,1))</f>
        <v>219.22204054948094</v>
      </c>
      <c r="BJ69" s="59">
        <f t="shared" ref="BJ69:BJ132" si="92">$BJ$3</f>
        <v>222.41711966122034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1.1556726482635966</v>
      </c>
      <c r="BR69" s="21">
        <f>EXP(-LN(2)/2)*BR68+(1-EXP(-LN(2)/2))/(LN(2)/2)*BL69*BO69*VLOOKUP('Données projet'!$B$11,Paramètres!$A$1:$I$89,3,0)*0.475*44/12</f>
        <v>1.2474469895677881E-5</v>
      </c>
      <c r="BS69" s="22">
        <f t="shared" si="63"/>
        <v>1.1556851227334923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13.2</v>
      </c>
      <c r="BY69" s="12">
        <f>IF('Données projet'!$A$114&gt;35,BY68+BX69-CG68,IF(A69&lt;'Données projet'!$A$114,$BV$205^A69,IF(A69='Données projet'!$A$114,'Données projet'!$B$114,BY68+BX69-CG68)))</f>
        <v>309.19999999999976</v>
      </c>
      <c r="BZ69" s="13">
        <f>BY69*VLOOKUP('Données projet'!$B$12,Paramètres!$A$1:$I$89,3,0)*VLOOKUP('Données projet'!$B$12,Paramètres!$A$1:$I$89,5,0)</f>
        <v>265.29359999999986</v>
      </c>
      <c r="CA69" s="13">
        <f t="shared" ref="CA69:CA132" si="93">EXP(-1.0587+0.8836*LN(BZ69)+0.284)</f>
        <v>63.849432501694174</v>
      </c>
      <c r="CB69" s="20">
        <f t="shared" si="64"/>
        <v>573.25744827378378</v>
      </c>
      <c r="CC69" s="59">
        <f t="shared" si="65"/>
        <v>866.59078160711715</v>
      </c>
      <c r="CD69" s="59">
        <f ca="1">AVERAGE(OFFSET($CC$3,0,0,'Données projet'!$E$12+1,1))-AVERAGE(OFFSET($H$3,0,0,'Données projet'!$E$12+1,1))</f>
        <v>237.27357081252273</v>
      </c>
      <c r="CE69" s="59">
        <f t="shared" ref="CE69:CE132" si="94">$CE$3</f>
        <v>68.768479693848576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-3.4106051316484809E-13</v>
      </c>
      <c r="CU69" s="17">
        <f>CT69*VLOOKUP('Données projet'!$B$13,Paramètres!$A$1:$I$89,3,0)*VLOOKUP('Données projet'!$B$13,Paramètres!$A$1:$I$89,5,0)</f>
        <v>-1.9065282685915009E-13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474.03051418249999</v>
      </c>
      <c r="CZ69" s="59">
        <f t="shared" ref="CZ69:CZ132" si="96">$CZ$3</f>
        <v>649.52271992719091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2.679025204457627</v>
      </c>
      <c r="DG69" s="21">
        <f>EXP(-LN(2)/25)*DG68+(1-EXP(-LN(2)/25))/(LN(2)/25)*Calculateur!DB69*Calculateur!DD69*VLOOKUP('Données projet'!$B$13,Paramètres!$A$1:$I$89,3,0)*0.475*44/12</f>
        <v>8.9167749961719487</v>
      </c>
      <c r="DH69" s="21">
        <f>EXP(-LN(2)/2)*DH68+(1-EXP(-LN(2)/2))/(LN(2)/2)*DB69*DE69*VLOOKUP('Données projet'!$B$13,Paramètres!$A$1:$I$89,3,0)*0.475*44/12</f>
        <v>4.4630691725483348E-5</v>
      </c>
      <c r="DI69" s="22">
        <f t="shared" si="69"/>
        <v>11.595844831321301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-5.6843418860808015E-14</v>
      </c>
      <c r="DP69" s="17">
        <f>DO69*VLOOKUP('Données projet'!$B$14,Paramètres!$A$1:$I$89,3,0)*VLOOKUP('Données projet'!$B$14,Paramètres!$A$1:$I$89,5,0)</f>
        <v>-3.1036506698001178E-14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164.0740581424559</v>
      </c>
      <c r="DU69" s="59">
        <f t="shared" ref="DU69:DU132" si="98">$DU$3</f>
        <v>280.99861170359793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3.2380606933055112</v>
      </c>
      <c r="EB69" s="21">
        <f>EXP(-LN(2)/25)*EB68+(1-EXP(-LN(2)/25))/(LN(2)/25)*Calculateur!DW69*Calculateur!DY69*VLOOKUP('Données projet'!$B$14,Paramètres!$A$1:$I$89,3,0)*0.475*44/12</f>
        <v>9.5446660308995916</v>
      </c>
      <c r="EC69" s="21">
        <f>EXP(-LN(2)/2)*EC68+(1-EXP(-LN(2)/2))/(LN(2)/2)*DW69*DZ69*VLOOKUP('Données projet'!$B$14,Paramètres!$A$1:$I$89,3,0)*0.475*44/12</f>
        <v>5.790219595753367E-5</v>
      </c>
      <c r="ED69" s="22">
        <f t="shared" si="72"/>
        <v>12.78278462640106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1.1368683772161603E-13</v>
      </c>
      <c r="EK69" s="17">
        <f>EJ69*VLOOKUP('Données projet'!$B$15,Paramètres!$A$1:$I$89,3,0)*VLOOKUP('Données projet'!$B$15,Paramètres!$A$1:$I$89,5,0)</f>
        <v>5.4683368944097308E-14</v>
      </c>
      <c r="EL69" s="13">
        <f t="shared" ref="EL69:EL132" si="99">EXP(-1.0587+0.8836*LN(EK69)+0.284)</f>
        <v>8.8129432816788268E-13</v>
      </c>
      <c r="EM69" s="20">
        <f t="shared" si="73"/>
        <v>1.6301611558033651E-12</v>
      </c>
      <c r="EN69" s="59">
        <f t="shared" si="74"/>
        <v>293.33333333333496</v>
      </c>
      <c r="EO69" s="59">
        <f ca="1">AVERAGE(OFFSET($EN$3,0,0,'Données projet'!$E$15+1,1))-AVERAGE(OFFSET($H$3,0,0,'Données projet'!$E$15+1,1))</f>
        <v>312.1172301514103</v>
      </c>
      <c r="EP69" s="59">
        <f t="shared" ref="EP69:EP132" si="100">$EP$3</f>
        <v>369.85500533493212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1.3246342949496317</v>
      </c>
      <c r="EW69" s="21">
        <f>EXP(-LN(2)/25)*EW68+(1-EXP(-LN(2)/25))/(LN(2)/25)*Calculateur!ER69*Calculateur!ET69*VLOOKUP('Données projet'!$B$15,Paramètres!$A$1:$I$89,3,0)*0.475*44/12</f>
        <v>5.5430776194248734</v>
      </c>
      <c r="EX69" s="21">
        <f>EXP(-LN(2)/2)*EX68+(1-EXP(-LN(2)/2))/(LN(2)/2)*ER69*EU69*VLOOKUP('Données projet'!$B$15,Paramètres!$A$1:$I$89,3,0)*0.475*44/12</f>
        <v>1.2083653902945746E-4</v>
      </c>
      <c r="EY69" s="22">
        <f t="shared" si="75"/>
        <v>6.867832750913534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-1.7053025658242404E-13</v>
      </c>
      <c r="FF69" s="17">
        <f>FE69*VLOOKUP('Données projet'!$B$16,Paramètres!$A$1:$I$89,3,0)*VLOOKUP('Données projet'!$B$16,Paramètres!$A$1:$I$89,5,0)</f>
        <v>-7.9808160080574461E-14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87.187251664304199</v>
      </c>
      <c r="FK69" s="59">
        <f t="shared" ref="FK69:FK132" si="102">$FK$3</f>
        <v>148.84938257884147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2.9720027416682022</v>
      </c>
      <c r="FS69" s="21">
        <f>EXP(-LN(2)/2)*FS68+(1-EXP(-LN(2)/2))/(LN(2)/2)*FM69*FP69*VLOOKUP('Données projet'!$B$16,Paramètres!$A$1:$I$89,3,0)*0.475*44/12</f>
        <v>2.3208333041236874E-5</v>
      </c>
      <c r="FT69" s="22">
        <f t="shared" si="78"/>
        <v>2.9720259500012434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-1.1368683772161603E-13</v>
      </c>
      <c r="GA69" s="17">
        <f>FZ69*VLOOKUP('Données projet'!$B$17,Paramètres!$A$1:$I$89,3,0)*VLOOKUP('Données projet'!$B$17,Paramètres!$A$1:$I$89,5,0)</f>
        <v>-6.7984728957526396E-14</v>
      </c>
      <c r="GB69" s="13" t="e">
        <f t="shared" ref="GB69:GB132" si="103">EXP(-1.0587+0.8836*LN(GA69)+0.284)</f>
        <v>#NUM!</v>
      </c>
      <c r="GC69" s="20" t="e">
        <f t="shared" si="79"/>
        <v>#NUM!</v>
      </c>
      <c r="GD69" s="59" t="e">
        <f t="shared" si="80"/>
        <v>#NUM!</v>
      </c>
      <c r="GE69" s="59">
        <f ca="1">AVERAGE(OFFSET($GD$3,0,0,'Données projet'!$E$17+1,1))-AVERAGE(OFFSET($H$3,0,0,'Données projet'!$E$17+1,1))</f>
        <v>282.94722676586207</v>
      </c>
      <c r="GF69" s="59">
        <f t="shared" ref="GF69:GF132" si="104">$GF$3</f>
        <v>310.63647941571298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3.9501257755429324</v>
      </c>
      <c r="GN69" s="21">
        <f>EXP(-LN(2)/2)*GN68+(1-EXP(-LN(2)/2))/(LN(2)/2)*GH69*GK69*VLOOKUP('Données projet'!$B$17,Paramètres!$A$1:$I$89,3,0)*0.475*44/12</f>
        <v>9.7802097310596657E-5</v>
      </c>
      <c r="GO69" s="21">
        <f t="shared" si="81"/>
        <v>3.950223577640243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-1.1368683772161603E-13</v>
      </c>
      <c r="GV69" s="17">
        <f>GU69*VLOOKUP('Données projet'!$B$18,Paramètres!$A$1:$I$89,3,0)*VLOOKUP('Données projet'!$B$18,Paramètres!$A$1:$I$89,5,0)</f>
        <v>-6.7984728957526396E-14</v>
      </c>
      <c r="GW69" s="13" t="e">
        <f t="shared" ref="GW69:GW132" si="105">EXP(-1.0587+0.8836*LN(GV69)+0.284)</f>
        <v>#NUM!</v>
      </c>
      <c r="GX69" s="20" t="e">
        <f t="shared" si="82"/>
        <v>#NUM!</v>
      </c>
      <c r="GY69" s="59" t="e">
        <f t="shared" si="83"/>
        <v>#NUM!</v>
      </c>
      <c r="GZ69" s="59">
        <f ca="1">AVERAGE(OFFSET($GY$3,0,0,'Données projet'!$E$18+1,1))-AVERAGE(OFFSET($H$3,0,0,'Données projet'!$E$18+1,1))</f>
        <v>255.54398581450459</v>
      </c>
      <c r="HA69" s="59">
        <f t="shared" ref="HA69:HA132" si="106">$HA$3</f>
        <v>276.52622328061204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1.9709888486078362</v>
      </c>
      <c r="HI69" s="21">
        <f>EXP(-LN(2)/2)*HI68+(1-EXP(-LN(2)/2))/(LN(2)/2)*HC69*HF69*VLOOKUP('Données projet'!$B$18,Paramètres!$A$1:$I$89,3,0)*0.475*44/12</f>
        <v>5.6713424714382916E-5</v>
      </c>
      <c r="HJ69" s="22">
        <f t="shared" si="84"/>
        <v>1.9710455620325507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5.6843418860808015E-14</v>
      </c>
      <c r="O70" s="13">
        <f>N70*VLOOKUP('Données projet'!$B$9,Paramètres!$A$1:$I$89,3,0)*VLOOKUP('Données projet'!$B$9,Paramètres!$A$1:$I$89,5,0)</f>
        <v>4.9658410716801891E-14</v>
      </c>
      <c r="P70" s="13">
        <f t="shared" si="87"/>
        <v>8.0934058173791862E-13</v>
      </c>
      <c r="Q70" s="20">
        <f t="shared" si="54"/>
        <v>1.4960899118586383E-12</v>
      </c>
      <c r="R70" s="59">
        <f t="shared" si="55"/>
        <v>293.33333333333479</v>
      </c>
      <c r="S70" s="59">
        <f ca="1">AVERAGE(OFFSET($R$3,0,0,'Données projet'!$E$9+1,1))-AVERAGE(OFFSET($H$3,0,0,'Données projet'!$E$9+1,1))</f>
        <v>248.50221719467663</v>
      </c>
      <c r="T70" s="59">
        <f t="shared" si="88"/>
        <v>366.09064580347183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3.7941237435846631</v>
      </c>
      <c r="AA70" s="21">
        <f>EXP(-LN(2)/25)*AA69+(1-EXP(-LN(2)/25))/(LN(2)/25)*Calculateur!V70*Calculateur!X70*VLOOKUP('Données projet'!$B$9,Paramètres!$A$1:$I$89,3,0)*0.475*44/12</f>
        <v>8.6287889102719362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12.422912653856599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250.99151999999995</v>
      </c>
      <c r="AK70" s="13">
        <f t="shared" si="89"/>
        <v>60.798211000769406</v>
      </c>
      <c r="AL70" s="20">
        <f t="shared" si="58"/>
        <v>543.03378149300659</v>
      </c>
      <c r="AM70" s="59">
        <f t="shared" si="59"/>
        <v>836.36711482633996</v>
      </c>
      <c r="AN70" s="59">
        <f ca="1">AVERAGE(OFFSET($AM$3,0,0,'Données projet'!$E$10+1,1))-AVERAGE(OFFSET($H$3,0,0,'Données projet'!$E$10+1,1))</f>
        <v>263.22346936777603</v>
      </c>
      <c r="AO70" s="59">
        <f t="shared" si="90"/>
        <v>217.14714468707939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2.6084559519927946</v>
      </c>
      <c r="AW70" s="21">
        <f>EXP(-LN(2)/2)*AW69+(1-EXP(-LN(2)/2))/(LN(2)/2)*AQ70*AT70*VLOOKUP('Données projet'!$B$10,Paramètres!$A$1:$I$89,3,0)*0.475*44/12</f>
        <v>4.8150610963628767E-5</v>
      </c>
      <c r="AX70" s="21">
        <f t="shared" si="60"/>
        <v>2.6085041026037583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8.6666666666666661</v>
      </c>
      <c r="BD70" s="12">
        <f>IF('Données projet'!$A$88&gt;35,BD69+BC70-BL69,IF(A70&lt;'Données projet'!$A$88,$BA$205^A70,IF(A70='Données projet'!$A$88,'Données projet'!$B$88,BD69+BC70-BL69)))</f>
        <v>310.66666666666669</v>
      </c>
      <c r="BE70" s="13">
        <f>BD70*VLOOKUP('Données projet'!$B$11,Paramètres!$A$1:$I$89,3,0)*VLOOKUP('Données projet'!$B$11,Paramètres!$A$1:$I$89,5,0)</f>
        <v>242.32000000000002</v>
      </c>
      <c r="BF70" s="13">
        <f t="shared" si="91"/>
        <v>58.938409961900859</v>
      </c>
      <c r="BG70" s="20">
        <f t="shared" si="61"/>
        <v>524.69173068364398</v>
      </c>
      <c r="BH70" s="59">
        <f t="shared" si="62"/>
        <v>818.02506401697724</v>
      </c>
      <c r="BI70" s="59">
        <f ca="1">AVERAGE(OFFSET($BH$3,0,0,'Données projet'!$E$11+1,1))-AVERAGE(OFFSET($H$3,0,0,'Données projet'!$E$11+1,1))</f>
        <v>219.22204054948094</v>
      </c>
      <c r="BJ70" s="59">
        <f t="shared" si="92"/>
        <v>222.41711966122034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1.1240707189226453</v>
      </c>
      <c r="BR70" s="21">
        <f>EXP(-LN(2)/2)*BR69+(1-EXP(-LN(2)/2))/(LN(2)/2)*BL70*BO70*VLOOKUP('Données projet'!$B$11,Paramètres!$A$1:$I$89,3,0)*0.475*44/12</f>
        <v>8.8207822549412735E-6</v>
      </c>
      <c r="BS70" s="22">
        <f t="shared" si="63"/>
        <v>1.1240795397049002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13.2</v>
      </c>
      <c r="BY70" s="12">
        <f>IF('Données projet'!$A$114&gt;35,BY69+BX70-CG69,IF(A70&lt;'Données projet'!$A$114,$BV$205^A70,IF(A70='Données projet'!$A$114,'Données projet'!$B$114,BY69+BX70-CG69)))</f>
        <v>322.39999999999975</v>
      </c>
      <c r="BZ70" s="13">
        <f>BY70*VLOOKUP('Données projet'!$B$12,Paramètres!$A$1:$I$89,3,0)*VLOOKUP('Données projet'!$B$12,Paramètres!$A$1:$I$89,5,0)</f>
        <v>276.61919999999981</v>
      </c>
      <c r="CA70" s="13">
        <f t="shared" si="93"/>
        <v>66.252044316235455</v>
      </c>
      <c r="CB70" s="20">
        <f t="shared" si="64"/>
        <v>597.16741718410981</v>
      </c>
      <c r="CC70" s="59">
        <f t="shared" si="65"/>
        <v>890.50075051744307</v>
      </c>
      <c r="CD70" s="59">
        <f ca="1">AVERAGE(OFFSET($CC$3,0,0,'Données projet'!$E$12+1,1))-AVERAGE(OFFSET($H$3,0,0,'Données projet'!$E$12+1,1))</f>
        <v>237.27357081252273</v>
      </c>
      <c r="CE70" s="59">
        <f t="shared" si="94"/>
        <v>68.768479693848576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-3.4106051316484809E-13</v>
      </c>
      <c r="CU70" s="17">
        <f>CT70*VLOOKUP('Données projet'!$B$13,Paramètres!$A$1:$I$89,3,0)*VLOOKUP('Données projet'!$B$13,Paramètres!$A$1:$I$89,5,0)</f>
        <v>-1.9065282685915009E-13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474.03051418249999</v>
      </c>
      <c r="CZ70" s="59">
        <f t="shared" si="96"/>
        <v>649.52271992719091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2.6264911542422391</v>
      </c>
      <c r="DG70" s="21">
        <f>EXP(-LN(2)/25)*DG69+(1-EXP(-LN(2)/25))/(LN(2)/25)*Calculateur!DB70*Calculateur!DD70*VLOOKUP('Données projet'!$B$13,Paramètres!$A$1:$I$89,3,0)*0.475*44/12</f>
        <v>8.6729453149888087</v>
      </c>
      <c r="DH70" s="21">
        <f>EXP(-LN(2)/2)*DH69+(1-EXP(-LN(2)/2))/(LN(2)/2)*DB70*DE70*VLOOKUP('Données projet'!$B$13,Paramètres!$A$1:$I$89,3,0)*0.475*44/12</f>
        <v>3.1558664768135611E-5</v>
      </c>
      <c r="DI70" s="22">
        <f t="shared" si="69"/>
        <v>11.299468027895815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-5.6843418860808015E-14</v>
      </c>
      <c r="DP70" s="17">
        <f>DO70*VLOOKUP('Données projet'!$B$14,Paramètres!$A$1:$I$89,3,0)*VLOOKUP('Données projet'!$B$14,Paramètres!$A$1:$I$89,5,0)</f>
        <v>-3.1036506698001178E-14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164.0740581424559</v>
      </c>
      <c r="DU70" s="59">
        <f t="shared" si="98"/>
        <v>280.99861170359793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3.1745642981317959</v>
      </c>
      <c r="EB70" s="21">
        <f>EXP(-LN(2)/25)*EB69+(1-EXP(-LN(2)/25))/(LN(2)/25)*Calculateur!DW70*Calculateur!DY70*VLOOKUP('Données projet'!$B$14,Paramètres!$A$1:$I$89,3,0)*0.475*44/12</f>
        <v>9.2836666363524696</v>
      </c>
      <c r="EC70" s="21">
        <f>EXP(-LN(2)/2)*EC69+(1-EXP(-LN(2)/2))/(LN(2)/2)*DW70*DZ70*VLOOKUP('Données projet'!$B$14,Paramètres!$A$1:$I$89,3,0)*0.475*44/12</f>
        <v>4.094303540716436E-5</v>
      </c>
      <c r="ED70" s="22">
        <f t="shared" si="72"/>
        <v>12.458271877519673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1.1368683772161603E-13</v>
      </c>
      <c r="EK70" s="17">
        <f>EJ70*VLOOKUP('Données projet'!$B$15,Paramètres!$A$1:$I$89,3,0)*VLOOKUP('Données projet'!$B$15,Paramètres!$A$1:$I$89,5,0)</f>
        <v>5.4683368944097308E-14</v>
      </c>
      <c r="EL70" s="13">
        <f t="shared" si="99"/>
        <v>8.8129432816788268E-13</v>
      </c>
      <c r="EM70" s="20">
        <f t="shared" si="73"/>
        <v>1.6301611558033651E-12</v>
      </c>
      <c r="EN70" s="59">
        <f t="shared" si="74"/>
        <v>293.33333333333496</v>
      </c>
      <c r="EO70" s="59">
        <f ca="1">AVERAGE(OFFSET($EN$3,0,0,'Données projet'!$E$15+1,1))-AVERAGE(OFFSET($H$3,0,0,'Données projet'!$E$15+1,1))</f>
        <v>312.1172301514103</v>
      </c>
      <c r="EP70" s="59">
        <f t="shared" si="100"/>
        <v>369.85500533493212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1.2986590243728111</v>
      </c>
      <c r="EW70" s="21">
        <f>EXP(-LN(2)/25)*EW69+(1-EXP(-LN(2)/25))/(LN(2)/25)*Calculateur!ER70*Calculateur!ET70*VLOOKUP('Données projet'!$B$15,Paramètres!$A$1:$I$89,3,0)*0.475*44/12</f>
        <v>5.3915018704239168</v>
      </c>
      <c r="EX70" s="21">
        <f>EXP(-LN(2)/2)*EX69+(1-EXP(-LN(2)/2))/(LN(2)/2)*ER70*EU70*VLOOKUP('Données projet'!$B$15,Paramètres!$A$1:$I$89,3,0)*0.475*44/12</f>
        <v>8.544433616284229E-5</v>
      </c>
      <c r="EY70" s="22">
        <f t="shared" si="75"/>
        <v>6.6902463391328908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-1.7053025658242404E-13</v>
      </c>
      <c r="FF70" s="17">
        <f>FE70*VLOOKUP('Données projet'!$B$16,Paramètres!$A$1:$I$89,3,0)*VLOOKUP('Données projet'!$B$16,Paramètres!$A$1:$I$89,5,0)</f>
        <v>-7.9808160080574461E-14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87.187251664304199</v>
      </c>
      <c r="FK70" s="59">
        <f t="shared" si="102"/>
        <v>148.84938257884147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2.8907331704064538</v>
      </c>
      <c r="FS70" s="21">
        <f>EXP(-LN(2)/2)*FS69+(1-EXP(-LN(2)/2))/(LN(2)/2)*FM70*FP70*VLOOKUP('Données projet'!$B$16,Paramètres!$A$1:$I$89,3,0)*0.475*44/12</f>
        <v>1.6410769673494403E-5</v>
      </c>
      <c r="FT70" s="22">
        <f t="shared" si="78"/>
        <v>2.8907495811761272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-1.1368683772161603E-13</v>
      </c>
      <c r="GA70" s="17">
        <f>FZ70*VLOOKUP('Données projet'!$B$17,Paramètres!$A$1:$I$89,3,0)*VLOOKUP('Données projet'!$B$17,Paramètres!$A$1:$I$89,5,0)</f>
        <v>-6.7984728957526396E-14</v>
      </c>
      <c r="GB70" s="13" t="e">
        <f t="shared" si="103"/>
        <v>#NUM!</v>
      </c>
      <c r="GC70" s="20" t="e">
        <f t="shared" si="79"/>
        <v>#NUM!</v>
      </c>
      <c r="GD70" s="59" t="e">
        <f t="shared" si="80"/>
        <v>#NUM!</v>
      </c>
      <c r="GE70" s="59">
        <f ca="1">AVERAGE(OFFSET($GD$3,0,0,'Données projet'!$E$17+1,1))-AVERAGE(OFFSET($H$3,0,0,'Données projet'!$E$17+1,1))</f>
        <v>282.94722676586207</v>
      </c>
      <c r="GF70" s="59">
        <f t="shared" si="104"/>
        <v>310.63647941571298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3.8421093784826246</v>
      </c>
      <c r="GN70" s="21">
        <f>EXP(-LN(2)/2)*GN69+(1-EXP(-LN(2)/2))/(LN(2)/2)*GH70*GK70*VLOOKUP('Données projet'!$B$17,Paramètres!$A$1:$I$89,3,0)*0.475*44/12</f>
        <v>6.9156526222589497E-5</v>
      </c>
      <c r="GO70" s="21">
        <f t="shared" si="81"/>
        <v>3.8421785350088471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-1.1368683772161603E-13</v>
      </c>
      <c r="GV70" s="17">
        <f>GU70*VLOOKUP('Données projet'!$B$18,Paramètres!$A$1:$I$89,3,0)*VLOOKUP('Données projet'!$B$18,Paramètres!$A$1:$I$89,5,0)</f>
        <v>-6.7984728957526396E-14</v>
      </c>
      <c r="GW70" s="13" t="e">
        <f t="shared" si="105"/>
        <v>#NUM!</v>
      </c>
      <c r="GX70" s="20" t="e">
        <f t="shared" si="82"/>
        <v>#NUM!</v>
      </c>
      <c r="GY70" s="59" t="e">
        <f t="shared" si="83"/>
        <v>#NUM!</v>
      </c>
      <c r="GZ70" s="59">
        <f ca="1">AVERAGE(OFFSET($GY$3,0,0,'Données projet'!$E$18+1,1))-AVERAGE(OFFSET($H$3,0,0,'Données projet'!$E$18+1,1))</f>
        <v>255.54398581450459</v>
      </c>
      <c r="HA70" s="59">
        <f t="shared" si="106"/>
        <v>276.52622328061204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1.9170920548928561</v>
      </c>
      <c r="HI70" s="21">
        <f>EXP(-LN(2)/2)*HI69+(1-EXP(-LN(2)/2))/(LN(2)/2)*HC70*HF70*VLOOKUP('Données projet'!$B$18,Paramètres!$A$1:$I$89,3,0)*0.475*44/12</f>
        <v>4.0102447199852897E-5</v>
      </c>
      <c r="HJ70" s="22">
        <f t="shared" si="84"/>
        <v>1.9171321573400559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5.6843418860808015E-14</v>
      </c>
      <c r="O71" s="13">
        <f>N71*VLOOKUP('Données projet'!$B$9,Paramètres!$A$1:$I$89,3,0)*VLOOKUP('Données projet'!$B$9,Paramètres!$A$1:$I$89,5,0)</f>
        <v>4.9658410716801891E-14</v>
      </c>
      <c r="P71" s="13">
        <f t="shared" si="87"/>
        <v>8.0934058173791862E-13</v>
      </c>
      <c r="Q71" s="20">
        <f t="shared" si="54"/>
        <v>1.4960899118586383E-12</v>
      </c>
      <c r="R71" s="59">
        <f t="shared" si="55"/>
        <v>293.33333333333479</v>
      </c>
      <c r="S71" s="59">
        <f ca="1">AVERAGE(OFFSET($R$3,0,0,'Données projet'!$E$9+1,1))-AVERAGE(OFFSET($H$3,0,0,'Données projet'!$E$9+1,1))</f>
        <v>248.50221719467663</v>
      </c>
      <c r="T71" s="59">
        <f t="shared" si="88"/>
        <v>366.09064580347183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3.7197232911599443</v>
      </c>
      <c r="AA71" s="21">
        <f>EXP(-LN(2)/25)*AA70+(1-EXP(-LN(2)/25))/(LN(2)/25)*Calculateur!V71*Calculateur!X71*VLOOKUP('Données projet'!$B$9,Paramètres!$A$1:$I$89,3,0)*0.475*44/12</f>
        <v>8.3928342237522635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12.112557514912208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258.41087999999996</v>
      </c>
      <c r="AK71" s="13">
        <f t="shared" si="89"/>
        <v>62.383521020316756</v>
      </c>
      <c r="AL71" s="20">
        <f t="shared" si="58"/>
        <v>558.71691511038489</v>
      </c>
      <c r="AM71" s="59">
        <f t="shared" si="59"/>
        <v>852.05024844371815</v>
      </c>
      <c r="AN71" s="59">
        <f ca="1">AVERAGE(OFFSET($AM$3,0,0,'Données projet'!$E$10+1,1))-AVERAGE(OFFSET($H$3,0,0,'Données projet'!$E$10+1,1))</f>
        <v>263.22346936777603</v>
      </c>
      <c r="AO71" s="59">
        <f t="shared" si="90"/>
        <v>217.14714468707939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2.5371275868128147</v>
      </c>
      <c r="AW71" s="21">
        <f>EXP(-LN(2)/2)*AW70+(1-EXP(-LN(2)/2))/(LN(2)/2)*AQ71*AT71*VLOOKUP('Données projet'!$B$10,Paramètres!$A$1:$I$89,3,0)*0.475*44/12</f>
        <v>3.4047623530657223E-5</v>
      </c>
      <c r="AX71" s="21">
        <f t="shared" si="60"/>
        <v>2.5371616344363455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8.6666666666666661</v>
      </c>
      <c r="BD71" s="12">
        <f>IF('Données projet'!$A$88&gt;35,BD70+BC71-BL70,IF(A71&lt;'Données projet'!$A$88,$BA$205^A71,IF(A71='Données projet'!$A$88,'Données projet'!$B$88,BD70+BC71-BL70)))</f>
        <v>319.33333333333337</v>
      </c>
      <c r="BE71" s="13">
        <f>BD71*VLOOKUP('Données projet'!$B$11,Paramètres!$A$1:$I$89,3,0)*VLOOKUP('Données projet'!$B$11,Paramètres!$A$1:$I$89,5,0)</f>
        <v>249.08000000000004</v>
      </c>
      <c r="BF71" s="13">
        <f t="shared" si="91"/>
        <v>60.388894447487807</v>
      </c>
      <c r="BG71" s="20">
        <f t="shared" si="61"/>
        <v>538.99165782937473</v>
      </c>
      <c r="BH71" s="59">
        <f t="shared" si="62"/>
        <v>832.3249911627081</v>
      </c>
      <c r="BI71" s="59">
        <f ca="1">AVERAGE(OFFSET($BH$3,0,0,'Données projet'!$E$11+1,1))-AVERAGE(OFFSET($H$3,0,0,'Données projet'!$E$11+1,1))</f>
        <v>219.22204054948094</v>
      </c>
      <c r="BJ71" s="59">
        <f t="shared" si="92"/>
        <v>222.41711966122034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1.0933329460013956</v>
      </c>
      <c r="BR71" s="21">
        <f>EXP(-LN(2)/2)*BR70+(1-EXP(-LN(2)/2))/(LN(2)/2)*BL71*BO71*VLOOKUP('Données projet'!$B$11,Paramètres!$A$1:$I$89,3,0)*0.475*44/12</f>
        <v>6.2372349478389404E-6</v>
      </c>
      <c r="BS71" s="22">
        <f t="shared" si="63"/>
        <v>1.0933391832363435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13.2</v>
      </c>
      <c r="BY71" s="12">
        <f>IF('Données projet'!$A$114&gt;35,BY70+BX71-CG70,IF(A71&lt;'Données projet'!$A$114,$BV$205^A71,IF(A71='Données projet'!$A$114,'Données projet'!$B$114,BY70+BX71-CG70)))</f>
        <v>335.59999999999974</v>
      </c>
      <c r="BZ71" s="13">
        <f>BY71*VLOOKUP('Données projet'!$B$12,Paramètres!$A$1:$I$89,3,0)*VLOOKUP('Données projet'!$B$12,Paramètres!$A$1:$I$89,5,0)</f>
        <v>287.94479999999982</v>
      </c>
      <c r="CA71" s="13">
        <f t="shared" si="93"/>
        <v>68.643229736907927</v>
      </c>
      <c r="CB71" s="20">
        <f t="shared" si="64"/>
        <v>621.05748512511423</v>
      </c>
      <c r="CC71" s="59">
        <f t="shared" si="65"/>
        <v>914.39081845844748</v>
      </c>
      <c r="CD71" s="59">
        <f ca="1">AVERAGE(OFFSET($CC$3,0,0,'Données projet'!$E$12+1,1))-AVERAGE(OFFSET($H$3,0,0,'Données projet'!$E$12+1,1))</f>
        <v>237.27357081252273</v>
      </c>
      <c r="CE71" s="59">
        <f t="shared" si="94"/>
        <v>68.768479693848576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-3.4106051316484809E-13</v>
      </c>
      <c r="CU71" s="17">
        <f>CT71*VLOOKUP('Données projet'!$B$13,Paramètres!$A$1:$I$89,3,0)*VLOOKUP('Données projet'!$B$13,Paramètres!$A$1:$I$89,5,0)</f>
        <v>-1.9065282685915009E-13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474.03051418249999</v>
      </c>
      <c r="CZ71" s="59">
        <f t="shared" si="96"/>
        <v>649.52271992719091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2.5749872647089682</v>
      </c>
      <c r="DG71" s="21">
        <f>EXP(-LN(2)/25)*DG70+(1-EXP(-LN(2)/25))/(LN(2)/25)*Calculateur!DB71*Calculateur!DD71*VLOOKUP('Données projet'!$B$13,Paramètres!$A$1:$I$89,3,0)*0.475*44/12</f>
        <v>8.435783169260068</v>
      </c>
      <c r="DH71" s="21">
        <f>EXP(-LN(2)/2)*DH70+(1-EXP(-LN(2)/2))/(LN(2)/2)*DB71*DE71*VLOOKUP('Données projet'!$B$13,Paramètres!$A$1:$I$89,3,0)*0.475*44/12</f>
        <v>2.2315345862741674E-5</v>
      </c>
      <c r="DI71" s="22">
        <f t="shared" si="69"/>
        <v>11.010792749314898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-5.6843418860808015E-14</v>
      </c>
      <c r="DP71" s="17">
        <f>DO71*VLOOKUP('Données projet'!$B$14,Paramètres!$A$1:$I$89,3,0)*VLOOKUP('Données projet'!$B$14,Paramètres!$A$1:$I$89,5,0)</f>
        <v>-3.1036506698001178E-14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164.0740581424559</v>
      </c>
      <c r="DU71" s="59">
        <f t="shared" si="98"/>
        <v>280.99861170359793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3.1123130285384599</v>
      </c>
      <c r="EB71" s="21">
        <f>EXP(-LN(2)/25)*EB70+(1-EXP(-LN(2)/25))/(LN(2)/25)*Calculateur!DW71*Calculateur!DY71*VLOOKUP('Données projet'!$B$14,Paramètres!$A$1:$I$89,3,0)*0.475*44/12</f>
        <v>9.0298042839746007</v>
      </c>
      <c r="EC71" s="21">
        <f>EXP(-LN(2)/2)*EC70+(1-EXP(-LN(2)/2))/(LN(2)/2)*DW71*DZ71*VLOOKUP('Données projet'!$B$14,Paramètres!$A$1:$I$89,3,0)*0.475*44/12</f>
        <v>2.8951097978766838E-5</v>
      </c>
      <c r="ED71" s="22">
        <f t="shared" si="72"/>
        <v>12.142146263611041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1.1368683772161603E-13</v>
      </c>
      <c r="EK71" s="17">
        <f>EJ71*VLOOKUP('Données projet'!$B$15,Paramètres!$A$1:$I$89,3,0)*VLOOKUP('Données projet'!$B$15,Paramètres!$A$1:$I$89,5,0)</f>
        <v>5.4683368944097308E-14</v>
      </c>
      <c r="EL71" s="13">
        <f t="shared" si="99"/>
        <v>8.8129432816788268E-13</v>
      </c>
      <c r="EM71" s="20">
        <f t="shared" si="73"/>
        <v>1.6301611558033651E-12</v>
      </c>
      <c r="EN71" s="59">
        <f t="shared" si="74"/>
        <v>293.33333333333496</v>
      </c>
      <c r="EO71" s="59">
        <f ca="1">AVERAGE(OFFSET($EN$3,0,0,'Données projet'!$E$15+1,1))-AVERAGE(OFFSET($H$3,0,0,'Données projet'!$E$15+1,1))</f>
        <v>312.1172301514103</v>
      </c>
      <c r="EP71" s="59">
        <f t="shared" si="100"/>
        <v>369.85500533493212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1.2731931130086513</v>
      </c>
      <c r="EW71" s="21">
        <f>EXP(-LN(2)/25)*EW70+(1-EXP(-LN(2)/25))/(LN(2)/25)*Calculateur!ER71*Calculateur!ET71*VLOOKUP('Données projet'!$B$15,Paramètres!$A$1:$I$89,3,0)*0.475*44/12</f>
        <v>5.2440709682504139</v>
      </c>
      <c r="EX71" s="21">
        <f>EXP(-LN(2)/2)*EX70+(1-EXP(-LN(2)/2))/(LN(2)/2)*ER71*EU71*VLOOKUP('Données projet'!$B$15,Paramètres!$A$1:$I$89,3,0)*0.475*44/12</f>
        <v>6.0418269514728734E-5</v>
      </c>
      <c r="EY71" s="22">
        <f t="shared" si="75"/>
        <v>6.5173244995285797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-1.7053025658242404E-13</v>
      </c>
      <c r="FF71" s="17">
        <f>FE71*VLOOKUP('Données projet'!$B$16,Paramètres!$A$1:$I$89,3,0)*VLOOKUP('Données projet'!$B$16,Paramètres!$A$1:$I$89,5,0)</f>
        <v>-7.9808160080574461E-14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87.187251664304199</v>
      </c>
      <c r="FK71" s="59">
        <f t="shared" si="102"/>
        <v>148.84938257884147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2.8116859198446389</v>
      </c>
      <c r="FS71" s="21">
        <f>EXP(-LN(2)/2)*FS70+(1-EXP(-LN(2)/2))/(LN(2)/2)*FM71*FP71*VLOOKUP('Données projet'!$B$16,Paramètres!$A$1:$I$89,3,0)*0.475*44/12</f>
        <v>1.1604166520618437E-5</v>
      </c>
      <c r="FT71" s="22">
        <f t="shared" si="78"/>
        <v>2.8116975240111595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-1.1368683772161603E-13</v>
      </c>
      <c r="GA71" s="17">
        <f>FZ71*VLOOKUP('Données projet'!$B$17,Paramètres!$A$1:$I$89,3,0)*VLOOKUP('Données projet'!$B$17,Paramètres!$A$1:$I$89,5,0)</f>
        <v>-6.7984728957526396E-14</v>
      </c>
      <c r="GB71" s="13" t="e">
        <f t="shared" si="103"/>
        <v>#NUM!</v>
      </c>
      <c r="GC71" s="20" t="e">
        <f t="shared" si="79"/>
        <v>#NUM!</v>
      </c>
      <c r="GD71" s="59" t="e">
        <f t="shared" si="80"/>
        <v>#NUM!</v>
      </c>
      <c r="GE71" s="59">
        <f ca="1">AVERAGE(OFFSET($GD$3,0,0,'Données projet'!$E$17+1,1))-AVERAGE(OFFSET($H$3,0,0,'Données projet'!$E$17+1,1))</f>
        <v>282.94722676586207</v>
      </c>
      <c r="GF71" s="59">
        <f t="shared" si="104"/>
        <v>310.63647941571298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3.7370466954802661</v>
      </c>
      <c r="GN71" s="21">
        <f>EXP(-LN(2)/2)*GN70+(1-EXP(-LN(2)/2))/(LN(2)/2)*GH71*GK71*VLOOKUP('Données projet'!$B$17,Paramètres!$A$1:$I$89,3,0)*0.475*44/12</f>
        <v>4.8901048655298328E-5</v>
      </c>
      <c r="GO71" s="21">
        <f t="shared" si="81"/>
        <v>3.7370955965289214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-1.1368683772161603E-13</v>
      </c>
      <c r="GV71" s="17">
        <f>GU71*VLOOKUP('Données projet'!$B$18,Paramètres!$A$1:$I$89,3,0)*VLOOKUP('Données projet'!$B$18,Paramètres!$A$1:$I$89,5,0)</f>
        <v>-6.7984728957526396E-14</v>
      </c>
      <c r="GW71" s="13" t="e">
        <f t="shared" si="105"/>
        <v>#NUM!</v>
      </c>
      <c r="GX71" s="20" t="e">
        <f t="shared" si="82"/>
        <v>#NUM!</v>
      </c>
      <c r="GY71" s="59" t="e">
        <f t="shared" si="83"/>
        <v>#NUM!</v>
      </c>
      <c r="GZ71" s="59">
        <f ca="1">AVERAGE(OFFSET($GY$3,0,0,'Données projet'!$E$18+1,1))-AVERAGE(OFFSET($H$3,0,0,'Données projet'!$E$18+1,1))</f>
        <v>255.54398581450459</v>
      </c>
      <c r="HA71" s="59">
        <f t="shared" si="106"/>
        <v>276.52622328061204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1.8646690718363212</v>
      </c>
      <c r="HI71" s="21">
        <f>EXP(-LN(2)/2)*HI70+(1-EXP(-LN(2)/2))/(LN(2)/2)*HC71*HF71*VLOOKUP('Données projet'!$B$18,Paramètres!$A$1:$I$89,3,0)*0.475*44/12</f>
        <v>2.8356712357191458E-5</v>
      </c>
      <c r="HJ71" s="22">
        <f t="shared" si="84"/>
        <v>1.8646974285486784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5.6843418860808015E-14</v>
      </c>
      <c r="O72" s="13">
        <f>N72*VLOOKUP('Données projet'!$B$9,Paramètres!$A$1:$I$89,3,0)*VLOOKUP('Données projet'!$B$9,Paramètres!$A$1:$I$89,5,0)</f>
        <v>4.9658410716801891E-14</v>
      </c>
      <c r="P72" s="13">
        <f t="shared" si="87"/>
        <v>8.0934058173791862E-13</v>
      </c>
      <c r="Q72" s="20">
        <f t="shared" si="54"/>
        <v>1.4960899118586383E-12</v>
      </c>
      <c r="R72" s="59">
        <f t="shared" si="55"/>
        <v>293.33333333333479</v>
      </c>
      <c r="S72" s="59">
        <f ca="1">AVERAGE(OFFSET($R$3,0,0,'Données projet'!$E$9+1,1))-AVERAGE(OFFSET($H$3,0,0,'Données projet'!$E$9+1,1))</f>
        <v>248.50221719467663</v>
      </c>
      <c r="T72" s="59">
        <f t="shared" si="88"/>
        <v>366.09064580347183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3.6467817862274794</v>
      </c>
      <c r="AA72" s="21">
        <f>EXP(-LN(2)/25)*AA71+(1-EXP(-LN(2)/25))/(LN(2)/25)*Calculateur!V72*Calculateur!X72*VLOOKUP('Données projet'!$B$9,Paramètres!$A$1:$I$89,3,0)*0.475*44/12</f>
        <v>8.1633317305437885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11.810113516771267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265.83023999999995</v>
      </c>
      <c r="AK72" s="13">
        <f t="shared" si="89"/>
        <v>63.963540982526439</v>
      </c>
      <c r="AL72" s="20">
        <f t="shared" si="58"/>
        <v>574.39083521123348</v>
      </c>
      <c r="AM72" s="59">
        <f t="shared" si="59"/>
        <v>867.72416854456674</v>
      </c>
      <c r="AN72" s="59">
        <f ca="1">AVERAGE(OFFSET($AM$3,0,0,'Données projet'!$E$10+1,1))-AVERAGE(OFFSET($H$3,0,0,'Données projet'!$E$10+1,1))</f>
        <v>263.22346936777603</v>
      </c>
      <c r="AO72" s="59">
        <f t="shared" si="90"/>
        <v>217.14714468707939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2.4677496995296773</v>
      </c>
      <c r="AW72" s="21">
        <f>EXP(-LN(2)/2)*AW71+(1-EXP(-LN(2)/2))/(LN(2)/2)*AQ72*AT72*VLOOKUP('Données projet'!$B$10,Paramètres!$A$1:$I$89,3,0)*0.475*44/12</f>
        <v>2.4075305481814384E-5</v>
      </c>
      <c r="AX72" s="21">
        <f t="shared" si="60"/>
        <v>2.4677737748351589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328</v>
      </c>
      <c r="BB72" s="12">
        <f>VLOOKUP(A72,'Données projet'!$A$87:$I$107,9,0)</f>
        <v>8.6666666666666661</v>
      </c>
      <c r="BC72" s="12">
        <f t="array" ref="BC72">INDEX(BB:BB,MIN(IF(ISNUMBER(BB72:BB268),ROW(BB72:BB268),"")))</f>
        <v>8.6666666666666661</v>
      </c>
      <c r="BD72" s="12">
        <f>IF('Données projet'!$A$88&gt;35,BD71+BC72-BL71,IF(A72&lt;'Données projet'!$A$88,$BA$205^A72,IF(A72='Données projet'!$A$88,'Données projet'!$B$88,BD71+BC72-BL71)))</f>
        <v>328.00000000000006</v>
      </c>
      <c r="BE72" s="13">
        <f>BD72*VLOOKUP('Données projet'!$B$11,Paramètres!$A$1:$I$89,3,0)*VLOOKUP('Données projet'!$B$11,Paramètres!$A$1:$I$89,5,0)</f>
        <v>255.84000000000006</v>
      </c>
      <c r="BF72" s="13">
        <f t="shared" si="91"/>
        <v>61.834803371075836</v>
      </c>
      <c r="BG72" s="20">
        <f t="shared" si="61"/>
        <v>553.28361587129041</v>
      </c>
      <c r="BH72" s="59">
        <f t="shared" si="62"/>
        <v>846.61694920462378</v>
      </c>
      <c r="BI72" s="59">
        <f ca="1">AVERAGE(OFFSET($BH$3,0,0,'Données projet'!$E$11+1,1))-AVERAGE(OFFSET($H$3,0,0,'Données projet'!$E$11+1,1))</f>
        <v>219.22204054948094</v>
      </c>
      <c r="BJ72" s="59">
        <f t="shared" si="92"/>
        <v>222.41711966122034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328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1.0634356990971068</v>
      </c>
      <c r="BR72" s="21">
        <f>EXP(-LN(2)/2)*BR71+(1-EXP(-LN(2)/2))/(LN(2)/2)*BL72*BO72*VLOOKUP('Données projet'!$B$11,Paramètres!$A$1:$I$89,3,0)*0.475*44/12</f>
        <v>4.4103911274706368E-6</v>
      </c>
      <c r="BS72" s="22">
        <f t="shared" si="63"/>
        <v>1.0634401094882342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13.2</v>
      </c>
      <c r="BY72" s="12">
        <f>IF('Données projet'!$A$114&gt;35,BY71+BX72-CG71,IF(A72&lt;'Données projet'!$A$114,$BV$205^A72,IF(A72='Données projet'!$A$114,'Données projet'!$B$114,BY71+BX72-CG71)))</f>
        <v>348.79999999999973</v>
      </c>
      <c r="BZ72" s="13">
        <f>BY72*VLOOKUP('Données projet'!$B$12,Paramètres!$A$1:$I$89,3,0)*VLOOKUP('Données projet'!$B$12,Paramètres!$A$1:$I$89,5,0)</f>
        <v>299.27039999999977</v>
      </c>
      <c r="CA72" s="13">
        <f t="shared" si="93"/>
        <v>71.023489622605439</v>
      </c>
      <c r="CB72" s="20">
        <f t="shared" si="64"/>
        <v>644.92852442603737</v>
      </c>
      <c r="CC72" s="59">
        <f t="shared" si="65"/>
        <v>938.26185775937074</v>
      </c>
      <c r="CD72" s="59">
        <f ca="1">AVERAGE(OFFSET($CC$3,0,0,'Données projet'!$E$12+1,1))-AVERAGE(OFFSET($H$3,0,0,'Données projet'!$E$12+1,1))</f>
        <v>237.27357081252273</v>
      </c>
      <c r="CE72" s="59">
        <f t="shared" si="94"/>
        <v>68.768479693848576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-3.4106051316484809E-13</v>
      </c>
      <c r="CU72" s="17">
        <f>CT72*VLOOKUP('Données projet'!$B$13,Paramètres!$A$1:$I$89,3,0)*VLOOKUP('Données projet'!$B$13,Paramètres!$A$1:$I$89,5,0)</f>
        <v>-1.9065282685915009E-13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474.03051418249999</v>
      </c>
      <c r="CZ72" s="59">
        <f t="shared" si="96"/>
        <v>649.52271992719091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2.5244933350351744</v>
      </c>
      <c r="DG72" s="21">
        <f>EXP(-LN(2)/25)*DG71+(1-EXP(-LN(2)/25))/(LN(2)/25)*Calculateur!DB72*Calculateur!DD72*VLOOKUP('Données projet'!$B$13,Paramètres!$A$1:$I$89,3,0)*0.475*44/12</f>
        <v>8.2051062348780945</v>
      </c>
      <c r="DH72" s="21">
        <f>EXP(-LN(2)/2)*DH71+(1-EXP(-LN(2)/2))/(LN(2)/2)*DB72*DE72*VLOOKUP('Données projet'!$B$13,Paramètres!$A$1:$I$89,3,0)*0.475*44/12</f>
        <v>1.5779332384067805E-5</v>
      </c>
      <c r="DI72" s="22">
        <f t="shared" si="69"/>
        <v>10.729615349245654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-5.6843418860808015E-14</v>
      </c>
      <c r="DP72" s="17">
        <f>DO72*VLOOKUP('Données projet'!$B$14,Paramètres!$A$1:$I$89,3,0)*VLOOKUP('Données projet'!$B$14,Paramètres!$A$1:$I$89,5,0)</f>
        <v>-3.1036506698001178E-14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164.0740581424559</v>
      </c>
      <c r="DU72" s="59">
        <f t="shared" si="98"/>
        <v>280.99861170359793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3.0512824683723241</v>
      </c>
      <c r="EB72" s="21">
        <f>EXP(-LN(2)/25)*EB71+(1-EXP(-LN(2)/25))/(LN(2)/25)*Calculateur!DW72*Calculateur!DY72*VLOOKUP('Données projet'!$B$14,Paramètres!$A$1:$I$89,3,0)*0.475*44/12</f>
        <v>8.782883810972546</v>
      </c>
      <c r="EC72" s="21">
        <f>EXP(-LN(2)/2)*EC71+(1-EXP(-LN(2)/2))/(LN(2)/2)*DW72*DZ72*VLOOKUP('Données projet'!$B$14,Paramètres!$A$1:$I$89,3,0)*0.475*44/12</f>
        <v>2.0471517703582183E-5</v>
      </c>
      <c r="ED72" s="22">
        <f t="shared" si="72"/>
        <v>11.834186750862575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1.1368683772161603E-13</v>
      </c>
      <c r="EK72" s="17">
        <f>EJ72*VLOOKUP('Données projet'!$B$15,Paramètres!$A$1:$I$89,3,0)*VLOOKUP('Données projet'!$B$15,Paramètres!$A$1:$I$89,5,0)</f>
        <v>5.4683368944097308E-14</v>
      </c>
      <c r="EL72" s="13">
        <f t="shared" si="99"/>
        <v>8.8129432816788268E-13</v>
      </c>
      <c r="EM72" s="20">
        <f t="shared" si="73"/>
        <v>1.6301611558033651E-12</v>
      </c>
      <c r="EN72" s="59">
        <f t="shared" si="74"/>
        <v>293.33333333333496</v>
      </c>
      <c r="EO72" s="59">
        <f ca="1">AVERAGE(OFFSET($EN$3,0,0,'Données projet'!$E$15+1,1))-AVERAGE(OFFSET($H$3,0,0,'Données projet'!$E$15+1,1))</f>
        <v>312.1172301514103</v>
      </c>
      <c r="EP72" s="59">
        <f t="shared" si="100"/>
        <v>369.85500533493212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1.2482265726336705</v>
      </c>
      <c r="EW72" s="21">
        <f>EXP(-LN(2)/25)*EW71+(1-EXP(-LN(2)/25))/(LN(2)/25)*Calculateur!ER72*Calculateur!ET72*VLOOKUP('Données projet'!$B$15,Paramètres!$A$1:$I$89,3,0)*0.475*44/12</f>
        <v>5.1006715718498992</v>
      </c>
      <c r="EX72" s="21">
        <f>EXP(-LN(2)/2)*EX71+(1-EXP(-LN(2)/2))/(LN(2)/2)*ER72*EU72*VLOOKUP('Données projet'!$B$15,Paramètres!$A$1:$I$89,3,0)*0.475*44/12</f>
        <v>4.2722168081421152E-5</v>
      </c>
      <c r="EY72" s="22">
        <f t="shared" si="75"/>
        <v>6.3489408666516516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-1.7053025658242404E-13</v>
      </c>
      <c r="FF72" s="17">
        <f>FE72*VLOOKUP('Données projet'!$B$16,Paramètres!$A$1:$I$89,3,0)*VLOOKUP('Données projet'!$B$16,Paramètres!$A$1:$I$89,5,0)</f>
        <v>-7.9808160080574461E-14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87.187251664304199</v>
      </c>
      <c r="FK72" s="59">
        <f t="shared" si="102"/>
        <v>148.84938257884147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2.7348002205063509</v>
      </c>
      <c r="FS72" s="21">
        <f>EXP(-LN(2)/2)*FS71+(1-EXP(-LN(2)/2))/(LN(2)/2)*FM72*FP72*VLOOKUP('Données projet'!$B$16,Paramètres!$A$1:$I$89,3,0)*0.475*44/12</f>
        <v>8.2053848367472015E-6</v>
      </c>
      <c r="FT72" s="22">
        <f t="shared" si="78"/>
        <v>2.7348084258911878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-1.1368683772161603E-13</v>
      </c>
      <c r="GA72" s="17">
        <f>FZ72*VLOOKUP('Données projet'!$B$17,Paramètres!$A$1:$I$89,3,0)*VLOOKUP('Données projet'!$B$17,Paramètres!$A$1:$I$89,5,0)</f>
        <v>-6.7984728957526396E-14</v>
      </c>
      <c r="GB72" s="13" t="e">
        <f t="shared" si="103"/>
        <v>#NUM!</v>
      </c>
      <c r="GC72" s="20" t="e">
        <f t="shared" si="79"/>
        <v>#NUM!</v>
      </c>
      <c r="GD72" s="59" t="e">
        <f t="shared" si="80"/>
        <v>#NUM!</v>
      </c>
      <c r="GE72" s="59">
        <f ca="1">AVERAGE(OFFSET($GD$3,0,0,'Données projet'!$E$17+1,1))-AVERAGE(OFFSET($H$3,0,0,'Données projet'!$E$17+1,1))</f>
        <v>282.94722676586207</v>
      </c>
      <c r="GF72" s="59">
        <f t="shared" si="104"/>
        <v>310.63647941571298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3.6348569570696139</v>
      </c>
      <c r="GN72" s="21">
        <f>EXP(-LN(2)/2)*GN71+(1-EXP(-LN(2)/2))/(LN(2)/2)*GH72*GK72*VLOOKUP('Données projet'!$B$17,Paramètres!$A$1:$I$89,3,0)*0.475*44/12</f>
        <v>3.4578263111294748E-5</v>
      </c>
      <c r="GO72" s="21">
        <f t="shared" si="81"/>
        <v>3.6348915353327254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-1.1368683772161603E-13</v>
      </c>
      <c r="GV72" s="17">
        <f>GU72*VLOOKUP('Données projet'!$B$18,Paramètres!$A$1:$I$89,3,0)*VLOOKUP('Données projet'!$B$18,Paramètres!$A$1:$I$89,5,0)</f>
        <v>-6.7984728957526396E-14</v>
      </c>
      <c r="GW72" s="13" t="e">
        <f t="shared" si="105"/>
        <v>#NUM!</v>
      </c>
      <c r="GX72" s="20" t="e">
        <f t="shared" si="82"/>
        <v>#NUM!</v>
      </c>
      <c r="GY72" s="59" t="e">
        <f t="shared" si="83"/>
        <v>#NUM!</v>
      </c>
      <c r="GZ72" s="59">
        <f ca="1">AVERAGE(OFFSET($GY$3,0,0,'Données projet'!$E$18+1,1))-AVERAGE(OFFSET($H$3,0,0,'Données projet'!$E$18+1,1))</f>
        <v>255.54398581450459</v>
      </c>
      <c r="HA72" s="59">
        <f t="shared" si="106"/>
        <v>276.52622328061204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1.8136795980082723</v>
      </c>
      <c r="HI72" s="21">
        <f>EXP(-LN(2)/2)*HI71+(1-EXP(-LN(2)/2))/(LN(2)/2)*HC72*HF72*VLOOKUP('Données projet'!$B$18,Paramètres!$A$1:$I$89,3,0)*0.475*44/12</f>
        <v>2.0051223599926448E-5</v>
      </c>
      <c r="HJ72" s="22">
        <f t="shared" si="84"/>
        <v>1.8136996492318722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5.6843418860808015E-14</v>
      </c>
      <c r="O73" s="13">
        <f>N73*VLOOKUP('Données projet'!$B$9,Paramètres!$A$1:$I$89,3,0)*VLOOKUP('Données projet'!$B$9,Paramètres!$A$1:$I$89,5,0)</f>
        <v>4.9658410716801891E-14</v>
      </c>
      <c r="P73" s="13">
        <f t="shared" si="87"/>
        <v>8.0934058173791862E-13</v>
      </c>
      <c r="Q73" s="20">
        <f t="shared" si="54"/>
        <v>1.4960899118586383E-12</v>
      </c>
      <c r="R73" s="59">
        <f t="shared" si="55"/>
        <v>293.33333333333479</v>
      </c>
      <c r="S73" s="59">
        <f ca="1">AVERAGE(OFFSET($R$3,0,0,'Données projet'!$E$9+1,1))-AVERAGE(OFFSET($H$3,0,0,'Données projet'!$E$9+1,1))</f>
        <v>248.50221719467663</v>
      </c>
      <c r="T73" s="59">
        <f t="shared" si="88"/>
        <v>366.09064580347183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3.5752706197168149</v>
      </c>
      <c r="AA73" s="21">
        <f>EXP(-LN(2)/25)*AA72+(1-EXP(-LN(2)/25))/(LN(2)/25)*Calculateur!V73*Calculateur!X73*VLOOKUP('Données projet'!$B$9,Paramètres!$A$1:$I$89,3,0)*0.475*44/12</f>
        <v>7.9401049950811107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11.515375614797925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273.24959999999999</v>
      </c>
      <c r="AK73" s="13">
        <f t="shared" si="89"/>
        <v>65.538435495514321</v>
      </c>
      <c r="AL73" s="20">
        <f t="shared" si="58"/>
        <v>590.05582848802067</v>
      </c>
      <c r="AM73" s="59">
        <f t="shared" si="59"/>
        <v>883.38916182135404</v>
      </c>
      <c r="AN73" s="59">
        <f ca="1">AVERAGE(OFFSET($AM$3,0,0,'Données projet'!$E$10+1,1))-AVERAGE(OFFSET($H$3,0,0,'Données projet'!$E$10+1,1))</f>
        <v>263.22346936777603</v>
      </c>
      <c r="AO73" s="59">
        <f t="shared" si="90"/>
        <v>217.14714468707939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2.4002689542227218</v>
      </c>
      <c r="AW73" s="21">
        <f>EXP(-LN(2)/2)*AW72+(1-EXP(-LN(2)/2))/(LN(2)/2)*AQ73*AT73*VLOOKUP('Données projet'!$B$10,Paramètres!$A$1:$I$89,3,0)*0.475*44/12</f>
        <v>1.7023811765328611E-5</v>
      </c>
      <c r="AX73" s="21">
        <f t="shared" si="60"/>
        <v>2.400285978034487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5.6843418860808015E-14</v>
      </c>
      <c r="BE73" s="13">
        <f>BD73*VLOOKUP('Données projet'!$B$11,Paramètres!$A$1:$I$89,3,0)*VLOOKUP('Données projet'!$B$11,Paramètres!$A$1:$I$89,5,0)</f>
        <v>4.4337866711430253E-14</v>
      </c>
      <c r="BF73" s="13">
        <f t="shared" si="91"/>
        <v>7.3222115536967035E-13</v>
      </c>
      <c r="BG73" s="20">
        <f t="shared" si="61"/>
        <v>1.3525069634579169E-12</v>
      </c>
      <c r="BH73" s="59">
        <f t="shared" si="62"/>
        <v>293.33333333333468</v>
      </c>
      <c r="BI73" s="59">
        <f ca="1">AVERAGE(OFFSET($BH$3,0,0,'Données projet'!$E$11+1,1))-AVERAGE(OFFSET($H$3,0,0,'Données projet'!$E$11+1,1))</f>
        <v>219.22204054948094</v>
      </c>
      <c r="BJ73" s="59">
        <f t="shared" si="92"/>
        <v>222.41711966122034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1.0343559939816436</v>
      </c>
      <c r="BR73" s="21">
        <f>EXP(-LN(2)/2)*BR72+(1-EXP(-LN(2)/2))/(LN(2)/2)*BL73*BO73*VLOOKUP('Données projet'!$B$11,Paramètres!$A$1:$I$89,3,0)*0.475*44/12</f>
        <v>3.1186174739194702E-6</v>
      </c>
      <c r="BS73" s="22">
        <f t="shared" si="63"/>
        <v>1.0343591125991174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362</v>
      </c>
      <c r="BW73" s="12">
        <f>VLOOKUP(A73,'Données projet'!$A$113:$I$133,9,0)</f>
        <v>13.2</v>
      </c>
      <c r="BX73" s="12">
        <f t="array" ref="BX73">INDEX(BW:BW,MIN(IF(ISNUMBER(BW73:BW269),ROW(BW73:BW269),"")))</f>
        <v>13.2</v>
      </c>
      <c r="BY73" s="12">
        <f>IF('Données projet'!$A$114&gt;35,BY72+BX73-CG72,IF(A73&lt;'Données projet'!$A$114,$BV$205^A73,IF(A73='Données projet'!$A$114,'Données projet'!$B$114,BY72+BX73-CG72)))</f>
        <v>361.99999999999972</v>
      </c>
      <c r="BZ73" s="13">
        <f>BY73*VLOOKUP('Données projet'!$B$12,Paramètres!$A$1:$I$89,3,0)*VLOOKUP('Données projet'!$B$12,Paramètres!$A$1:$I$89,5,0)</f>
        <v>310.59599999999978</v>
      </c>
      <c r="CA73" s="13">
        <f t="shared" si="93"/>
        <v>73.393284775883416</v>
      </c>
      <c r="CB73" s="20">
        <f t="shared" si="64"/>
        <v>668.78133765132986</v>
      </c>
      <c r="CC73" s="59">
        <f t="shared" si="65"/>
        <v>962.11467098466323</v>
      </c>
      <c r="CD73" s="59">
        <f ca="1">AVERAGE(OFFSET($CC$3,0,0,'Données projet'!$E$12+1,1))-AVERAGE(OFFSET($H$3,0,0,'Données projet'!$E$12+1,1))</f>
        <v>237.27357081252273</v>
      </c>
      <c r="CE73" s="59">
        <f t="shared" si="94"/>
        <v>68.768479693848576</v>
      </c>
      <c r="CF73" s="15">
        <f>IF(ISNA(VLOOKUP(A73,'Données projet'!$A$113:$I$133,3,0)),0,VLOOKUP(A73,'Données projet'!$A$113:$I$133,3,0))</f>
        <v>9</v>
      </c>
      <c r="CG73" s="15">
        <f>IF(ISNA(VLOOKUP(A73,'Données projet'!$A$113:$I$133,4,0)),0,VLOOKUP(A73,'Données projet'!$A$113:$I$133,4,0))</f>
        <v>38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-3.4106051316484809E-13</v>
      </c>
      <c r="CU73" s="17">
        <f>CT73*VLOOKUP('Données projet'!$B$13,Paramètres!$A$1:$I$89,3,0)*VLOOKUP('Données projet'!$B$13,Paramètres!$A$1:$I$89,5,0)</f>
        <v>-1.9065282685915009E-13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474.03051418249999</v>
      </c>
      <c r="CZ73" s="59">
        <f t="shared" si="96"/>
        <v>649.52271992719091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2.4749895605240275</v>
      </c>
      <c r="DG73" s="21">
        <f>EXP(-LN(2)/25)*DG72+(1-EXP(-LN(2)/25))/(LN(2)/25)*Calculateur!DB73*Calculateur!DD73*VLOOKUP('Données projet'!$B$13,Paramètres!$A$1:$I$89,3,0)*0.475*44/12</f>
        <v>7.9807371733975696</v>
      </c>
      <c r="DH73" s="21">
        <f>EXP(-LN(2)/2)*DH72+(1-EXP(-LN(2)/2))/(LN(2)/2)*DB73*DE73*VLOOKUP('Données projet'!$B$13,Paramètres!$A$1:$I$89,3,0)*0.475*44/12</f>
        <v>1.1157672931370837E-5</v>
      </c>
      <c r="DI73" s="22">
        <f t="shared" si="69"/>
        <v>10.455737891594529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-5.6843418860808015E-14</v>
      </c>
      <c r="DP73" s="17">
        <f>DO73*VLOOKUP('Données projet'!$B$14,Paramètres!$A$1:$I$89,3,0)*VLOOKUP('Données projet'!$B$14,Paramètres!$A$1:$I$89,5,0)</f>
        <v>-3.1036506698001178E-14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164.0740581424559</v>
      </c>
      <c r="DU73" s="59">
        <f t="shared" si="98"/>
        <v>280.99861170359793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2.9914486802660805</v>
      </c>
      <c r="EB73" s="21">
        <f>EXP(-LN(2)/25)*EB72+(1-EXP(-LN(2)/25))/(LN(2)/25)*Calculateur!DW73*Calculateur!DY73*VLOOKUP('Données projet'!$B$14,Paramètres!$A$1:$I$89,3,0)*0.475*44/12</f>
        <v>8.5427153912897165</v>
      </c>
      <c r="EC73" s="21">
        <f>EXP(-LN(2)/2)*EC72+(1-EXP(-LN(2)/2))/(LN(2)/2)*DW73*DZ73*VLOOKUP('Données projet'!$B$14,Paramètres!$A$1:$I$89,3,0)*0.475*44/12</f>
        <v>1.4475548989383422E-5</v>
      </c>
      <c r="ED73" s="22">
        <f t="shared" si="72"/>
        <v>11.534178547104785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1.1368683772161603E-13</v>
      </c>
      <c r="EK73" s="17">
        <f>EJ73*VLOOKUP('Données projet'!$B$15,Paramètres!$A$1:$I$89,3,0)*VLOOKUP('Données projet'!$B$15,Paramètres!$A$1:$I$89,5,0)</f>
        <v>5.4683368944097308E-14</v>
      </c>
      <c r="EL73" s="13">
        <f t="shared" si="99"/>
        <v>8.8129432816788268E-13</v>
      </c>
      <c r="EM73" s="20">
        <f t="shared" si="73"/>
        <v>1.6301611558033651E-12</v>
      </c>
      <c r="EN73" s="59">
        <f t="shared" si="74"/>
        <v>293.33333333333496</v>
      </c>
      <c r="EO73" s="59">
        <f ca="1">AVERAGE(OFFSET($EN$3,0,0,'Données projet'!$E$15+1,1))-AVERAGE(OFFSET($H$3,0,0,'Données projet'!$E$15+1,1))</f>
        <v>312.1172301514103</v>
      </c>
      <c r="EP73" s="59">
        <f t="shared" si="100"/>
        <v>369.85500533493212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1.2237496108873571</v>
      </c>
      <c r="EW73" s="21">
        <f>EXP(-LN(2)/25)*EW72+(1-EXP(-LN(2)/25))/(LN(2)/25)*Calculateur!ER73*Calculateur!ET73*VLOOKUP('Données projet'!$B$15,Paramètres!$A$1:$I$89,3,0)*0.475*44/12</f>
        <v>4.9611934394850037</v>
      </c>
      <c r="EX73" s="21">
        <f>EXP(-LN(2)/2)*EX72+(1-EXP(-LN(2)/2))/(LN(2)/2)*ER73*EU73*VLOOKUP('Données projet'!$B$15,Paramètres!$A$1:$I$89,3,0)*0.475*44/12</f>
        <v>3.0209134757364374E-5</v>
      </c>
      <c r="EY73" s="22">
        <f t="shared" si="75"/>
        <v>6.1849732595071183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-1.7053025658242404E-13</v>
      </c>
      <c r="FF73" s="17">
        <f>FE73*VLOOKUP('Données projet'!$B$16,Paramètres!$A$1:$I$89,3,0)*VLOOKUP('Données projet'!$B$16,Paramètres!$A$1:$I$89,5,0)</f>
        <v>-7.9808160080574461E-14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87.187251664304199</v>
      </c>
      <c r="FK73" s="59">
        <f t="shared" si="102"/>
        <v>148.84938257884147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2.6600169646597114</v>
      </c>
      <c r="FS73" s="21">
        <f>EXP(-LN(2)/2)*FS72+(1-EXP(-LN(2)/2))/(LN(2)/2)*FM73*FP73*VLOOKUP('Données projet'!$B$16,Paramètres!$A$1:$I$89,3,0)*0.475*44/12</f>
        <v>5.8020832603092184E-6</v>
      </c>
      <c r="FT73" s="22">
        <f t="shared" si="78"/>
        <v>2.6600227667429719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-1.1368683772161603E-13</v>
      </c>
      <c r="GA73" s="17">
        <f>FZ73*VLOOKUP('Données projet'!$B$17,Paramètres!$A$1:$I$89,3,0)*VLOOKUP('Données projet'!$B$17,Paramètres!$A$1:$I$89,5,0)</f>
        <v>-6.7984728957526396E-14</v>
      </c>
      <c r="GB73" s="13" t="e">
        <f t="shared" si="103"/>
        <v>#NUM!</v>
      </c>
      <c r="GC73" s="20" t="e">
        <f t="shared" si="79"/>
        <v>#NUM!</v>
      </c>
      <c r="GD73" s="59" t="e">
        <f t="shared" si="80"/>
        <v>#NUM!</v>
      </c>
      <c r="GE73" s="59">
        <f ca="1">AVERAGE(OFFSET($GD$3,0,0,'Données projet'!$E$17+1,1))-AVERAGE(OFFSET($H$3,0,0,'Données projet'!$E$17+1,1))</f>
        <v>282.94722676586207</v>
      </c>
      <c r="GF73" s="59">
        <f t="shared" si="104"/>
        <v>310.63647941571298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3.5354616024297254</v>
      </c>
      <c r="GN73" s="21">
        <f>EXP(-LN(2)/2)*GN72+(1-EXP(-LN(2)/2))/(LN(2)/2)*GH73*GK73*VLOOKUP('Données projet'!$B$17,Paramètres!$A$1:$I$89,3,0)*0.475*44/12</f>
        <v>2.4450524327649164E-5</v>
      </c>
      <c r="GO73" s="21">
        <f t="shared" si="81"/>
        <v>3.5354860529540533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-1.1368683772161603E-13</v>
      </c>
      <c r="GV73" s="17">
        <f>GU73*VLOOKUP('Données projet'!$B$18,Paramètres!$A$1:$I$89,3,0)*VLOOKUP('Données projet'!$B$18,Paramètres!$A$1:$I$89,5,0)</f>
        <v>-6.7984728957526396E-14</v>
      </c>
      <c r="GW73" s="13" t="e">
        <f t="shared" si="105"/>
        <v>#NUM!</v>
      </c>
      <c r="GX73" s="20" t="e">
        <f t="shared" si="82"/>
        <v>#NUM!</v>
      </c>
      <c r="GY73" s="59" t="e">
        <f t="shared" si="83"/>
        <v>#NUM!</v>
      </c>
      <c r="GZ73" s="59">
        <f ca="1">AVERAGE(OFFSET($GY$3,0,0,'Données projet'!$E$18+1,1))-AVERAGE(OFFSET($H$3,0,0,'Données projet'!$E$18+1,1))</f>
        <v>255.54398581450459</v>
      </c>
      <c r="HA73" s="59">
        <f t="shared" si="106"/>
        <v>276.52622328061204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1.7640844340234711</v>
      </c>
      <c r="HI73" s="21">
        <f>EXP(-LN(2)/2)*HI72+(1-EXP(-LN(2)/2))/(LN(2)/2)*HC73*HF73*VLOOKUP('Données projet'!$B$18,Paramètres!$A$1:$I$89,3,0)*0.475*44/12</f>
        <v>1.4178356178595729E-5</v>
      </c>
      <c r="HJ73" s="22">
        <f t="shared" si="84"/>
        <v>1.7640986123796498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5.6843418860808015E-14</v>
      </c>
      <c r="O74" s="13">
        <f>N74*VLOOKUP('Données projet'!$B$9,Paramètres!$A$1:$I$89,3,0)*VLOOKUP('Données projet'!$B$9,Paramètres!$A$1:$I$89,5,0)</f>
        <v>4.9658410716801891E-14</v>
      </c>
      <c r="P74" s="13">
        <f t="shared" si="87"/>
        <v>8.0934058173791862E-13</v>
      </c>
      <c r="Q74" s="20">
        <f t="shared" si="54"/>
        <v>1.4960899118586383E-12</v>
      </c>
      <c r="R74" s="59">
        <f t="shared" si="55"/>
        <v>293.33333333333479</v>
      </c>
      <c r="S74" s="59">
        <f ca="1">AVERAGE(OFFSET($R$3,0,0,'Données projet'!$E$9+1,1))-AVERAGE(OFFSET($H$3,0,0,'Données projet'!$E$9+1,1))</f>
        <v>248.50221719467663</v>
      </c>
      <c r="T74" s="59">
        <f t="shared" si="88"/>
        <v>366.09064580347183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3.50516174356392</v>
      </c>
      <c r="AA74" s="21">
        <f>EXP(-LN(2)/25)*AA73+(1-EXP(-LN(2)/25))/(LN(2)/25)*Calculateur!V74*Calculateur!X74*VLOOKUP('Données projet'!$B$9,Paramètres!$A$1:$I$89,3,0)*0.475*44/12</f>
        <v>7.7229824064386436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11.228144150002564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254.79167999999996</v>
      </c>
      <c r="AK74" s="13">
        <f t="shared" si="89"/>
        <v>61.610870508448471</v>
      </c>
      <c r="AL74" s="20">
        <f t="shared" si="58"/>
        <v>551.067775468881</v>
      </c>
      <c r="AM74" s="59">
        <f t="shared" si="59"/>
        <v>844.40110880221437</v>
      </c>
      <c r="AN74" s="59">
        <f ca="1">AVERAGE(OFFSET($AM$3,0,0,'Données projet'!$E$10+1,1))-AVERAGE(OFFSET($H$3,0,0,'Données projet'!$E$10+1,1))</f>
        <v>263.22346936777603</v>
      </c>
      <c r="AO74" s="59">
        <f t="shared" si="90"/>
        <v>217.14714468707939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2.3346334734448431</v>
      </c>
      <c r="AW74" s="21">
        <f>EXP(-LN(2)/2)*AW73+(1-EXP(-LN(2)/2))/(LN(2)/2)*AQ74*AT74*VLOOKUP('Données projet'!$B$10,Paramètres!$A$1:$I$89,3,0)*0.475*44/12</f>
        <v>1.2037652740907192E-5</v>
      </c>
      <c r="AX74" s="21">
        <f t="shared" si="60"/>
        <v>2.3346455110975839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5.6843418860808015E-14</v>
      </c>
      <c r="BE74" s="13">
        <f>BD74*VLOOKUP('Données projet'!$B$11,Paramètres!$A$1:$I$89,3,0)*VLOOKUP('Données projet'!$B$11,Paramètres!$A$1:$I$89,5,0)</f>
        <v>4.4337866711430253E-14</v>
      </c>
      <c r="BF74" s="13">
        <f t="shared" si="91"/>
        <v>7.3222115536967035E-13</v>
      </c>
      <c r="BG74" s="20">
        <f t="shared" si="61"/>
        <v>1.3525069634579169E-12</v>
      </c>
      <c r="BH74" s="59">
        <f t="shared" si="62"/>
        <v>293.33333333333468</v>
      </c>
      <c r="BI74" s="59">
        <f ca="1">AVERAGE(OFFSET($BH$3,0,0,'Données projet'!$E$11+1,1))-AVERAGE(OFFSET($H$3,0,0,'Données projet'!$E$11+1,1))</f>
        <v>219.22204054948094</v>
      </c>
      <c r="BJ74" s="59">
        <f t="shared" si="92"/>
        <v>222.41711966122034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1.0060714749317978</v>
      </c>
      <c r="BR74" s="21">
        <f>EXP(-LN(2)/2)*BR73+(1-EXP(-LN(2)/2))/(LN(2)/2)*BL74*BO74*VLOOKUP('Données projet'!$B$11,Paramètres!$A$1:$I$89,3,0)*0.475*44/12</f>
        <v>2.2051955637353184E-6</v>
      </c>
      <c r="BS74" s="22">
        <f t="shared" si="63"/>
        <v>1.0060736801273615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13.2</v>
      </c>
      <c r="BY74" s="12">
        <f>IF('Données projet'!$A$114&gt;35,BY73+BX74-CG73,IF(A74&lt;'Données projet'!$A$114,$BV$205^A74,IF(A74='Données projet'!$A$114,'Données projet'!$B$114,BY73+BX74-CG73)))</f>
        <v>337.1999999999997</v>
      </c>
      <c r="BZ74" s="13">
        <f>BY74*VLOOKUP('Données projet'!$B$12,Paramètres!$A$1:$I$89,3,0)*VLOOKUP('Données projet'!$B$12,Paramètres!$A$1:$I$89,5,0)</f>
        <v>289.3175999999998</v>
      </c>
      <c r="CA74" s="13">
        <f t="shared" si="93"/>
        <v>68.93231845182774</v>
      </c>
      <c r="CB74" s="20">
        <f t="shared" si="64"/>
        <v>623.95194130359948</v>
      </c>
      <c r="CC74" s="59">
        <f t="shared" si="65"/>
        <v>917.28527463693285</v>
      </c>
      <c r="CD74" s="59">
        <f ca="1">AVERAGE(OFFSET($CC$3,0,0,'Données projet'!$E$12+1,1))-AVERAGE(OFFSET($H$3,0,0,'Données projet'!$E$12+1,1))</f>
        <v>237.27357081252273</v>
      </c>
      <c r="CE74" s="59">
        <f t="shared" si="94"/>
        <v>68.768479693848576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-3.4106051316484809E-13</v>
      </c>
      <c r="CU74" s="17">
        <f>CT74*VLOOKUP('Données projet'!$B$13,Paramètres!$A$1:$I$89,3,0)*VLOOKUP('Données projet'!$B$13,Paramètres!$A$1:$I$89,5,0)</f>
        <v>-1.9065282685915009E-13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474.03051418249999</v>
      </c>
      <c r="CZ74" s="59">
        <f t="shared" si="96"/>
        <v>649.52271992719091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2.4264565248367234</v>
      </c>
      <c r="DG74" s="21">
        <f>EXP(-LN(2)/25)*DG73+(1-EXP(-LN(2)/25))/(LN(2)/25)*Calculateur!DB74*Calculateur!DD74*VLOOKUP('Données projet'!$B$13,Paramètres!$A$1:$I$89,3,0)*0.475*44/12</f>
        <v>7.7625034957022852</v>
      </c>
      <c r="DH74" s="21">
        <f>EXP(-LN(2)/2)*DH73+(1-EXP(-LN(2)/2))/(LN(2)/2)*DB74*DE74*VLOOKUP('Données projet'!$B$13,Paramètres!$A$1:$I$89,3,0)*0.475*44/12</f>
        <v>7.8896661920339027E-6</v>
      </c>
      <c r="DI74" s="22">
        <f t="shared" si="69"/>
        <v>10.1889679102052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-5.6843418860808015E-14</v>
      </c>
      <c r="DP74" s="17">
        <f>DO74*VLOOKUP('Données projet'!$B$14,Paramètres!$A$1:$I$89,3,0)*VLOOKUP('Données projet'!$B$14,Paramètres!$A$1:$I$89,5,0)</f>
        <v>-3.1036506698001178E-14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164.0740581424559</v>
      </c>
      <c r="DU74" s="59">
        <f t="shared" si="98"/>
        <v>280.99861170359793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2.932788196249593</v>
      </c>
      <c r="EB74" s="21">
        <f>EXP(-LN(2)/25)*EB73+(1-EXP(-LN(2)/25))/(LN(2)/25)*Calculateur!DW74*Calculateur!DY74*VLOOKUP('Données projet'!$B$14,Paramètres!$A$1:$I$89,3,0)*0.475*44/12</f>
        <v>8.309114389673022</v>
      </c>
      <c r="EC74" s="21">
        <f>EXP(-LN(2)/2)*EC73+(1-EXP(-LN(2)/2))/(LN(2)/2)*DW74*DZ74*VLOOKUP('Données projet'!$B$14,Paramètres!$A$1:$I$89,3,0)*0.475*44/12</f>
        <v>1.0235758851791093E-5</v>
      </c>
      <c r="ED74" s="22">
        <f t="shared" si="72"/>
        <v>11.241912821681467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1.1368683772161603E-13</v>
      </c>
      <c r="EK74" s="17">
        <f>EJ74*VLOOKUP('Données projet'!$B$15,Paramètres!$A$1:$I$89,3,0)*VLOOKUP('Données projet'!$B$15,Paramètres!$A$1:$I$89,5,0)</f>
        <v>5.4683368944097308E-14</v>
      </c>
      <c r="EL74" s="13">
        <f t="shared" si="99"/>
        <v>8.8129432816788268E-13</v>
      </c>
      <c r="EM74" s="20">
        <f t="shared" si="73"/>
        <v>1.6301611558033651E-12</v>
      </c>
      <c r="EN74" s="59">
        <f t="shared" si="74"/>
        <v>293.33333333333496</v>
      </c>
      <c r="EO74" s="59">
        <f ca="1">AVERAGE(OFFSET($EN$3,0,0,'Données projet'!$E$15+1,1))-AVERAGE(OFFSET($H$3,0,0,'Données projet'!$E$15+1,1))</f>
        <v>312.1172301514103</v>
      </c>
      <c r="EP74" s="59">
        <f t="shared" si="100"/>
        <v>369.85500533493212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1.1997526274314165</v>
      </c>
      <c r="EW74" s="21">
        <f>EXP(-LN(2)/25)*EW73+(1-EXP(-LN(2)/25))/(LN(2)/25)*Calculateur!ER74*Calculateur!ET74*VLOOKUP('Données projet'!$B$15,Paramètres!$A$1:$I$89,3,0)*0.475*44/12</f>
        <v>4.8255293439844626</v>
      </c>
      <c r="EX74" s="21">
        <f>EXP(-LN(2)/2)*EX73+(1-EXP(-LN(2)/2))/(LN(2)/2)*ER74*EU74*VLOOKUP('Données projet'!$B$15,Paramètres!$A$1:$I$89,3,0)*0.475*44/12</f>
        <v>2.1361084040710579E-5</v>
      </c>
      <c r="EY74" s="22">
        <f t="shared" si="75"/>
        <v>6.0253033324999192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-1.7053025658242404E-13</v>
      </c>
      <c r="FF74" s="17">
        <f>FE74*VLOOKUP('Données projet'!$B$16,Paramètres!$A$1:$I$89,3,0)*VLOOKUP('Données projet'!$B$16,Paramètres!$A$1:$I$89,5,0)</f>
        <v>-7.9808160080574461E-14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87.187251664304199</v>
      </c>
      <c r="FK74" s="59">
        <f t="shared" si="102"/>
        <v>148.84938257884147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2.587278660876879</v>
      </c>
      <c r="FS74" s="21">
        <f>EXP(-LN(2)/2)*FS73+(1-EXP(-LN(2)/2))/(LN(2)/2)*FM74*FP74*VLOOKUP('Données projet'!$B$16,Paramètres!$A$1:$I$89,3,0)*0.475*44/12</f>
        <v>4.1026924183736008E-6</v>
      </c>
      <c r="FT74" s="22">
        <f t="shared" si="78"/>
        <v>2.5872827635692972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-1.1368683772161603E-13</v>
      </c>
      <c r="GA74" s="17">
        <f>FZ74*VLOOKUP('Données projet'!$B$17,Paramètres!$A$1:$I$89,3,0)*VLOOKUP('Données projet'!$B$17,Paramètres!$A$1:$I$89,5,0)</f>
        <v>-6.7984728957526396E-14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282.94722676586207</v>
      </c>
      <c r="GF74" s="59">
        <f t="shared" si="104"/>
        <v>310.63647941571298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3.4387842189894391</v>
      </c>
      <c r="GN74" s="21">
        <f>EXP(-LN(2)/2)*GN73+(1-EXP(-LN(2)/2))/(LN(2)/2)*GH74*GK74*VLOOKUP('Données projet'!$B$17,Paramètres!$A$1:$I$89,3,0)*0.475*44/12</f>
        <v>1.7289131555647374E-5</v>
      </c>
      <c r="GO74" s="21">
        <f t="shared" si="81"/>
        <v>3.4388015081209948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-1.1368683772161603E-13</v>
      </c>
      <c r="GV74" s="17">
        <f>GU74*VLOOKUP('Données projet'!$B$18,Paramètres!$A$1:$I$89,3,0)*VLOOKUP('Données projet'!$B$18,Paramètres!$A$1:$I$89,5,0)</f>
        <v>-6.7984728957526396E-14</v>
      </c>
      <c r="GW74" s="13" t="e">
        <f t="shared" si="105"/>
        <v>#NUM!</v>
      </c>
      <c r="GX74" s="20" t="e">
        <f t="shared" si="82"/>
        <v>#NUM!</v>
      </c>
      <c r="GY74" s="59" t="e">
        <f t="shared" si="83"/>
        <v>#NUM!</v>
      </c>
      <c r="GZ74" s="59">
        <f ca="1">AVERAGE(OFFSET($GY$3,0,0,'Données projet'!$E$18+1,1))-AVERAGE(OFFSET($H$3,0,0,'Données projet'!$E$18+1,1))</f>
        <v>255.54398581450459</v>
      </c>
      <c r="HA74" s="59">
        <f t="shared" si="106"/>
        <v>276.52622328061204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1.7158454524059308</v>
      </c>
      <c r="HI74" s="21">
        <f>EXP(-LN(2)/2)*HI73+(1-EXP(-LN(2)/2))/(LN(2)/2)*HC74*HF74*VLOOKUP('Données projet'!$B$18,Paramètres!$A$1:$I$89,3,0)*0.475*44/12</f>
        <v>1.0025611799963224E-5</v>
      </c>
      <c r="HJ74" s="22">
        <f t="shared" si="84"/>
        <v>1.7158554780177306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5.6843418860808015E-14</v>
      </c>
      <c r="O75" s="13">
        <f>N75*VLOOKUP('Données projet'!$B$9,Paramètres!$A$1:$I$89,3,0)*VLOOKUP('Données projet'!$B$9,Paramètres!$A$1:$I$89,5,0)</f>
        <v>4.9658410716801891E-14</v>
      </c>
      <c r="P75" s="13">
        <f t="shared" si="87"/>
        <v>8.0934058173791862E-13</v>
      </c>
      <c r="Q75" s="20">
        <f t="shared" si="54"/>
        <v>1.4960899118586383E-12</v>
      </c>
      <c r="R75" s="59">
        <f t="shared" si="55"/>
        <v>293.33333333333479</v>
      </c>
      <c r="S75" s="59">
        <f ca="1">AVERAGE(OFFSET($R$3,0,0,'Données projet'!$E$9+1,1))-AVERAGE(OFFSET($H$3,0,0,'Données projet'!$E$9+1,1))</f>
        <v>248.50221719467663</v>
      </c>
      <c r="T75" s="59">
        <f t="shared" si="88"/>
        <v>366.09064580347183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3.4364276597101915</v>
      </c>
      <c r="AA75" s="21">
        <f>EXP(-LN(2)/25)*AA74+(1-EXP(-LN(2)/25))/(LN(2)/25)*Calculateur!V75*Calculateur!X75*VLOOKUP('Données projet'!$B$9,Paramètres!$A$1:$I$89,3,0)*0.475*44/12</f>
        <v>7.5117970464005852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10.948224706110777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261.66816</v>
      </c>
      <c r="AK75" s="13">
        <f t="shared" si="89"/>
        <v>63.077829793082856</v>
      </c>
      <c r="AL75" s="20">
        <f t="shared" si="58"/>
        <v>565.5992655562859</v>
      </c>
      <c r="AM75" s="59">
        <f t="shared" si="59"/>
        <v>858.93259888961916</v>
      </c>
      <c r="AN75" s="59">
        <f ca="1">AVERAGE(OFFSET($AM$3,0,0,'Données projet'!$E$10+1,1))-AVERAGE(OFFSET($H$3,0,0,'Données projet'!$E$10+1,1))</f>
        <v>263.22346936777603</v>
      </c>
      <c r="AO75" s="59">
        <f t="shared" si="90"/>
        <v>217.14714468707939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2.2707927983404552</v>
      </c>
      <c r="AW75" s="21">
        <f>EXP(-LN(2)/2)*AW74+(1-EXP(-LN(2)/2))/(LN(2)/2)*AQ75*AT75*VLOOKUP('Données projet'!$B$10,Paramètres!$A$1:$I$89,3,0)*0.475*44/12</f>
        <v>8.5119058826643056E-6</v>
      </c>
      <c r="AX75" s="21">
        <f t="shared" si="60"/>
        <v>2.270801310246338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5.6843418860808015E-14</v>
      </c>
      <c r="BE75" s="13">
        <f>BD75*VLOOKUP('Données projet'!$B$11,Paramètres!$A$1:$I$89,3,0)*VLOOKUP('Données projet'!$B$11,Paramètres!$A$1:$I$89,5,0)</f>
        <v>4.4337866711430253E-14</v>
      </c>
      <c r="BF75" s="13">
        <f t="shared" si="91"/>
        <v>7.3222115536967035E-13</v>
      </c>
      <c r="BG75" s="20">
        <f t="shared" si="61"/>
        <v>1.3525069634579169E-12</v>
      </c>
      <c r="BH75" s="59">
        <f t="shared" si="62"/>
        <v>293.33333333333468</v>
      </c>
      <c r="BI75" s="59">
        <f ca="1">AVERAGE(OFFSET($BH$3,0,0,'Données projet'!$E$11+1,1))-AVERAGE(OFFSET($H$3,0,0,'Données projet'!$E$11+1,1))</f>
        <v>219.22204054948094</v>
      </c>
      <c r="BJ75" s="59">
        <f t="shared" si="92"/>
        <v>222.41711966122034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0.97856039754278834</v>
      </c>
      <c r="BR75" s="21">
        <f>EXP(-LN(2)/2)*BR74+(1-EXP(-LN(2)/2))/(LN(2)/2)*BL75*BO75*VLOOKUP('Données projet'!$B$11,Paramètres!$A$1:$I$89,3,0)*0.475*44/12</f>
        <v>1.5593087369597351E-6</v>
      </c>
      <c r="BS75" s="22">
        <f t="shared" si="63"/>
        <v>0.97856195685152525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13.2</v>
      </c>
      <c r="BY75" s="12">
        <f>IF('Données projet'!$A$114&gt;35,BY74+BX75-CG74,IF(A75&lt;'Données projet'!$A$114,$BV$205^A75,IF(A75='Données projet'!$A$114,'Données projet'!$B$114,BY74+BX75-CG74)))</f>
        <v>350.39999999999969</v>
      </c>
      <c r="BZ75" s="13">
        <f>BY75*VLOOKUP('Données projet'!$B$12,Paramètres!$A$1:$I$89,3,0)*VLOOKUP('Données projet'!$B$12,Paramètres!$A$1:$I$89,5,0)</f>
        <v>300.64319999999981</v>
      </c>
      <c r="CA75" s="13">
        <f t="shared" si="93"/>
        <v>71.3112860893104</v>
      </c>
      <c r="CB75" s="20">
        <f t="shared" si="64"/>
        <v>647.82072993888187</v>
      </c>
      <c r="CC75" s="59">
        <f t="shared" si="65"/>
        <v>941.15406327221513</v>
      </c>
      <c r="CD75" s="59">
        <f ca="1">AVERAGE(OFFSET($CC$3,0,0,'Données projet'!$E$12+1,1))-AVERAGE(OFFSET($H$3,0,0,'Données projet'!$E$12+1,1))</f>
        <v>237.27357081252273</v>
      </c>
      <c r="CE75" s="59">
        <f t="shared" si="94"/>
        <v>68.768479693848576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-3.4106051316484809E-13</v>
      </c>
      <c r="CU75" s="17">
        <f>CT75*VLOOKUP('Données projet'!$B$13,Paramètres!$A$1:$I$89,3,0)*VLOOKUP('Données projet'!$B$13,Paramètres!$A$1:$I$89,5,0)</f>
        <v>-1.9065282685915009E-13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474.03051418249999</v>
      </c>
      <c r="CZ75" s="59">
        <f t="shared" si="96"/>
        <v>649.52271992719091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2.3788751923770182</v>
      </c>
      <c r="DG75" s="21">
        <f>EXP(-LN(2)/25)*DG74+(1-EXP(-LN(2)/25))/(LN(2)/25)*Calculateur!DB75*Calculateur!DD75*VLOOKUP('Données projet'!$B$13,Paramètres!$A$1:$I$89,3,0)*0.475*44/12</f>
        <v>7.5502374293999885</v>
      </c>
      <c r="DH75" s="21">
        <f>EXP(-LN(2)/2)*DH74+(1-EXP(-LN(2)/2))/(LN(2)/2)*DB75*DE75*VLOOKUP('Données projet'!$B$13,Paramètres!$A$1:$I$89,3,0)*0.475*44/12</f>
        <v>5.5788364656854185E-6</v>
      </c>
      <c r="DI75" s="22">
        <f t="shared" si="69"/>
        <v>9.9291182006134733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-5.6843418860808015E-14</v>
      </c>
      <c r="DP75" s="17">
        <f>DO75*VLOOKUP('Données projet'!$B$14,Paramètres!$A$1:$I$89,3,0)*VLOOKUP('Données projet'!$B$14,Paramètres!$A$1:$I$89,5,0)</f>
        <v>-3.1036506698001178E-14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164.0740581424559</v>
      </c>
      <c r="DU75" s="59">
        <f t="shared" si="98"/>
        <v>280.99861170359793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2.8752780085453065</v>
      </c>
      <c r="EB75" s="21">
        <f>EXP(-LN(2)/25)*EB74+(1-EXP(-LN(2)/25))/(LN(2)/25)*Calculateur!DW75*Calculateur!DY75*VLOOKUP('Données projet'!$B$14,Paramètres!$A$1:$I$89,3,0)*0.475*44/12</f>
        <v>8.0819012197300779</v>
      </c>
      <c r="EC75" s="21">
        <f>EXP(-LN(2)/2)*EC74+(1-EXP(-LN(2)/2))/(LN(2)/2)*DW75*DZ75*VLOOKUP('Données projet'!$B$14,Paramètres!$A$1:$I$89,3,0)*0.475*44/12</f>
        <v>7.2377744946917121E-6</v>
      </c>
      <c r="ED75" s="22">
        <f t="shared" si="72"/>
        <v>10.95718646604988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1.1368683772161603E-13</v>
      </c>
      <c r="EK75" s="17">
        <f>EJ75*VLOOKUP('Données projet'!$B$15,Paramètres!$A$1:$I$89,3,0)*VLOOKUP('Données projet'!$B$15,Paramètres!$A$1:$I$89,5,0)</f>
        <v>5.4683368944097308E-14</v>
      </c>
      <c r="EL75" s="13">
        <f t="shared" si="99"/>
        <v>8.8129432816788268E-13</v>
      </c>
      <c r="EM75" s="20">
        <f t="shared" si="73"/>
        <v>1.6301611558033651E-12</v>
      </c>
      <c r="EN75" s="59">
        <f t="shared" si="74"/>
        <v>293.33333333333496</v>
      </c>
      <c r="EO75" s="59">
        <f ca="1">AVERAGE(OFFSET($EN$3,0,0,'Données projet'!$E$15+1,1))-AVERAGE(OFFSET($H$3,0,0,'Données projet'!$E$15+1,1))</f>
        <v>312.1172301514103</v>
      </c>
      <c r="EP75" s="59">
        <f t="shared" si="100"/>
        <v>369.85500533493212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1.1762262101843322</v>
      </c>
      <c r="EW75" s="21">
        <f>EXP(-LN(2)/25)*EW74+(1-EXP(-LN(2)/25))/(LN(2)/25)*Calculateur!ER75*Calculateur!ET75*VLOOKUP('Données projet'!$B$15,Paramètres!$A$1:$I$89,3,0)*0.475*44/12</f>
        <v>4.6935749903096484</v>
      </c>
      <c r="EX75" s="21">
        <f>EXP(-LN(2)/2)*EX74+(1-EXP(-LN(2)/2))/(LN(2)/2)*ER75*EU75*VLOOKUP('Données projet'!$B$15,Paramètres!$A$1:$I$89,3,0)*0.475*44/12</f>
        <v>1.5104567378682189E-5</v>
      </c>
      <c r="EY75" s="22">
        <f t="shared" si="75"/>
        <v>5.8698163050613594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-1.7053025658242404E-13</v>
      </c>
      <c r="FF75" s="17">
        <f>FE75*VLOOKUP('Données projet'!$B$16,Paramètres!$A$1:$I$89,3,0)*VLOOKUP('Données projet'!$B$16,Paramètres!$A$1:$I$89,5,0)</f>
        <v>-7.9808160080574461E-14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87.187251664304199</v>
      </c>
      <c r="FK75" s="59">
        <f t="shared" si="102"/>
        <v>148.84938257884147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2.5165293898361294</v>
      </c>
      <c r="FS75" s="21">
        <f>EXP(-LN(2)/2)*FS74+(1-EXP(-LN(2)/2))/(LN(2)/2)*FM75*FP75*VLOOKUP('Données projet'!$B$16,Paramètres!$A$1:$I$89,3,0)*0.475*44/12</f>
        <v>2.9010416301546092E-6</v>
      </c>
      <c r="FT75" s="22">
        <f t="shared" si="78"/>
        <v>2.5165322908777594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-1.1368683772161603E-13</v>
      </c>
      <c r="GA75" s="17">
        <f>FZ75*VLOOKUP('Données projet'!$B$17,Paramètres!$A$1:$I$89,3,0)*VLOOKUP('Données projet'!$B$17,Paramètres!$A$1:$I$89,5,0)</f>
        <v>-6.7984728957526396E-14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282.94722676586207</v>
      </c>
      <c r="GF75" s="59">
        <f t="shared" si="104"/>
        <v>310.63647941571298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3.3447504836833701</v>
      </c>
      <c r="GN75" s="21">
        <f>EXP(-LN(2)/2)*GN74+(1-EXP(-LN(2)/2))/(LN(2)/2)*GH75*GK75*VLOOKUP('Données projet'!$B$17,Paramètres!$A$1:$I$89,3,0)*0.475*44/12</f>
        <v>1.2225262163824582E-5</v>
      </c>
      <c r="GO75" s="21">
        <f t="shared" si="81"/>
        <v>3.3447627089455341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-1.1368683772161603E-13</v>
      </c>
      <c r="GV75" s="17">
        <f>GU75*VLOOKUP('Données projet'!$B$18,Paramètres!$A$1:$I$89,3,0)*VLOOKUP('Données projet'!$B$18,Paramètres!$A$1:$I$89,5,0)</f>
        <v>-6.7984728957526396E-14</v>
      </c>
      <c r="GW75" s="13" t="e">
        <f t="shared" si="105"/>
        <v>#NUM!</v>
      </c>
      <c r="GX75" s="20" t="e">
        <f t="shared" si="82"/>
        <v>#NUM!</v>
      </c>
      <c r="GY75" s="59" t="e">
        <f t="shared" si="83"/>
        <v>#NUM!</v>
      </c>
      <c r="GZ75" s="59">
        <f ca="1">AVERAGE(OFFSET($GY$3,0,0,'Données projet'!$E$18+1,1))-AVERAGE(OFFSET($H$3,0,0,'Données projet'!$E$18+1,1))</f>
        <v>255.54398581450459</v>
      </c>
      <c r="HA75" s="59">
        <f t="shared" si="106"/>
        <v>276.52622328061204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1.6689255682774999</v>
      </c>
      <c r="HI75" s="21">
        <f>EXP(-LN(2)/2)*HI74+(1-EXP(-LN(2)/2))/(LN(2)/2)*HC75*HF75*VLOOKUP('Données projet'!$B$18,Paramètres!$A$1:$I$89,3,0)*0.475*44/12</f>
        <v>7.0891780892978645E-6</v>
      </c>
      <c r="HJ75" s="22">
        <f t="shared" si="84"/>
        <v>1.6689326574555892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5.6843418860808015E-14</v>
      </c>
      <c r="O76" s="13">
        <f>N76*VLOOKUP('Données projet'!$B$9,Paramètres!$A$1:$I$89,3,0)*VLOOKUP('Données projet'!$B$9,Paramètres!$A$1:$I$89,5,0)</f>
        <v>4.9658410716801891E-14</v>
      </c>
      <c r="P76" s="13">
        <f t="shared" si="87"/>
        <v>8.0934058173791862E-13</v>
      </c>
      <c r="Q76" s="20">
        <f t="shared" si="54"/>
        <v>1.4960899118586383E-12</v>
      </c>
      <c r="R76" s="59">
        <f t="shared" si="55"/>
        <v>293.33333333333479</v>
      </c>
      <c r="S76" s="59">
        <f ca="1">AVERAGE(OFFSET($R$3,0,0,'Données projet'!$E$9+1,1))-AVERAGE(OFFSET($H$3,0,0,'Données projet'!$E$9+1,1))</f>
        <v>248.50221719467663</v>
      </c>
      <c r="T76" s="59">
        <f t="shared" si="88"/>
        <v>366.09064580347183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3.369041409317183</v>
      </c>
      <c r="AA76" s="21">
        <f>EXP(-LN(2)/25)*AA75+(1-EXP(-LN(2)/25))/(LN(2)/25)*Calculateur!V76*Calculateur!X76*VLOOKUP('Données projet'!$B$9,Paramètres!$A$1:$I$89,3,0)*0.475*44/12</f>
        <v>7.306386561138523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10.675427970455706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268.54464000000002</v>
      </c>
      <c r="AK76" s="13">
        <f t="shared" si="89"/>
        <v>64.54030807605065</v>
      </c>
      <c r="AL76" s="20">
        <f t="shared" si="58"/>
        <v>580.12295123245474</v>
      </c>
      <c r="AM76" s="59">
        <f t="shared" si="59"/>
        <v>873.45628456578811</v>
      </c>
      <c r="AN76" s="59">
        <f ca="1">AVERAGE(OFFSET($AM$3,0,0,'Données projet'!$E$10+1,1))-AVERAGE(OFFSET($H$3,0,0,'Données projet'!$E$10+1,1))</f>
        <v>263.22346936777603</v>
      </c>
      <c r="AO76" s="59">
        <f t="shared" si="90"/>
        <v>217.14714468707939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2.2086978498540324</v>
      </c>
      <c r="AW76" s="21">
        <f>EXP(-LN(2)/2)*AW75+(1-EXP(-LN(2)/2))/(LN(2)/2)*AQ76*AT76*VLOOKUP('Données projet'!$B$10,Paramètres!$A$1:$I$89,3,0)*0.475*44/12</f>
        <v>6.0188263704535959E-6</v>
      </c>
      <c r="AX76" s="21">
        <f t="shared" si="60"/>
        <v>2.208703868680403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5.6843418860808015E-14</v>
      </c>
      <c r="BE76" s="13">
        <f>BD76*VLOOKUP('Données projet'!$B$11,Paramètres!$A$1:$I$89,3,0)*VLOOKUP('Données projet'!$B$11,Paramètres!$A$1:$I$89,5,0)</f>
        <v>4.4337866711430253E-14</v>
      </c>
      <c r="BF76" s="13">
        <f t="shared" si="91"/>
        <v>7.3222115536967035E-13</v>
      </c>
      <c r="BG76" s="20">
        <f t="shared" si="61"/>
        <v>1.3525069634579169E-12</v>
      </c>
      <c r="BH76" s="59">
        <f t="shared" si="62"/>
        <v>293.33333333333468</v>
      </c>
      <c r="BI76" s="59">
        <f ca="1">AVERAGE(OFFSET($BH$3,0,0,'Données projet'!$E$11+1,1))-AVERAGE(OFFSET($H$3,0,0,'Données projet'!$E$11+1,1))</f>
        <v>219.22204054948094</v>
      </c>
      <c r="BJ76" s="59">
        <f t="shared" si="92"/>
        <v>222.41711966122034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0.95180161201172597</v>
      </c>
      <c r="BR76" s="21">
        <f>EXP(-LN(2)/2)*BR75+(1-EXP(-LN(2)/2))/(LN(2)/2)*BL76*BO76*VLOOKUP('Données projet'!$B$11,Paramètres!$A$1:$I$89,3,0)*0.475*44/12</f>
        <v>1.1025977818676592E-6</v>
      </c>
      <c r="BS76" s="22">
        <f t="shared" si="63"/>
        <v>0.95180271460950783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13.2</v>
      </c>
      <c r="BY76" s="12">
        <f>IF('Données projet'!$A$114&gt;35,BY75+BX76-CG75,IF(A76&lt;'Données projet'!$A$114,$BV$205^A76,IF(A76='Données projet'!$A$114,'Données projet'!$B$114,BY75+BX76-CG75)))</f>
        <v>363.59999999999968</v>
      </c>
      <c r="BZ76" s="13">
        <f>BY76*VLOOKUP('Données projet'!$B$12,Paramètres!$A$1:$I$89,3,0)*VLOOKUP('Données projet'!$B$12,Paramètres!$A$1:$I$89,5,0)</f>
        <v>311.96879999999976</v>
      </c>
      <c r="CA76" s="13">
        <f t="shared" si="93"/>
        <v>73.679842353196392</v>
      </c>
      <c r="CB76" s="20">
        <f t="shared" si="64"/>
        <v>671.67138543181647</v>
      </c>
      <c r="CC76" s="59">
        <f t="shared" si="65"/>
        <v>965.00471876514985</v>
      </c>
      <c r="CD76" s="59">
        <f ca="1">AVERAGE(OFFSET($CC$3,0,0,'Données projet'!$E$12+1,1))-AVERAGE(OFFSET($H$3,0,0,'Données projet'!$E$12+1,1))</f>
        <v>237.27357081252273</v>
      </c>
      <c r="CE76" s="59">
        <f t="shared" si="94"/>
        <v>68.768479693848576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-3.4106051316484809E-13</v>
      </c>
      <c r="CU76" s="17">
        <f>CT76*VLOOKUP('Données projet'!$B$13,Paramètres!$A$1:$I$89,3,0)*VLOOKUP('Données projet'!$B$13,Paramètres!$A$1:$I$89,5,0)</f>
        <v>-1.9065282685915009E-13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474.03051418249999</v>
      </c>
      <c r="CZ76" s="59">
        <f t="shared" si="96"/>
        <v>649.52271992719091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2.3322269008251006</v>
      </c>
      <c r="DG76" s="21">
        <f>EXP(-LN(2)/25)*DG75+(1-EXP(-LN(2)/25))/(LN(2)/25)*Calculateur!DB76*Calculateur!DD76*VLOOKUP('Données projet'!$B$13,Paramètres!$A$1:$I$89,3,0)*0.475*44/12</f>
        <v>7.343775789843316</v>
      </c>
      <c r="DH76" s="21">
        <f>EXP(-LN(2)/2)*DH75+(1-EXP(-LN(2)/2))/(LN(2)/2)*DB76*DE76*VLOOKUP('Données projet'!$B$13,Paramètres!$A$1:$I$89,3,0)*0.475*44/12</f>
        <v>3.9448330960169514E-6</v>
      </c>
      <c r="DI76" s="22">
        <f t="shared" si="69"/>
        <v>9.6760066355015137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-5.6843418860808015E-14</v>
      </c>
      <c r="DP76" s="17">
        <f>DO76*VLOOKUP('Données projet'!$B$14,Paramètres!$A$1:$I$89,3,0)*VLOOKUP('Données projet'!$B$14,Paramètres!$A$1:$I$89,5,0)</f>
        <v>-3.1036506698001178E-14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164.0740581424559</v>
      </c>
      <c r="DU76" s="59">
        <f t="shared" si="98"/>
        <v>280.99861170359793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2.8188955605441501</v>
      </c>
      <c r="EB76" s="21">
        <f>EXP(-LN(2)/25)*EB75+(1-EXP(-LN(2)/25))/(LN(2)/25)*Calculateur!DW76*Calculateur!DY76*VLOOKUP('Données projet'!$B$14,Paramètres!$A$1:$I$89,3,0)*0.475*44/12</f>
        <v>7.8609012058678456</v>
      </c>
      <c r="EC76" s="21">
        <f>EXP(-LN(2)/2)*EC75+(1-EXP(-LN(2)/2))/(LN(2)/2)*DW76*DZ76*VLOOKUP('Données projet'!$B$14,Paramètres!$A$1:$I$89,3,0)*0.475*44/12</f>
        <v>5.1178794258955476E-6</v>
      </c>
      <c r="ED76" s="22">
        <f t="shared" si="72"/>
        <v>10.679801884291422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1.1368683772161603E-13</v>
      </c>
      <c r="EK76" s="17">
        <f>EJ76*VLOOKUP('Données projet'!$B$15,Paramètres!$A$1:$I$89,3,0)*VLOOKUP('Données projet'!$B$15,Paramètres!$A$1:$I$89,5,0)</f>
        <v>5.4683368944097308E-14</v>
      </c>
      <c r="EL76" s="13">
        <f t="shared" si="99"/>
        <v>8.8129432816788268E-13</v>
      </c>
      <c r="EM76" s="20">
        <f t="shared" si="73"/>
        <v>1.6301611558033651E-12</v>
      </c>
      <c r="EN76" s="59">
        <f t="shared" si="74"/>
        <v>293.33333333333496</v>
      </c>
      <c r="EO76" s="59">
        <f ca="1">AVERAGE(OFFSET($EN$3,0,0,'Données projet'!$E$15+1,1))-AVERAGE(OFFSET($H$3,0,0,'Données projet'!$E$15+1,1))</f>
        <v>312.1172301514103</v>
      </c>
      <c r="EP76" s="59">
        <f t="shared" si="100"/>
        <v>369.85500533493212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1.1531611316297656</v>
      </c>
      <c r="EW76" s="21">
        <f>EXP(-LN(2)/25)*EW75+(1-EXP(-LN(2)/25))/(LN(2)/25)*Calculateur!ER76*Calculateur!ET76*VLOOKUP('Données projet'!$B$15,Paramètres!$A$1:$I$89,3,0)*0.475*44/12</f>
        <v>4.5652289353752495</v>
      </c>
      <c r="EX76" s="21">
        <f>EXP(-LN(2)/2)*EX75+(1-EXP(-LN(2)/2))/(LN(2)/2)*ER76*EU76*VLOOKUP('Données projet'!$B$15,Paramètres!$A$1:$I$89,3,0)*0.475*44/12</f>
        <v>1.0680542020355291E-5</v>
      </c>
      <c r="EY76" s="22">
        <f t="shared" si="75"/>
        <v>5.7184007475470358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-1.7053025658242404E-13</v>
      </c>
      <c r="FF76" s="17">
        <f>FE76*VLOOKUP('Données projet'!$B$16,Paramètres!$A$1:$I$89,3,0)*VLOOKUP('Données projet'!$B$16,Paramètres!$A$1:$I$89,5,0)</f>
        <v>-7.9808160080574461E-14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87.187251664304199</v>
      </c>
      <c r="FK76" s="59">
        <f t="shared" si="102"/>
        <v>148.84938257884147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2.4477147613325316</v>
      </c>
      <c r="FS76" s="21">
        <f>EXP(-LN(2)/2)*FS75+(1-EXP(-LN(2)/2))/(LN(2)/2)*FM76*FP76*VLOOKUP('Données projet'!$B$16,Paramètres!$A$1:$I$89,3,0)*0.475*44/12</f>
        <v>2.0513462091868004E-6</v>
      </c>
      <c r="FT76" s="22">
        <f t="shared" si="78"/>
        <v>2.447716812678741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-1.1368683772161603E-13</v>
      </c>
      <c r="GA76" s="17">
        <f>FZ76*VLOOKUP('Données projet'!$B$17,Paramètres!$A$1:$I$89,3,0)*VLOOKUP('Données projet'!$B$17,Paramètres!$A$1:$I$89,5,0)</f>
        <v>-6.7984728957526396E-14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282.94722676586207</v>
      </c>
      <c r="GF76" s="59">
        <f t="shared" si="104"/>
        <v>310.63647941571298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3.2532881058142649</v>
      </c>
      <c r="GN76" s="21">
        <f>EXP(-LN(2)/2)*GN75+(1-EXP(-LN(2)/2))/(LN(2)/2)*GH76*GK76*VLOOKUP('Données projet'!$B$17,Paramètres!$A$1:$I$89,3,0)*0.475*44/12</f>
        <v>8.6445657778236871E-6</v>
      </c>
      <c r="GO76" s="21">
        <f t="shared" si="81"/>
        <v>3.2532967503800427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-1.1368683772161603E-13</v>
      </c>
      <c r="GV76" s="17">
        <f>GU76*VLOOKUP('Données projet'!$B$18,Paramètres!$A$1:$I$89,3,0)*VLOOKUP('Données projet'!$B$18,Paramètres!$A$1:$I$89,5,0)</f>
        <v>-6.7984728957526396E-14</v>
      </c>
      <c r="GW76" s="13" t="e">
        <f t="shared" si="105"/>
        <v>#NUM!</v>
      </c>
      <c r="GX76" s="20" t="e">
        <f t="shared" si="82"/>
        <v>#NUM!</v>
      </c>
      <c r="GY76" s="59" t="e">
        <f t="shared" si="83"/>
        <v>#NUM!</v>
      </c>
      <c r="GZ76" s="59">
        <f ca="1">AVERAGE(OFFSET($GY$3,0,0,'Données projet'!$E$18+1,1))-AVERAGE(OFFSET($H$3,0,0,'Données projet'!$E$18+1,1))</f>
        <v>255.54398581450459</v>
      </c>
      <c r="HA76" s="59">
        <f t="shared" si="106"/>
        <v>276.52622328061204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1.6232887108479706</v>
      </c>
      <c r="HI76" s="21">
        <f>EXP(-LN(2)/2)*HI75+(1-EXP(-LN(2)/2))/(LN(2)/2)*HC76*HF76*VLOOKUP('Données projet'!$B$18,Paramètres!$A$1:$I$89,3,0)*0.475*44/12</f>
        <v>5.0128058999816121E-6</v>
      </c>
      <c r="HJ76" s="22">
        <f t="shared" si="84"/>
        <v>1.6232937236538705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5.6843418860808015E-14</v>
      </c>
      <c r="O77" s="13">
        <f>N77*VLOOKUP('Données projet'!$B$9,Paramètres!$A$1:$I$89,3,0)*VLOOKUP('Données projet'!$B$9,Paramètres!$A$1:$I$89,5,0)</f>
        <v>4.9658410716801891E-14</v>
      </c>
      <c r="P77" s="13">
        <f t="shared" si="87"/>
        <v>8.0934058173791862E-13</v>
      </c>
      <c r="Q77" s="20">
        <f t="shared" si="54"/>
        <v>1.4960899118586383E-12</v>
      </c>
      <c r="R77" s="59">
        <f t="shared" si="55"/>
        <v>293.33333333333479</v>
      </c>
      <c r="S77" s="59">
        <f ca="1">AVERAGE(OFFSET($R$3,0,0,'Données projet'!$E$9+1,1))-AVERAGE(OFFSET($H$3,0,0,'Données projet'!$E$9+1,1))</f>
        <v>248.50221719467663</v>
      </c>
      <c r="T77" s="59">
        <f t="shared" si="88"/>
        <v>366.09064580347183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3.3029765621928271</v>
      </c>
      <c r="AA77" s="21">
        <f>EXP(-LN(2)/25)*AA76+(1-EXP(-LN(2)/25))/(LN(2)/25)*Calculateur!V77*Calculateur!X77*VLOOKUP('Données projet'!$B$9,Paramètres!$A$1:$I$89,3,0)*0.475*44/12</f>
        <v>7.1065930363980199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10.409569598590847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275.42112000000003</v>
      </c>
      <c r="AK77" s="13">
        <f t="shared" si="89"/>
        <v>65.998433293601067</v>
      </c>
      <c r="AL77" s="20">
        <f t="shared" si="58"/>
        <v>594.63905531968851</v>
      </c>
      <c r="AM77" s="59">
        <f t="shared" si="59"/>
        <v>887.97238865302188</v>
      </c>
      <c r="AN77" s="59">
        <f ca="1">AVERAGE(OFFSET($AM$3,0,0,'Données projet'!$E$10+1,1))-AVERAGE(OFFSET($H$3,0,0,'Données projet'!$E$10+1,1))</f>
        <v>263.22346936777603</v>
      </c>
      <c r="AO77" s="59">
        <f t="shared" si="90"/>
        <v>217.14714468707939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2.1483008909994021</v>
      </c>
      <c r="AW77" s="21">
        <f>EXP(-LN(2)/2)*AW76+(1-EXP(-LN(2)/2))/(LN(2)/2)*AQ77*AT77*VLOOKUP('Données projet'!$B$10,Paramètres!$A$1:$I$89,3,0)*0.475*44/12</f>
        <v>4.2559529413321528E-6</v>
      </c>
      <c r="AX77" s="21">
        <f t="shared" si="60"/>
        <v>2.1483051469523433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5.6843418860808015E-14</v>
      </c>
      <c r="BE77" s="13">
        <f>BD77*VLOOKUP('Données projet'!$B$11,Paramètres!$A$1:$I$89,3,0)*VLOOKUP('Données projet'!$B$11,Paramètres!$A$1:$I$89,5,0)</f>
        <v>4.4337866711430253E-14</v>
      </c>
      <c r="BF77" s="13">
        <f t="shared" si="91"/>
        <v>7.3222115536967035E-13</v>
      </c>
      <c r="BG77" s="20">
        <f t="shared" si="61"/>
        <v>1.3525069634579169E-12</v>
      </c>
      <c r="BH77" s="59">
        <f t="shared" si="62"/>
        <v>293.33333333333468</v>
      </c>
      <c r="BI77" s="59">
        <f ca="1">AVERAGE(OFFSET($BH$3,0,0,'Données projet'!$E$11+1,1))-AVERAGE(OFFSET($H$3,0,0,'Données projet'!$E$11+1,1))</f>
        <v>219.22204054948094</v>
      </c>
      <c r="BJ77" s="59">
        <f t="shared" si="92"/>
        <v>222.41711966122034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0.92577454687819394</v>
      </c>
      <c r="BR77" s="21">
        <f>EXP(-LN(2)/2)*BR76+(1-EXP(-LN(2)/2))/(LN(2)/2)*BL77*BO77*VLOOKUP('Données projet'!$B$11,Paramètres!$A$1:$I$89,3,0)*0.475*44/12</f>
        <v>7.7965436847986755E-7</v>
      </c>
      <c r="BS77" s="22">
        <f t="shared" si="63"/>
        <v>0.92577532653256245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13.2</v>
      </c>
      <c r="BY77" s="12">
        <f>IF('Données projet'!$A$114&gt;35,BY76+BX77-CG76,IF(A77&lt;'Données projet'!$A$114,$BV$205^A77,IF(A77='Données projet'!$A$114,'Données projet'!$B$114,BY76+BX77-CG76)))</f>
        <v>376.79999999999967</v>
      </c>
      <c r="BZ77" s="13">
        <f>BY77*VLOOKUP('Données projet'!$B$12,Paramètres!$A$1:$I$89,3,0)*VLOOKUP('Données projet'!$B$12,Paramètres!$A$1:$I$89,5,0)</f>
        <v>323.29439999999977</v>
      </c>
      <c r="CA77" s="13">
        <f t="shared" si="93"/>
        <v>76.038408507848956</v>
      </c>
      <c r="CB77" s="20">
        <f t="shared" si="64"/>
        <v>695.50464148450317</v>
      </c>
      <c r="CC77" s="59">
        <f t="shared" si="65"/>
        <v>988.83797481783654</v>
      </c>
      <c r="CD77" s="59">
        <f ca="1">AVERAGE(OFFSET($CC$3,0,0,'Données projet'!$E$12+1,1))-AVERAGE(OFFSET($H$3,0,0,'Données projet'!$E$12+1,1))</f>
        <v>237.27357081252273</v>
      </c>
      <c r="CE77" s="59">
        <f t="shared" si="94"/>
        <v>68.768479693848576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-3.4106051316484809E-13</v>
      </c>
      <c r="CU77" s="17">
        <f>CT77*VLOOKUP('Données projet'!$B$13,Paramètres!$A$1:$I$89,3,0)*VLOOKUP('Données projet'!$B$13,Paramètres!$A$1:$I$89,5,0)</f>
        <v>-1.9065282685915009E-13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474.03051418249999</v>
      </c>
      <c r="CZ77" s="59">
        <f t="shared" si="96"/>
        <v>649.52271992719091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2.286493353817868</v>
      </c>
      <c r="DG77" s="21">
        <f>EXP(-LN(2)/25)*DG76+(1-EXP(-LN(2)/25))/(LN(2)/25)*Calculateur!DB77*Calculateur!DD77*VLOOKUP('Données projet'!$B$13,Paramètres!$A$1:$I$89,3,0)*0.475*44/12</f>
        <v>7.1429598546776658</v>
      </c>
      <c r="DH77" s="21">
        <f>EXP(-LN(2)/2)*DH76+(1-EXP(-LN(2)/2))/(LN(2)/2)*DB77*DE77*VLOOKUP('Données projet'!$B$13,Paramètres!$A$1:$I$89,3,0)*0.475*44/12</f>
        <v>2.7894182328427093E-6</v>
      </c>
      <c r="DI77" s="22">
        <f t="shared" si="69"/>
        <v>9.4294559979137667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-5.6843418860808015E-14</v>
      </c>
      <c r="DP77" s="17">
        <f>DO77*VLOOKUP('Données projet'!$B$14,Paramètres!$A$1:$I$89,3,0)*VLOOKUP('Données projet'!$B$14,Paramètres!$A$1:$I$89,5,0)</f>
        <v>-3.1036506698001178E-14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164.0740581424559</v>
      </c>
      <c r="DU77" s="59">
        <f t="shared" si="98"/>
        <v>280.99861170359793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2.763618737958399</v>
      </c>
      <c r="EB77" s="21">
        <f>EXP(-LN(2)/25)*EB76+(1-EXP(-LN(2)/25))/(LN(2)/25)*Calculateur!DW77*Calculateur!DY77*VLOOKUP('Données projet'!$B$14,Paramètres!$A$1:$I$89,3,0)*0.475*44/12</f>
        <v>7.6459444490065609</v>
      </c>
      <c r="EC77" s="21">
        <f>EXP(-LN(2)/2)*EC76+(1-EXP(-LN(2)/2))/(LN(2)/2)*DW77*DZ77*VLOOKUP('Données projet'!$B$14,Paramètres!$A$1:$I$89,3,0)*0.475*44/12</f>
        <v>3.6188872473458565E-6</v>
      </c>
      <c r="ED77" s="22">
        <f t="shared" si="72"/>
        <v>10.409566805852206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1.1368683772161603E-13</v>
      </c>
      <c r="EK77" s="17">
        <f>EJ77*VLOOKUP('Données projet'!$B$15,Paramètres!$A$1:$I$89,3,0)*VLOOKUP('Données projet'!$B$15,Paramètres!$A$1:$I$89,5,0)</f>
        <v>5.4683368944097308E-14</v>
      </c>
      <c r="EL77" s="13">
        <f t="shared" si="99"/>
        <v>8.8129432816788268E-13</v>
      </c>
      <c r="EM77" s="20">
        <f t="shared" si="73"/>
        <v>1.6301611558033651E-12</v>
      </c>
      <c r="EN77" s="59">
        <f t="shared" si="74"/>
        <v>293.33333333333496</v>
      </c>
      <c r="EO77" s="59">
        <f ca="1">AVERAGE(OFFSET($EN$3,0,0,'Données projet'!$E$15+1,1))-AVERAGE(OFFSET($H$3,0,0,'Données projet'!$E$15+1,1))</f>
        <v>312.1172301514103</v>
      </c>
      <c r="EP77" s="59">
        <f t="shared" si="100"/>
        <v>369.85500533493212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1.1305483451973453</v>
      </c>
      <c r="EW77" s="21">
        <f>EXP(-LN(2)/25)*EW76+(1-EXP(-LN(2)/25))/(LN(2)/25)*Calculateur!ER77*Calculateur!ET77*VLOOKUP('Données projet'!$B$15,Paramètres!$A$1:$I$89,3,0)*0.475*44/12</f>
        <v>4.4403925100624573</v>
      </c>
      <c r="EX77" s="21">
        <f>EXP(-LN(2)/2)*EX76+(1-EXP(-LN(2)/2))/(LN(2)/2)*ER77*EU77*VLOOKUP('Données projet'!$B$15,Paramètres!$A$1:$I$89,3,0)*0.475*44/12</f>
        <v>7.552283689341096E-6</v>
      </c>
      <c r="EY77" s="22">
        <f t="shared" si="75"/>
        <v>5.5709484075434919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-1.7053025658242404E-13</v>
      </c>
      <c r="FF77" s="17">
        <f>FE77*VLOOKUP('Données projet'!$B$16,Paramètres!$A$1:$I$89,3,0)*VLOOKUP('Données projet'!$B$16,Paramètres!$A$1:$I$89,5,0)</f>
        <v>-7.9808160080574461E-14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87.187251664304199</v>
      </c>
      <c r="FK77" s="59">
        <f t="shared" si="102"/>
        <v>148.84938257884147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2.3807818724641687</v>
      </c>
      <c r="FS77" s="21">
        <f>EXP(-LN(2)/2)*FS76+(1-EXP(-LN(2)/2))/(LN(2)/2)*FM77*FP77*VLOOKUP('Données projet'!$B$16,Paramètres!$A$1:$I$89,3,0)*0.475*44/12</f>
        <v>1.4505208150773046E-6</v>
      </c>
      <c r="FT77" s="22">
        <f t="shared" si="78"/>
        <v>2.3807833229849837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-1.1368683772161603E-13</v>
      </c>
      <c r="GA77" s="17">
        <f>FZ77*VLOOKUP('Données projet'!$B$17,Paramètres!$A$1:$I$89,3,0)*VLOOKUP('Données projet'!$B$17,Paramètres!$A$1:$I$89,5,0)</f>
        <v>-6.7984728957526396E-14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282.94722676586207</v>
      </c>
      <c r="GF77" s="59">
        <f t="shared" si="104"/>
        <v>310.63647941571298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3.1643267714777878</v>
      </c>
      <c r="GN77" s="21">
        <f>EXP(-LN(2)/2)*GN76+(1-EXP(-LN(2)/2))/(LN(2)/2)*GH77*GK77*VLOOKUP('Données projet'!$B$17,Paramètres!$A$1:$I$89,3,0)*0.475*44/12</f>
        <v>6.112631081912291E-6</v>
      </c>
      <c r="GO77" s="21">
        <f t="shared" si="81"/>
        <v>3.1643328841088696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-1.1368683772161603E-13</v>
      </c>
      <c r="GV77" s="17">
        <f>GU77*VLOOKUP('Données projet'!$B$18,Paramètres!$A$1:$I$89,3,0)*VLOOKUP('Données projet'!$B$18,Paramètres!$A$1:$I$89,5,0)</f>
        <v>-6.7984728957526396E-14</v>
      </c>
      <c r="GW77" s="13" t="e">
        <f t="shared" si="105"/>
        <v>#NUM!</v>
      </c>
      <c r="GX77" s="20" t="e">
        <f t="shared" si="82"/>
        <v>#NUM!</v>
      </c>
      <c r="GY77" s="59" t="e">
        <f t="shared" si="83"/>
        <v>#NUM!</v>
      </c>
      <c r="GZ77" s="59">
        <f ca="1">AVERAGE(OFFSET($GY$3,0,0,'Données projet'!$E$18+1,1))-AVERAGE(OFFSET($H$3,0,0,'Données projet'!$E$18+1,1))</f>
        <v>255.54398581450459</v>
      </c>
      <c r="HA77" s="59">
        <f t="shared" si="106"/>
        <v>276.52622328061204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1.5788997956847897</v>
      </c>
      <c r="HI77" s="21">
        <f>EXP(-LN(2)/2)*HI76+(1-EXP(-LN(2)/2))/(LN(2)/2)*HC77*HF77*VLOOKUP('Données projet'!$B$18,Paramètres!$A$1:$I$89,3,0)*0.475*44/12</f>
        <v>3.5445890446489322E-6</v>
      </c>
      <c r="HJ77" s="22">
        <f t="shared" si="84"/>
        <v>1.5789033402738344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5.6843418860808015E-14</v>
      </c>
      <c r="O78" s="13">
        <f>N78*VLOOKUP('Données projet'!$B$9,Paramètres!$A$1:$I$89,3,0)*VLOOKUP('Données projet'!$B$9,Paramètres!$A$1:$I$89,5,0)</f>
        <v>4.9658410716801891E-14</v>
      </c>
      <c r="P78" s="13">
        <f t="shared" si="87"/>
        <v>8.0934058173791862E-13</v>
      </c>
      <c r="Q78" s="20">
        <f t="shared" si="54"/>
        <v>1.4960899118586383E-12</v>
      </c>
      <c r="R78" s="59">
        <f t="shared" si="55"/>
        <v>293.33333333333479</v>
      </c>
      <c r="S78" s="59">
        <f ca="1">AVERAGE(OFFSET($R$3,0,0,'Données projet'!$E$9+1,1))-AVERAGE(OFFSET($H$3,0,0,'Données projet'!$E$9+1,1))</f>
        <v>248.50221719467663</v>
      </c>
      <c r="T78" s="59">
        <f t="shared" si="88"/>
        <v>366.09064580347183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3.2382072064250016</v>
      </c>
      <c r="AA78" s="21">
        <f>EXP(-LN(2)/25)*AA77+(1-EXP(-LN(2)/25))/(LN(2)/25)*Calculateur!V78*Calculateur!X78*VLOOKUP('Données projet'!$B$9,Paramètres!$A$1:$I$89,3,0)*0.475*44/12</f>
        <v>6.9122628760982305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10.150470082523231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282.29760000000005</v>
      </c>
      <c r="AK78" s="13">
        <f t="shared" si="89"/>
        <v>67.452326629470178</v>
      </c>
      <c r="AL78" s="20">
        <f t="shared" si="58"/>
        <v>609.14778887966054</v>
      </c>
      <c r="AM78" s="59">
        <f t="shared" si="59"/>
        <v>902.4811222129938</v>
      </c>
      <c r="AN78" s="59">
        <f ca="1">AVERAGE(OFFSET($AM$3,0,0,'Données projet'!$E$10+1,1))-AVERAGE(OFFSET($H$3,0,0,'Données projet'!$E$10+1,1))</f>
        <v>263.22346936777603</v>
      </c>
      <c r="AO78" s="59">
        <f t="shared" si="90"/>
        <v>217.14714468707939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2.0895554901607896</v>
      </c>
      <c r="AW78" s="21">
        <f>EXP(-LN(2)/2)*AW77+(1-EXP(-LN(2)/2))/(LN(2)/2)*AQ78*AT78*VLOOKUP('Données projet'!$B$10,Paramètres!$A$1:$I$89,3,0)*0.475*44/12</f>
        <v>3.009413185226798E-6</v>
      </c>
      <c r="AX78" s="21">
        <f t="shared" si="60"/>
        <v>2.0895584995739749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5.6843418860808015E-14</v>
      </c>
      <c r="BE78" s="13">
        <f>BD78*VLOOKUP('Données projet'!$B$11,Paramètres!$A$1:$I$89,3,0)*VLOOKUP('Données projet'!$B$11,Paramètres!$A$1:$I$89,5,0)</f>
        <v>4.4337866711430253E-14</v>
      </c>
      <c r="BF78" s="13">
        <f t="shared" si="91"/>
        <v>7.3222115536967035E-13</v>
      </c>
      <c r="BG78" s="20">
        <f t="shared" si="61"/>
        <v>1.3525069634579169E-12</v>
      </c>
      <c r="BH78" s="59">
        <f t="shared" si="62"/>
        <v>293.33333333333468</v>
      </c>
      <c r="BI78" s="59">
        <f ca="1">AVERAGE(OFFSET($BH$3,0,0,'Données projet'!$E$11+1,1))-AVERAGE(OFFSET($H$3,0,0,'Données projet'!$E$11+1,1))</f>
        <v>219.22204054948094</v>
      </c>
      <c r="BJ78" s="59">
        <f t="shared" si="92"/>
        <v>222.41711966122034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0.90045919320944223</v>
      </c>
      <c r="BR78" s="21">
        <f>EXP(-LN(2)/2)*BR77+(1-EXP(-LN(2)/2))/(LN(2)/2)*BL78*BO78*VLOOKUP('Données projet'!$B$11,Paramètres!$A$1:$I$89,3,0)*0.475*44/12</f>
        <v>5.5129889093382959E-7</v>
      </c>
      <c r="BS78" s="22">
        <f t="shared" si="63"/>
        <v>0.90045974450833322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390</v>
      </c>
      <c r="BW78" s="12">
        <f>VLOOKUP(A78,'Données projet'!$A$113:$I$133,9,0)</f>
        <v>13.2</v>
      </c>
      <c r="BX78" s="12">
        <f t="array" ref="BX78">INDEX(BW:BW,MIN(IF(ISNUMBER(BW78:BW274),ROW(BW78:BW274),"")))</f>
        <v>13.2</v>
      </c>
      <c r="BY78" s="12">
        <f>IF('Données projet'!$A$114&gt;35,BY77+BX78-CG77,IF(A78&lt;'Données projet'!$A$114,$BV$205^A78,IF(A78='Données projet'!$A$114,'Données projet'!$B$114,BY77+BX78-CG77)))</f>
        <v>389.99999999999966</v>
      </c>
      <c r="BZ78" s="13">
        <f>BY78*VLOOKUP('Données projet'!$B$12,Paramètres!$A$1:$I$89,3,0)*VLOOKUP('Données projet'!$B$12,Paramètres!$A$1:$I$89,5,0)</f>
        <v>334.61999999999972</v>
      </c>
      <c r="CA78" s="13">
        <f t="shared" si="93"/>
        <v>78.387374628661505</v>
      </c>
      <c r="CB78" s="20">
        <f t="shared" si="64"/>
        <v>719.32117747825157</v>
      </c>
      <c r="CC78" s="59">
        <f t="shared" si="65"/>
        <v>1012.6545108115849</v>
      </c>
      <c r="CD78" s="59">
        <f ca="1">AVERAGE(OFFSET($CC$3,0,0,'Données projet'!$E$12+1,1))-AVERAGE(OFFSET($H$3,0,0,'Données projet'!$E$12+1,1))</f>
        <v>237.27357081252273</v>
      </c>
      <c r="CE78" s="59">
        <f t="shared" si="94"/>
        <v>68.768479693848576</v>
      </c>
      <c r="CF78" s="15">
        <f>IF(ISNA(VLOOKUP(A78,'Données projet'!$A$113:$I$133,3,0)),0,VLOOKUP(A78,'Données projet'!$A$113:$I$133,3,0))</f>
        <v>10</v>
      </c>
      <c r="CG78" s="15">
        <f>IF(ISNA(VLOOKUP(A78,'Données projet'!$A$113:$I$133,4,0)),0,VLOOKUP(A78,'Données projet'!$A$113:$I$133,4,0))</f>
        <v>41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-3.4106051316484809E-13</v>
      </c>
      <c r="CU78" s="17">
        <f>CT78*VLOOKUP('Données projet'!$B$13,Paramètres!$A$1:$I$89,3,0)*VLOOKUP('Données projet'!$B$13,Paramètres!$A$1:$I$89,5,0)</f>
        <v>-1.9065282685915009E-13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474.03051418249999</v>
      </c>
      <c r="CZ78" s="59">
        <f t="shared" si="96"/>
        <v>649.52271992719091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2.2416566137727378</v>
      </c>
      <c r="DG78" s="21">
        <f>EXP(-LN(2)/25)*DG77+(1-EXP(-LN(2)/25))/(LN(2)/25)*Calculateur!DB78*Calculateur!DD78*VLOOKUP('Données projet'!$B$13,Paramètres!$A$1:$I$89,3,0)*0.475*44/12</f>
        <v>6.9476352418195715</v>
      </c>
      <c r="DH78" s="21">
        <f>EXP(-LN(2)/2)*DH77+(1-EXP(-LN(2)/2))/(LN(2)/2)*DB78*DE78*VLOOKUP('Données projet'!$B$13,Paramètres!$A$1:$I$89,3,0)*0.475*44/12</f>
        <v>1.9724165480084757E-6</v>
      </c>
      <c r="DI78" s="22">
        <f t="shared" si="69"/>
        <v>9.1892938280088572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-5.6843418860808015E-14</v>
      </c>
      <c r="DP78" s="17">
        <f>DO78*VLOOKUP('Données projet'!$B$14,Paramètres!$A$1:$I$89,3,0)*VLOOKUP('Données projet'!$B$14,Paramètres!$A$1:$I$89,5,0)</f>
        <v>-3.1036506698001178E-14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164.0740581424559</v>
      </c>
      <c r="DU78" s="59">
        <f t="shared" si="98"/>
        <v>280.99861170359793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2.7094258601480217</v>
      </c>
      <c r="EB78" s="21">
        <f>EXP(-LN(2)/25)*EB77+(1-EXP(-LN(2)/25))/(LN(2)/25)*Calculateur!DW78*Calculateur!DY78*VLOOKUP('Données projet'!$B$14,Paramètres!$A$1:$I$89,3,0)*0.475*44/12</f>
        <v>7.4368656959657331</v>
      </c>
      <c r="EC78" s="21">
        <f>EXP(-LN(2)/2)*EC77+(1-EXP(-LN(2)/2))/(LN(2)/2)*DW78*DZ78*VLOOKUP('Données projet'!$B$14,Paramètres!$A$1:$I$89,3,0)*0.475*44/12</f>
        <v>2.5589397129477738E-6</v>
      </c>
      <c r="ED78" s="22">
        <f t="shared" si="72"/>
        <v>10.146294115053468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1.1368683772161603E-13</v>
      </c>
      <c r="EK78" s="17">
        <f>EJ78*VLOOKUP('Données projet'!$B$15,Paramètres!$A$1:$I$89,3,0)*VLOOKUP('Données projet'!$B$15,Paramètres!$A$1:$I$89,5,0)</f>
        <v>5.4683368944097308E-14</v>
      </c>
      <c r="EL78" s="13">
        <f t="shared" si="99"/>
        <v>8.8129432816788268E-13</v>
      </c>
      <c r="EM78" s="20">
        <f t="shared" si="73"/>
        <v>1.6301611558033651E-12</v>
      </c>
      <c r="EN78" s="59">
        <f t="shared" si="74"/>
        <v>293.33333333333496</v>
      </c>
      <c r="EO78" s="59">
        <f ca="1">AVERAGE(OFFSET($EN$3,0,0,'Données projet'!$E$15+1,1))-AVERAGE(OFFSET($H$3,0,0,'Données projet'!$E$15+1,1))</f>
        <v>312.1172301514103</v>
      </c>
      <c r="EP78" s="59">
        <f t="shared" si="100"/>
        <v>369.85500533493212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1.1083789817144269</v>
      </c>
      <c r="EW78" s="21">
        <f>EXP(-LN(2)/25)*EW77+(1-EXP(-LN(2)/25))/(LN(2)/25)*Calculateur!ER78*Calculateur!ET78*VLOOKUP('Données projet'!$B$15,Paramètres!$A$1:$I$89,3,0)*0.475*44/12</f>
        <v>4.3189697433647058</v>
      </c>
      <c r="EX78" s="21">
        <f>EXP(-LN(2)/2)*EX77+(1-EXP(-LN(2)/2))/(LN(2)/2)*ER78*EU78*VLOOKUP('Données projet'!$B$15,Paramètres!$A$1:$I$89,3,0)*0.475*44/12</f>
        <v>5.3402710101776465E-6</v>
      </c>
      <c r="EY78" s="22">
        <f t="shared" si="75"/>
        <v>5.4273540653501433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-1.7053025658242404E-13</v>
      </c>
      <c r="FF78" s="17">
        <f>FE78*VLOOKUP('Données projet'!$B$16,Paramètres!$A$1:$I$89,3,0)*VLOOKUP('Données projet'!$B$16,Paramètres!$A$1:$I$89,5,0)</f>
        <v>-7.9808160080574461E-14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87.187251664304199</v>
      </c>
      <c r="FK78" s="59">
        <f t="shared" si="102"/>
        <v>148.84938257884147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2.3156792669617587</v>
      </c>
      <c r="FS78" s="21">
        <f>EXP(-LN(2)/2)*FS77+(1-EXP(-LN(2)/2))/(LN(2)/2)*FM78*FP78*VLOOKUP('Données projet'!$B$16,Paramètres!$A$1:$I$89,3,0)*0.475*44/12</f>
        <v>1.0256731045934002E-6</v>
      </c>
      <c r="FT78" s="22">
        <f t="shared" si="78"/>
        <v>2.3156802926348634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-1.1368683772161603E-13</v>
      </c>
      <c r="GA78" s="17">
        <f>FZ78*VLOOKUP('Données projet'!$B$17,Paramètres!$A$1:$I$89,3,0)*VLOOKUP('Données projet'!$B$17,Paramètres!$A$1:$I$89,5,0)</f>
        <v>-6.7984728957526396E-14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282.94722676586207</v>
      </c>
      <c r="GF78" s="59">
        <f t="shared" si="104"/>
        <v>310.63647941571298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3.0777980895070152</v>
      </c>
      <c r="GN78" s="21">
        <f>EXP(-LN(2)/2)*GN77+(1-EXP(-LN(2)/2))/(LN(2)/2)*GH78*GK78*VLOOKUP('Données projet'!$B$17,Paramètres!$A$1:$I$89,3,0)*0.475*44/12</f>
        <v>4.3222828889118435E-6</v>
      </c>
      <c r="GO78" s="21">
        <f t="shared" si="81"/>
        <v>3.0778024117899041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-1.1368683772161603E-13</v>
      </c>
      <c r="GV78" s="17">
        <f>GU78*VLOOKUP('Données projet'!$B$18,Paramètres!$A$1:$I$89,3,0)*VLOOKUP('Données projet'!$B$18,Paramètres!$A$1:$I$89,5,0)</f>
        <v>-6.7984728957526396E-14</v>
      </c>
      <c r="GW78" s="13" t="e">
        <f t="shared" si="105"/>
        <v>#NUM!</v>
      </c>
      <c r="GX78" s="20" t="e">
        <f t="shared" si="82"/>
        <v>#NUM!</v>
      </c>
      <c r="GY78" s="59" t="e">
        <f t="shared" si="83"/>
        <v>#NUM!</v>
      </c>
      <c r="GZ78" s="59">
        <f ca="1">AVERAGE(OFFSET($GY$3,0,0,'Données projet'!$E$18+1,1))-AVERAGE(OFFSET($H$3,0,0,'Données projet'!$E$18+1,1))</f>
        <v>255.54398581450459</v>
      </c>
      <c r="HA78" s="59">
        <f t="shared" si="106"/>
        <v>276.52622328061204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1.5357246977410575</v>
      </c>
      <c r="HI78" s="21">
        <f>EXP(-LN(2)/2)*HI77+(1-EXP(-LN(2)/2))/(LN(2)/2)*HC78*HF78*VLOOKUP('Données projet'!$B$18,Paramètres!$A$1:$I$89,3,0)*0.475*44/12</f>
        <v>2.506402949990806E-6</v>
      </c>
      <c r="HJ78" s="22">
        <f t="shared" si="84"/>
        <v>1.5357272041440075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5.6843418860808015E-14</v>
      </c>
      <c r="O79" s="13">
        <f>N79*VLOOKUP('Données projet'!$B$9,Paramètres!$A$1:$I$89,3,0)*VLOOKUP('Données projet'!$B$9,Paramètres!$A$1:$I$89,5,0)</f>
        <v>4.9658410716801891E-14</v>
      </c>
      <c r="P79" s="13">
        <f t="shared" si="87"/>
        <v>8.0934058173791862E-13</v>
      </c>
      <c r="Q79" s="20">
        <f t="shared" si="54"/>
        <v>1.4960899118586383E-12</v>
      </c>
      <c r="R79" s="59">
        <f t="shared" si="55"/>
        <v>293.33333333333479</v>
      </c>
      <c r="S79" s="59">
        <f ca="1">AVERAGE(OFFSET($R$3,0,0,'Données projet'!$E$9+1,1))-AVERAGE(OFFSET($H$3,0,0,'Données projet'!$E$9+1,1))</f>
        <v>248.50221719467663</v>
      </c>
      <c r="T79" s="59">
        <f t="shared" si="88"/>
        <v>366.09064580347183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3.1747079382183774</v>
      </c>
      <c r="AA79" s="21">
        <f>EXP(-LN(2)/25)*AA78+(1-EXP(-LN(2)/25))/(LN(2)/25)*Calculateur!V79*Calculateur!X79*VLOOKUP('Données projet'!$B$9,Paramètres!$A$1:$I$89,3,0)*0.475*44/12</f>
        <v>6.723246684251218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9.8979546224695945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263.47776000000005</v>
      </c>
      <c r="AK79" s="13">
        <f t="shared" si="89"/>
        <v>63.46312159763346</v>
      </c>
      <c r="AL79" s="20">
        <f t="shared" si="58"/>
        <v>569.42203544921165</v>
      </c>
      <c r="AM79" s="59">
        <f t="shared" si="59"/>
        <v>862.75536878254502</v>
      </c>
      <c r="AN79" s="59">
        <f ca="1">AVERAGE(OFFSET($AM$3,0,0,'Données projet'!$E$10+1,1))-AVERAGE(OFFSET($H$3,0,0,'Données projet'!$E$10+1,1))</f>
        <v>263.22346936777603</v>
      </c>
      <c r="AO79" s="59">
        <f t="shared" si="90"/>
        <v>217.14714468707939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2.0324164853973952</v>
      </c>
      <c r="AW79" s="21">
        <f>EXP(-LN(2)/2)*AW78+(1-EXP(-LN(2)/2))/(LN(2)/2)*AQ79*AT79*VLOOKUP('Données projet'!$B$10,Paramètres!$A$1:$I$89,3,0)*0.475*44/12</f>
        <v>2.1279764706660764E-6</v>
      </c>
      <c r="AX79" s="21">
        <f t="shared" si="60"/>
        <v>2.0324186133738658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5.6843418860808015E-14</v>
      </c>
      <c r="BE79" s="13">
        <f>BD79*VLOOKUP('Données projet'!$B$11,Paramètres!$A$1:$I$89,3,0)*VLOOKUP('Données projet'!$B$11,Paramètres!$A$1:$I$89,5,0)</f>
        <v>4.4337866711430253E-14</v>
      </c>
      <c r="BF79" s="13">
        <f t="shared" si="91"/>
        <v>7.3222115536967035E-13</v>
      </c>
      <c r="BG79" s="20">
        <f t="shared" si="61"/>
        <v>1.3525069634579169E-12</v>
      </c>
      <c r="BH79" s="59">
        <f t="shared" si="62"/>
        <v>293.33333333333468</v>
      </c>
      <c r="BI79" s="59">
        <f ca="1">AVERAGE(OFFSET($BH$3,0,0,'Données projet'!$E$11+1,1))-AVERAGE(OFFSET($H$3,0,0,'Données projet'!$E$11+1,1))</f>
        <v>219.22204054948094</v>
      </c>
      <c r="BJ79" s="59">
        <f t="shared" si="92"/>
        <v>222.41711966122034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0.87583608921803913</v>
      </c>
      <c r="BR79" s="21">
        <f>EXP(-LN(2)/2)*BR78+(1-EXP(-LN(2)/2))/(LN(2)/2)*BL79*BO79*VLOOKUP('Données projet'!$B$11,Paramètres!$A$1:$I$89,3,0)*0.475*44/12</f>
        <v>3.8982718423993378E-7</v>
      </c>
      <c r="BS79" s="22">
        <f t="shared" si="63"/>
        <v>0.87583647904522333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13.2</v>
      </c>
      <c r="BY79" s="12">
        <f>IF('Données projet'!$A$114&gt;35,BY78+BX79-CG78,IF(A79&lt;'Données projet'!$A$114,$BV$205^A79,IF(A79='Données projet'!$A$114,'Données projet'!$B$114,BY78+BX79-CG78)))</f>
        <v>362.19999999999965</v>
      </c>
      <c r="BZ79" s="13">
        <f>BY79*VLOOKUP('Données projet'!$B$12,Paramètres!$A$1:$I$89,3,0)*VLOOKUP('Données projet'!$B$12,Paramètres!$A$1:$I$89,5,0)</f>
        <v>310.76759999999973</v>
      </c>
      <c r="CA79" s="13">
        <f t="shared" si="93"/>
        <v>73.429112522631854</v>
      </c>
      <c r="CB79" s="20">
        <f t="shared" si="64"/>
        <v>669.14260764358323</v>
      </c>
      <c r="CC79" s="59">
        <f t="shared" si="65"/>
        <v>962.47594097691649</v>
      </c>
      <c r="CD79" s="59">
        <f ca="1">AVERAGE(OFFSET($CC$3,0,0,'Données projet'!$E$12+1,1))-AVERAGE(OFFSET($H$3,0,0,'Données projet'!$E$12+1,1))</f>
        <v>237.27357081252273</v>
      </c>
      <c r="CE79" s="59">
        <f t="shared" si="94"/>
        <v>68.768479693848576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-3.4106051316484809E-13</v>
      </c>
      <c r="CU79" s="17">
        <f>CT79*VLOOKUP('Données projet'!$B$13,Paramètres!$A$1:$I$89,3,0)*VLOOKUP('Données projet'!$B$13,Paramètres!$A$1:$I$89,5,0)</f>
        <v>-1.9065282685915009E-13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474.03051418249999</v>
      </c>
      <c r="CZ79" s="59">
        <f t="shared" si="96"/>
        <v>649.52271992719091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2.1976990948521817</v>
      </c>
      <c r="DG79" s="21">
        <f>EXP(-LN(2)/25)*DG78+(1-EXP(-LN(2)/25))/(LN(2)/25)*Calculateur!DB79*Calculateur!DD79*VLOOKUP('Données projet'!$B$13,Paramètres!$A$1:$I$89,3,0)*0.475*44/12</f>
        <v>6.7576517907717566</v>
      </c>
      <c r="DH79" s="21">
        <f>EXP(-LN(2)/2)*DH78+(1-EXP(-LN(2)/2))/(LN(2)/2)*DB79*DE79*VLOOKUP('Données projet'!$B$13,Paramètres!$A$1:$I$89,3,0)*0.475*44/12</f>
        <v>1.3947091164213546E-6</v>
      </c>
      <c r="DI79" s="22">
        <f t="shared" si="69"/>
        <v>8.9553522803330541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-5.6843418860808015E-14</v>
      </c>
      <c r="DP79" s="17">
        <f>DO79*VLOOKUP('Données projet'!$B$14,Paramètres!$A$1:$I$89,3,0)*VLOOKUP('Données projet'!$B$14,Paramètres!$A$1:$I$89,5,0)</f>
        <v>-3.1036506698001178E-14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164.0740581424559</v>
      </c>
      <c r="DU79" s="59">
        <f t="shared" si="98"/>
        <v>280.99861170359793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2.6562956716171144</v>
      </c>
      <c r="EB79" s="21">
        <f>EXP(-LN(2)/25)*EB78+(1-EXP(-LN(2)/25))/(LN(2)/25)*Calculateur!DW79*Calculateur!DY79*VLOOKUP('Données projet'!$B$14,Paramètres!$A$1:$I$89,3,0)*0.475*44/12</f>
        <v>7.2335042124217805</v>
      </c>
      <c r="EC79" s="21">
        <f>EXP(-LN(2)/2)*EC78+(1-EXP(-LN(2)/2))/(LN(2)/2)*DW79*DZ79*VLOOKUP('Données projet'!$B$14,Paramètres!$A$1:$I$89,3,0)*0.475*44/12</f>
        <v>1.8094436236729282E-6</v>
      </c>
      <c r="ED79" s="22">
        <f t="shared" si="72"/>
        <v>9.8898016934825197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1.1368683772161603E-13</v>
      </c>
      <c r="EK79" s="17">
        <f>EJ79*VLOOKUP('Données projet'!$B$15,Paramètres!$A$1:$I$89,3,0)*VLOOKUP('Données projet'!$B$15,Paramètres!$A$1:$I$89,5,0)</f>
        <v>5.4683368944097308E-14</v>
      </c>
      <c r="EL79" s="13">
        <f t="shared" si="99"/>
        <v>8.8129432816788268E-13</v>
      </c>
      <c r="EM79" s="20">
        <f t="shared" si="73"/>
        <v>1.6301611558033651E-12</v>
      </c>
      <c r="EN79" s="59">
        <f t="shared" si="74"/>
        <v>293.33333333333496</v>
      </c>
      <c r="EO79" s="59">
        <f ca="1">AVERAGE(OFFSET($EN$3,0,0,'Données projet'!$E$15+1,1))-AVERAGE(OFFSET($H$3,0,0,'Données projet'!$E$15+1,1))</f>
        <v>312.1172301514103</v>
      </c>
      <c r="EP79" s="59">
        <f t="shared" si="100"/>
        <v>369.85500533493212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1.086644345927432</v>
      </c>
      <c r="EW79" s="21">
        <f>EXP(-LN(2)/25)*EW78+(1-EXP(-LN(2)/25))/(LN(2)/25)*Calculateur!ER79*Calculateur!ET79*VLOOKUP('Données projet'!$B$15,Paramètres!$A$1:$I$89,3,0)*0.475*44/12</f>
        <v>4.2008672886076504</v>
      </c>
      <c r="EX79" s="21">
        <f>EXP(-LN(2)/2)*EX78+(1-EXP(-LN(2)/2))/(LN(2)/2)*ER79*EU79*VLOOKUP('Données projet'!$B$15,Paramètres!$A$1:$I$89,3,0)*0.475*44/12</f>
        <v>3.7761418446705484E-6</v>
      </c>
      <c r="EY79" s="22">
        <f t="shared" si="75"/>
        <v>5.2875154106769271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-1.7053025658242404E-13</v>
      </c>
      <c r="FF79" s="17">
        <f>FE79*VLOOKUP('Données projet'!$B$16,Paramètres!$A$1:$I$89,3,0)*VLOOKUP('Données projet'!$B$16,Paramètres!$A$1:$I$89,5,0)</f>
        <v>-7.9808160080574461E-14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87.187251664304199</v>
      </c>
      <c r="FK79" s="59">
        <f t="shared" si="102"/>
        <v>148.84938257884147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2.2523568956304092</v>
      </c>
      <c r="FS79" s="21">
        <f>EXP(-LN(2)/2)*FS78+(1-EXP(-LN(2)/2))/(LN(2)/2)*FM79*FP79*VLOOKUP('Données projet'!$B$16,Paramètres!$A$1:$I$89,3,0)*0.475*44/12</f>
        <v>7.252604075386523E-7</v>
      </c>
      <c r="FT79" s="22">
        <f t="shared" si="78"/>
        <v>2.2523576208908169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-1.1368683772161603E-13</v>
      </c>
      <c r="GA79" s="17">
        <f>FZ79*VLOOKUP('Données projet'!$B$17,Paramètres!$A$1:$I$89,3,0)*VLOOKUP('Données projet'!$B$17,Paramètres!$A$1:$I$89,5,0)</f>
        <v>-6.7984728957526396E-14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282.94722676586207</v>
      </c>
      <c r="GF79" s="59">
        <f t="shared" si="104"/>
        <v>310.63647941571298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2.9936355388950786</v>
      </c>
      <c r="GN79" s="21">
        <f>EXP(-LN(2)/2)*GN78+(1-EXP(-LN(2)/2))/(LN(2)/2)*GH79*GK79*VLOOKUP('Données projet'!$B$17,Paramètres!$A$1:$I$89,3,0)*0.475*44/12</f>
        <v>3.0563155409561455E-6</v>
      </c>
      <c r="GO79" s="21">
        <f t="shared" si="81"/>
        <v>2.9936385952106197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-1.1368683772161603E-13</v>
      </c>
      <c r="GV79" s="17">
        <f>GU79*VLOOKUP('Données projet'!$B$18,Paramètres!$A$1:$I$89,3,0)*VLOOKUP('Données projet'!$B$18,Paramètres!$A$1:$I$89,5,0)</f>
        <v>-6.7984728957526396E-14</v>
      </c>
      <c r="GW79" s="13" t="e">
        <f t="shared" si="105"/>
        <v>#NUM!</v>
      </c>
      <c r="GX79" s="20" t="e">
        <f t="shared" si="82"/>
        <v>#NUM!</v>
      </c>
      <c r="GY79" s="59" t="e">
        <f t="shared" si="83"/>
        <v>#NUM!</v>
      </c>
      <c r="GZ79" s="59">
        <f ca="1">AVERAGE(OFFSET($GY$3,0,0,'Données projet'!$E$18+1,1))-AVERAGE(OFFSET($H$3,0,0,'Données projet'!$E$18+1,1))</f>
        <v>255.54398581450459</v>
      </c>
      <c r="HA79" s="59">
        <f t="shared" si="106"/>
        <v>276.52622328061204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1.4937302251210764</v>
      </c>
      <c r="HI79" s="21">
        <f>EXP(-LN(2)/2)*HI78+(1-EXP(-LN(2)/2))/(LN(2)/2)*HC79*HF79*VLOOKUP('Données projet'!$B$18,Paramètres!$A$1:$I$89,3,0)*0.475*44/12</f>
        <v>1.7722945223244661E-6</v>
      </c>
      <c r="HJ79" s="22">
        <f t="shared" si="84"/>
        <v>1.4937319974155987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5.6843418860808015E-14</v>
      </c>
      <c r="O80" s="13">
        <f>N80*VLOOKUP('Données projet'!$B$9,Paramètres!$A$1:$I$89,3,0)*VLOOKUP('Données projet'!$B$9,Paramètres!$A$1:$I$89,5,0)</f>
        <v>4.9658410716801891E-14</v>
      </c>
      <c r="P80" s="13">
        <f t="shared" si="87"/>
        <v>8.0934058173791862E-13</v>
      </c>
      <c r="Q80" s="20">
        <f t="shared" si="54"/>
        <v>1.4960899118586383E-12</v>
      </c>
      <c r="R80" s="59">
        <f t="shared" si="55"/>
        <v>293.33333333333479</v>
      </c>
      <c r="S80" s="59">
        <f ca="1">AVERAGE(OFFSET($R$3,0,0,'Données projet'!$E$9+1,1))-AVERAGE(OFFSET($H$3,0,0,'Données projet'!$E$9+1,1))</f>
        <v>248.50221719467663</v>
      </c>
      <c r="T80" s="59">
        <f t="shared" si="88"/>
        <v>366.09064580347183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3.1124538519305558</v>
      </c>
      <c r="AA80" s="21">
        <f>EXP(-LN(2)/25)*AA79+(1-EXP(-LN(2)/25))/(LN(2)/25)*Calculateur!V80*Calculateur!X80*VLOOKUP('Données projet'!$B$9,Paramètres!$A$1:$I$89,3,0)*0.475*44/12</f>
        <v>6.5393991501101913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9.6518530020407471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269.99232000000001</v>
      </c>
      <c r="AK80" s="13">
        <f t="shared" si="89"/>
        <v>64.847639395310296</v>
      </c>
      <c r="AL80" s="20">
        <f t="shared" si="58"/>
        <v>583.17959594683214</v>
      </c>
      <c r="AM80" s="59">
        <f t="shared" si="59"/>
        <v>876.51292928016551</v>
      </c>
      <c r="AN80" s="59">
        <f ca="1">AVERAGE(OFFSET($AM$3,0,0,'Données projet'!$E$10+1,1))-AVERAGE(OFFSET($H$3,0,0,'Données projet'!$E$10+1,1))</f>
        <v>263.22346936777603</v>
      </c>
      <c r="AO80" s="59">
        <f t="shared" si="90"/>
        <v>217.14714468707939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1.9768399497240656</v>
      </c>
      <c r="AW80" s="21">
        <f>EXP(-LN(2)/2)*AW79+(1-EXP(-LN(2)/2))/(LN(2)/2)*AQ80*AT80*VLOOKUP('Données projet'!$B$10,Paramètres!$A$1:$I$89,3,0)*0.475*44/12</f>
        <v>1.504706592613399E-6</v>
      </c>
      <c r="AX80" s="21">
        <f t="shared" si="60"/>
        <v>1.9768414544306583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5.6843418860808015E-14</v>
      </c>
      <c r="BE80" s="13">
        <f>BD80*VLOOKUP('Données projet'!$B$11,Paramètres!$A$1:$I$89,3,0)*VLOOKUP('Données projet'!$B$11,Paramètres!$A$1:$I$89,5,0)</f>
        <v>4.4337866711430253E-14</v>
      </c>
      <c r="BF80" s="13">
        <f t="shared" si="91"/>
        <v>7.3222115536967035E-13</v>
      </c>
      <c r="BG80" s="20">
        <f t="shared" si="61"/>
        <v>1.3525069634579169E-12</v>
      </c>
      <c r="BH80" s="59">
        <f t="shared" si="62"/>
        <v>293.33333333333468</v>
      </c>
      <c r="BI80" s="59">
        <f ca="1">AVERAGE(OFFSET($BH$3,0,0,'Données projet'!$E$11+1,1))-AVERAGE(OFFSET($H$3,0,0,'Données projet'!$E$11+1,1))</f>
        <v>219.22204054948094</v>
      </c>
      <c r="BJ80" s="59">
        <f t="shared" si="92"/>
        <v>222.41711966122034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0.85188630530015363</v>
      </c>
      <c r="BR80" s="21">
        <f>EXP(-LN(2)/2)*BR79+(1-EXP(-LN(2)/2))/(LN(2)/2)*BL80*BO80*VLOOKUP('Données projet'!$B$11,Paramètres!$A$1:$I$89,3,0)*0.475*44/12</f>
        <v>2.756494454669148E-7</v>
      </c>
      <c r="BS80" s="22">
        <f t="shared" si="63"/>
        <v>0.85188658094959913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13.2</v>
      </c>
      <c r="BY80" s="12">
        <f>IF('Données projet'!$A$114&gt;35,BY79+BX80-CG79,IF(A80&lt;'Données projet'!$A$114,$BV$205^A80,IF(A80='Données projet'!$A$114,'Données projet'!$B$114,BY79+BX80-CG79)))</f>
        <v>375.39999999999964</v>
      </c>
      <c r="BZ80" s="13">
        <f>BY80*VLOOKUP('Données projet'!$B$12,Paramètres!$A$1:$I$89,3,0)*VLOOKUP('Données projet'!$B$12,Paramètres!$A$1:$I$89,5,0)</f>
        <v>322.09319999999974</v>
      </c>
      <c r="CA80" s="13">
        <f t="shared" si="93"/>
        <v>75.78871922621984</v>
      </c>
      <c r="CB80" s="20">
        <f t="shared" si="64"/>
        <v>692.97767598566577</v>
      </c>
      <c r="CC80" s="59">
        <f t="shared" si="65"/>
        <v>986.31100931899914</v>
      </c>
      <c r="CD80" s="59">
        <f ca="1">AVERAGE(OFFSET($CC$3,0,0,'Données projet'!$E$12+1,1))-AVERAGE(OFFSET($H$3,0,0,'Données projet'!$E$12+1,1))</f>
        <v>237.27357081252273</v>
      </c>
      <c r="CE80" s="59">
        <f t="shared" si="94"/>
        <v>68.768479693848576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-3.4106051316484809E-13</v>
      </c>
      <c r="CU80" s="17">
        <f>CT80*VLOOKUP('Données projet'!$B$13,Paramètres!$A$1:$I$89,3,0)*VLOOKUP('Données projet'!$B$13,Paramètres!$A$1:$I$89,5,0)</f>
        <v>-1.9065282685915009E-13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474.03051418249999</v>
      </c>
      <c r="CZ80" s="59">
        <f t="shared" si="96"/>
        <v>649.52271992719091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2.1546035560662187</v>
      </c>
      <c r="DG80" s="21">
        <f>EXP(-LN(2)/25)*DG79+(1-EXP(-LN(2)/25))/(LN(2)/25)*Calculateur!DB80*Calculateur!DD80*VLOOKUP('Données projet'!$B$13,Paramètres!$A$1:$I$89,3,0)*0.475*44/12</f>
        <v>6.5728634471836402</v>
      </c>
      <c r="DH80" s="21">
        <f>EXP(-LN(2)/2)*DH79+(1-EXP(-LN(2)/2))/(LN(2)/2)*DB80*DE80*VLOOKUP('Données projet'!$B$13,Paramètres!$A$1:$I$89,3,0)*0.475*44/12</f>
        <v>9.8620827400423784E-7</v>
      </c>
      <c r="DI80" s="22">
        <f t="shared" si="69"/>
        <v>8.727467989458134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-5.6843418860808015E-14</v>
      </c>
      <c r="DP80" s="17">
        <f>DO80*VLOOKUP('Données projet'!$B$14,Paramètres!$A$1:$I$89,3,0)*VLOOKUP('Données projet'!$B$14,Paramètres!$A$1:$I$89,5,0)</f>
        <v>-3.1036506698001178E-14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164.0740581424559</v>
      </c>
      <c r="DU80" s="59">
        <f t="shared" si="98"/>
        <v>280.99861170359793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2.604207333677083</v>
      </c>
      <c r="EB80" s="21">
        <f>EXP(-LN(2)/25)*EB79+(1-EXP(-LN(2)/25))/(LN(2)/25)*Calculateur!DW80*Calculateur!DY80*VLOOKUP('Données projet'!$B$14,Paramètres!$A$1:$I$89,3,0)*0.475*44/12</f>
        <v>7.0357036593396529</v>
      </c>
      <c r="EC80" s="21">
        <f>EXP(-LN(2)/2)*EC79+(1-EXP(-LN(2)/2))/(LN(2)/2)*DW80*DZ80*VLOOKUP('Données projet'!$B$14,Paramètres!$A$1:$I$89,3,0)*0.475*44/12</f>
        <v>1.2794698564738869E-6</v>
      </c>
      <c r="ED80" s="22">
        <f t="shared" si="72"/>
        <v>9.6399122724865922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1.1368683772161603E-13</v>
      </c>
      <c r="EK80" s="17">
        <f>EJ80*VLOOKUP('Données projet'!$B$15,Paramètres!$A$1:$I$89,3,0)*VLOOKUP('Données projet'!$B$15,Paramètres!$A$1:$I$89,5,0)</f>
        <v>5.4683368944097308E-14</v>
      </c>
      <c r="EL80" s="13">
        <f t="shared" si="99"/>
        <v>8.8129432816788268E-13</v>
      </c>
      <c r="EM80" s="20">
        <f t="shared" si="73"/>
        <v>1.6301611558033651E-12</v>
      </c>
      <c r="EN80" s="59">
        <f t="shared" si="74"/>
        <v>293.33333333333496</v>
      </c>
      <c r="EO80" s="59">
        <f ca="1">AVERAGE(OFFSET($EN$3,0,0,'Données projet'!$E$15+1,1))-AVERAGE(OFFSET($H$3,0,0,'Données projet'!$E$15+1,1))</f>
        <v>312.1172301514103</v>
      </c>
      <c r="EP80" s="59">
        <f t="shared" si="100"/>
        <v>369.85500533493212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1.0653359130914013</v>
      </c>
      <c r="EW80" s="21">
        <f>EXP(-LN(2)/25)*EW79+(1-EXP(-LN(2)/25))/(LN(2)/25)*Calculateur!ER80*Calculateur!ET80*VLOOKUP('Données projet'!$B$15,Paramètres!$A$1:$I$89,3,0)*0.475*44/12</f>
        <v>4.085994351686665</v>
      </c>
      <c r="EX80" s="21">
        <f>EXP(-LN(2)/2)*EX79+(1-EXP(-LN(2)/2))/(LN(2)/2)*ER80*EU80*VLOOKUP('Données projet'!$B$15,Paramètres!$A$1:$I$89,3,0)*0.475*44/12</f>
        <v>2.6701355050888237E-6</v>
      </c>
      <c r="EY80" s="22">
        <f t="shared" si="75"/>
        <v>5.1513329349135706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-1.7053025658242404E-13</v>
      </c>
      <c r="FF80" s="17">
        <f>FE80*VLOOKUP('Données projet'!$B$16,Paramètres!$A$1:$I$89,3,0)*VLOOKUP('Données projet'!$B$16,Paramètres!$A$1:$I$89,5,0)</f>
        <v>-7.9808160080574461E-14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87.187251664304199</v>
      </c>
      <c r="FK80" s="59">
        <f t="shared" si="102"/>
        <v>148.84938257884147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2.1907660778730942</v>
      </c>
      <c r="FS80" s="21">
        <f>EXP(-LN(2)/2)*FS79+(1-EXP(-LN(2)/2))/(LN(2)/2)*FM80*FP80*VLOOKUP('Données projet'!$B$16,Paramètres!$A$1:$I$89,3,0)*0.475*44/12</f>
        <v>5.1283655229670009E-7</v>
      </c>
      <c r="FT80" s="22">
        <f t="shared" si="78"/>
        <v>2.1907665907096465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-1.1368683772161603E-13</v>
      </c>
      <c r="GA80" s="17">
        <f>FZ80*VLOOKUP('Données projet'!$B$17,Paramètres!$A$1:$I$89,3,0)*VLOOKUP('Données projet'!$B$17,Paramètres!$A$1:$I$89,5,0)</f>
        <v>-6.7984728957526396E-14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282.94722676586207</v>
      </c>
      <c r="GF80" s="59">
        <f t="shared" si="104"/>
        <v>310.63647941571298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2.9117744176555416</v>
      </c>
      <c r="GN80" s="21">
        <f>EXP(-LN(2)/2)*GN79+(1-EXP(-LN(2)/2))/(LN(2)/2)*GH80*GK80*VLOOKUP('Données projet'!$B$17,Paramètres!$A$1:$I$89,3,0)*0.475*44/12</f>
        <v>2.1611414444559218E-6</v>
      </c>
      <c r="GO80" s="21">
        <f t="shared" si="81"/>
        <v>2.911776578796986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-1.1368683772161603E-13</v>
      </c>
      <c r="GV80" s="17">
        <f>GU80*VLOOKUP('Données projet'!$B$18,Paramètres!$A$1:$I$89,3,0)*VLOOKUP('Données projet'!$B$18,Paramètres!$A$1:$I$89,5,0)</f>
        <v>-6.7984728957526396E-14</v>
      </c>
      <c r="GW80" s="13" t="e">
        <f t="shared" si="105"/>
        <v>#NUM!</v>
      </c>
      <c r="GX80" s="20" t="e">
        <f t="shared" si="82"/>
        <v>#NUM!</v>
      </c>
      <c r="GY80" s="59" t="e">
        <f t="shared" si="83"/>
        <v>#NUM!</v>
      </c>
      <c r="GZ80" s="59">
        <f ca="1">AVERAGE(OFFSET($GY$3,0,0,'Données projet'!$E$18+1,1))-AVERAGE(OFFSET($H$3,0,0,'Données projet'!$E$18+1,1))</f>
        <v>255.54398581450459</v>
      </c>
      <c r="HA80" s="59">
        <f t="shared" si="106"/>
        <v>276.52622328061204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1.4528840935632821</v>
      </c>
      <c r="HI80" s="21">
        <f>EXP(-LN(2)/2)*HI79+(1-EXP(-LN(2)/2))/(LN(2)/2)*HC80*HF80*VLOOKUP('Données projet'!$B$18,Paramètres!$A$1:$I$89,3,0)*0.475*44/12</f>
        <v>1.253201474995403E-6</v>
      </c>
      <c r="HJ80" s="22">
        <f t="shared" si="84"/>
        <v>1.4528853467647571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5.6843418860808015E-14</v>
      </c>
      <c r="O81" s="13">
        <f>N81*VLOOKUP('Données projet'!$B$9,Paramètres!$A$1:$I$89,3,0)*VLOOKUP('Données projet'!$B$9,Paramètres!$A$1:$I$89,5,0)</f>
        <v>4.9658410716801891E-14</v>
      </c>
      <c r="P81" s="13">
        <f t="shared" si="87"/>
        <v>8.0934058173791862E-13</v>
      </c>
      <c r="Q81" s="20">
        <f t="shared" si="54"/>
        <v>1.4960899118586383E-12</v>
      </c>
      <c r="R81" s="59">
        <f t="shared" si="55"/>
        <v>293.33333333333479</v>
      </c>
      <c r="S81" s="59">
        <f ca="1">AVERAGE(OFFSET($R$3,0,0,'Données projet'!$E$9+1,1))-AVERAGE(OFFSET($H$3,0,0,'Données projet'!$E$9+1,1))</f>
        <v>248.50221719467663</v>
      </c>
      <c r="T81" s="59">
        <f t="shared" si="88"/>
        <v>366.09064580347183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3.0514205303035951</v>
      </c>
      <c r="AA81" s="21">
        <f>EXP(-LN(2)/25)*AA80+(1-EXP(-LN(2)/25))/(LN(2)/25)*Calculateur!V81*Calculateur!X81*VLOOKUP('Données projet'!$B$9,Paramètres!$A$1:$I$89,3,0)*0.475*44/12</f>
        <v>6.3605789364583725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9.4119994667619675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276.50687999999997</v>
      </c>
      <c r="AK81" s="13">
        <f t="shared" si="89"/>
        <v>66.228273722513677</v>
      </c>
      <c r="AL81" s="20">
        <f t="shared" si="58"/>
        <v>596.93039273337797</v>
      </c>
      <c r="AM81" s="59">
        <f t="shared" si="59"/>
        <v>890.26372606671134</v>
      </c>
      <c r="AN81" s="59">
        <f ca="1">AVERAGE(OFFSET($AM$3,0,0,'Données projet'!$E$10+1,1))-AVERAGE(OFFSET($H$3,0,0,'Données projet'!$E$10+1,1))</f>
        <v>263.22346936777603</v>
      </c>
      <c r="AO81" s="59">
        <f t="shared" si="90"/>
        <v>217.14714468707939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1.9227831573413663</v>
      </c>
      <c r="AW81" s="21">
        <f>EXP(-LN(2)/2)*AW80+(1-EXP(-LN(2)/2))/(LN(2)/2)*AQ81*AT81*VLOOKUP('Données projet'!$B$10,Paramètres!$A$1:$I$89,3,0)*0.475*44/12</f>
        <v>1.0639882353330382E-6</v>
      </c>
      <c r="AX81" s="21">
        <f t="shared" si="60"/>
        <v>1.9227842213296016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5.6843418860808015E-14</v>
      </c>
      <c r="BE81" s="13">
        <f>BD81*VLOOKUP('Données projet'!$B$11,Paramètres!$A$1:$I$89,3,0)*VLOOKUP('Données projet'!$B$11,Paramètres!$A$1:$I$89,5,0)</f>
        <v>4.4337866711430253E-14</v>
      </c>
      <c r="BF81" s="13">
        <f t="shared" si="91"/>
        <v>7.3222115536967035E-13</v>
      </c>
      <c r="BG81" s="20">
        <f t="shared" si="61"/>
        <v>1.3525069634579169E-12</v>
      </c>
      <c r="BH81" s="59">
        <f t="shared" si="62"/>
        <v>293.33333333333468</v>
      </c>
      <c r="BI81" s="59">
        <f ca="1">AVERAGE(OFFSET($BH$3,0,0,'Données projet'!$E$11+1,1))-AVERAGE(OFFSET($H$3,0,0,'Données projet'!$E$11+1,1))</f>
        <v>219.22204054948094</v>
      </c>
      <c r="BJ81" s="59">
        <f t="shared" si="92"/>
        <v>222.41711966122034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0.82859142948296716</v>
      </c>
      <c r="BR81" s="21">
        <f>EXP(-LN(2)/2)*BR80+(1-EXP(-LN(2)/2))/(LN(2)/2)*BL81*BO81*VLOOKUP('Données projet'!$B$11,Paramètres!$A$1:$I$89,3,0)*0.475*44/12</f>
        <v>1.9491359211996689E-7</v>
      </c>
      <c r="BS81" s="22">
        <f t="shared" si="63"/>
        <v>0.82859162439655931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13.2</v>
      </c>
      <c r="BY81" s="12">
        <f>IF('Données projet'!$A$114&gt;35,BY80+BX81-CG80,IF(A81&lt;'Données projet'!$A$114,$BV$205^A81,IF(A81='Données projet'!$A$114,'Données projet'!$B$114,BY80+BX81-CG80)))</f>
        <v>388.59999999999962</v>
      </c>
      <c r="BZ81" s="13">
        <f>BY81*VLOOKUP('Données projet'!$B$12,Paramètres!$A$1:$I$89,3,0)*VLOOKUP('Données projet'!$B$12,Paramètres!$A$1:$I$89,5,0)</f>
        <v>333.41879999999975</v>
      </c>
      <c r="CA81" s="13">
        <f t="shared" si="93"/>
        <v>78.138685900598304</v>
      </c>
      <c r="CB81" s="20">
        <f t="shared" si="64"/>
        <v>716.79595461020836</v>
      </c>
      <c r="CC81" s="59">
        <f t="shared" si="65"/>
        <v>1010.1292879435416</v>
      </c>
      <c r="CD81" s="59">
        <f ca="1">AVERAGE(OFFSET($CC$3,0,0,'Données projet'!$E$12+1,1))-AVERAGE(OFFSET($H$3,0,0,'Données projet'!$E$12+1,1))</f>
        <v>237.27357081252273</v>
      </c>
      <c r="CE81" s="59">
        <f t="shared" si="94"/>
        <v>68.768479693848576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-3.4106051316484809E-13</v>
      </c>
      <c r="CU81" s="17">
        <f>CT81*VLOOKUP('Données projet'!$B$13,Paramètres!$A$1:$I$89,3,0)*VLOOKUP('Données projet'!$B$13,Paramètres!$A$1:$I$89,5,0)</f>
        <v>-1.9065282685915009E-13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474.03051418249999</v>
      </c>
      <c r="CZ81" s="59">
        <f t="shared" si="96"/>
        <v>649.52271992719091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2.1123530945101652</v>
      </c>
      <c r="DG81" s="21">
        <f>EXP(-LN(2)/25)*DG80+(1-EXP(-LN(2)/25))/(LN(2)/25)*Calculateur!DB81*Calculateur!DD81*VLOOKUP('Données projet'!$B$13,Paramètres!$A$1:$I$89,3,0)*0.475*44/12</f>
        <v>6.3931281505685371</v>
      </c>
      <c r="DH81" s="21">
        <f>EXP(-LN(2)/2)*DH80+(1-EXP(-LN(2)/2))/(LN(2)/2)*DB81*DE81*VLOOKUP('Données projet'!$B$13,Paramètres!$A$1:$I$89,3,0)*0.475*44/12</f>
        <v>6.9735455821067731E-7</v>
      </c>
      <c r="DI81" s="22">
        <f t="shared" si="69"/>
        <v>8.5054819424332599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-5.6843418860808015E-14</v>
      </c>
      <c r="DP81" s="17">
        <f>DO81*VLOOKUP('Données projet'!$B$14,Paramètres!$A$1:$I$89,3,0)*VLOOKUP('Données projet'!$B$14,Paramètres!$A$1:$I$89,5,0)</f>
        <v>-3.1036506698001178E-14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164.0740581424559</v>
      </c>
      <c r="DU81" s="59">
        <f t="shared" si="98"/>
        <v>280.99861170359793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2.5531404162733065</v>
      </c>
      <c r="EB81" s="21">
        <f>EXP(-LN(2)/25)*EB80+(1-EXP(-LN(2)/25))/(LN(2)/25)*Calculateur!DW81*Calculateur!DY81*VLOOKUP('Données projet'!$B$14,Paramètres!$A$1:$I$89,3,0)*0.475*44/12</f>
        <v>6.8433119727834351</v>
      </c>
      <c r="EC81" s="21">
        <f>EXP(-LN(2)/2)*EC80+(1-EXP(-LN(2)/2))/(LN(2)/2)*DW81*DZ81*VLOOKUP('Données projet'!$B$14,Paramètres!$A$1:$I$89,3,0)*0.475*44/12</f>
        <v>9.0472181183646412E-7</v>
      </c>
      <c r="ED81" s="22">
        <f t="shared" si="72"/>
        <v>9.3964532937785528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1.1368683772161603E-13</v>
      </c>
      <c r="EK81" s="17">
        <f>EJ81*VLOOKUP('Données projet'!$B$15,Paramètres!$A$1:$I$89,3,0)*VLOOKUP('Données projet'!$B$15,Paramètres!$A$1:$I$89,5,0)</f>
        <v>5.4683368944097308E-14</v>
      </c>
      <c r="EL81" s="13">
        <f t="shared" si="99"/>
        <v>8.8129432816788268E-13</v>
      </c>
      <c r="EM81" s="20">
        <f t="shared" si="73"/>
        <v>1.6301611558033651E-12</v>
      </c>
      <c r="EN81" s="59">
        <f t="shared" si="74"/>
        <v>293.33333333333496</v>
      </c>
      <c r="EO81" s="59">
        <f ca="1">AVERAGE(OFFSET($EN$3,0,0,'Données projet'!$E$15+1,1))-AVERAGE(OFFSET($H$3,0,0,'Données projet'!$E$15+1,1))</f>
        <v>312.1172301514103</v>
      </c>
      <c r="EP81" s="59">
        <f t="shared" si="100"/>
        <v>369.85500533493212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1.0444453256264243</v>
      </c>
      <c r="EW81" s="21">
        <f>EXP(-LN(2)/25)*EW80+(1-EXP(-LN(2)/25))/(LN(2)/25)*Calculateur!ER81*Calculateur!ET81*VLOOKUP('Données projet'!$B$15,Paramètres!$A$1:$I$89,3,0)*0.475*44/12</f>
        <v>3.9742626212666887</v>
      </c>
      <c r="EX81" s="21">
        <f>EXP(-LN(2)/2)*EX80+(1-EXP(-LN(2)/2))/(LN(2)/2)*ER81*EU81*VLOOKUP('Données projet'!$B$15,Paramètres!$A$1:$I$89,3,0)*0.475*44/12</f>
        <v>1.8880709223352744E-6</v>
      </c>
      <c r="EY81" s="22">
        <f t="shared" si="75"/>
        <v>5.018709834964036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-1.7053025658242404E-13</v>
      </c>
      <c r="FF81" s="17">
        <f>FE81*VLOOKUP('Données projet'!$B$16,Paramètres!$A$1:$I$89,3,0)*VLOOKUP('Données projet'!$B$16,Paramètres!$A$1:$I$89,5,0)</f>
        <v>-7.9808160080574461E-14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87.187251664304199</v>
      </c>
      <c r="FK81" s="59">
        <f t="shared" si="102"/>
        <v>148.84938257884147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2.1308594642662735</v>
      </c>
      <c r="FS81" s="21">
        <f>EXP(-LN(2)/2)*FS80+(1-EXP(-LN(2)/2))/(LN(2)/2)*FM81*FP81*VLOOKUP('Données projet'!$B$16,Paramètres!$A$1:$I$89,3,0)*0.475*44/12</f>
        <v>3.6263020376932615E-7</v>
      </c>
      <c r="FT81" s="22">
        <f t="shared" si="78"/>
        <v>2.1308598268964771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-1.1368683772161603E-13</v>
      </c>
      <c r="GA81" s="17">
        <f>FZ81*VLOOKUP('Données projet'!$B$17,Paramètres!$A$1:$I$89,3,0)*VLOOKUP('Données projet'!$B$17,Paramètres!$A$1:$I$89,5,0)</f>
        <v>-6.7984728957526396E-14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282.94722676586207</v>
      </c>
      <c r="GF81" s="59">
        <f t="shared" si="104"/>
        <v>310.63647941571298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2.8321517930811893</v>
      </c>
      <c r="GN81" s="21">
        <f>EXP(-LN(2)/2)*GN80+(1-EXP(-LN(2)/2))/(LN(2)/2)*GH81*GK81*VLOOKUP('Données projet'!$B$17,Paramètres!$A$1:$I$89,3,0)*0.475*44/12</f>
        <v>1.5281577704780728E-6</v>
      </c>
      <c r="GO81" s="21">
        <f t="shared" si="81"/>
        <v>2.8321533212389598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-1.1368683772161603E-13</v>
      </c>
      <c r="GV81" s="17">
        <f>GU81*VLOOKUP('Données projet'!$B$18,Paramètres!$A$1:$I$89,3,0)*VLOOKUP('Données projet'!$B$18,Paramètres!$A$1:$I$89,5,0)</f>
        <v>-6.7984728957526396E-14</v>
      </c>
      <c r="GW81" s="13" t="e">
        <f t="shared" si="105"/>
        <v>#NUM!</v>
      </c>
      <c r="GX81" s="20" t="e">
        <f t="shared" si="82"/>
        <v>#NUM!</v>
      </c>
      <c r="GY81" s="59" t="e">
        <f t="shared" si="83"/>
        <v>#NUM!</v>
      </c>
      <c r="GZ81" s="59">
        <f ca="1">AVERAGE(OFFSET($GY$3,0,0,'Données projet'!$E$18+1,1))-AVERAGE(OFFSET($H$3,0,0,'Données projet'!$E$18+1,1))</f>
        <v>255.54398581450459</v>
      </c>
      <c r="HA81" s="59">
        <f t="shared" si="106"/>
        <v>276.52622328061204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1.4131549016209402</v>
      </c>
      <c r="HI81" s="21">
        <f>EXP(-LN(2)/2)*HI80+(1-EXP(-LN(2)/2))/(LN(2)/2)*HC81*HF81*VLOOKUP('Données projet'!$B$18,Paramètres!$A$1:$I$89,3,0)*0.475*44/12</f>
        <v>8.8614726116223306E-7</v>
      </c>
      <c r="HJ81" s="22">
        <f t="shared" si="84"/>
        <v>1.4131557877682013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5.6843418860808015E-14</v>
      </c>
      <c r="O82" s="13">
        <f>N82*VLOOKUP('Données projet'!$B$9,Paramètres!$A$1:$I$89,3,0)*VLOOKUP('Données projet'!$B$9,Paramètres!$A$1:$I$89,5,0)</f>
        <v>4.9658410716801891E-14</v>
      </c>
      <c r="P82" s="13">
        <f t="shared" si="87"/>
        <v>8.0934058173791862E-13</v>
      </c>
      <c r="Q82" s="20">
        <f t="shared" si="54"/>
        <v>1.4960899118586383E-12</v>
      </c>
      <c r="R82" s="59">
        <f t="shared" si="55"/>
        <v>293.33333333333479</v>
      </c>
      <c r="S82" s="59">
        <f ca="1">AVERAGE(OFFSET($R$3,0,0,'Données projet'!$E$9+1,1))-AVERAGE(OFFSET($H$3,0,0,'Données projet'!$E$9+1,1))</f>
        <v>248.50221719467663</v>
      </c>
      <c r="T82" s="59">
        <f t="shared" si="88"/>
        <v>366.09064580347183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2.9915840348870884</v>
      </c>
      <c r="AA82" s="21">
        <f>EXP(-LN(2)/25)*AA81+(1-EXP(-LN(2)/25))/(LN(2)/25)*Calculateur!V82*Calculateur!X82*VLOOKUP('Données projet'!$B$9,Paramètres!$A$1:$I$89,3,0)*0.475*44/12</f>
        <v>6.1866485709526096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9.1782326058396979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283.02144000000004</v>
      </c>
      <c r="AK82" s="13">
        <f t="shared" si="89"/>
        <v>67.605126603830598</v>
      </c>
      <c r="AL82" s="20">
        <f t="shared" si="58"/>
        <v>610.67460350167164</v>
      </c>
      <c r="AM82" s="59">
        <f t="shared" si="59"/>
        <v>904.00793683500501</v>
      </c>
      <c r="AN82" s="59">
        <f ca="1">AVERAGE(OFFSET($AM$3,0,0,'Données projet'!$E$10+1,1))-AVERAGE(OFFSET($H$3,0,0,'Données projet'!$E$10+1,1))</f>
        <v>263.22346936777603</v>
      </c>
      <c r="AO82" s="59">
        <f t="shared" si="90"/>
        <v>217.14714468707939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1.870204550789095</v>
      </c>
      <c r="AW82" s="21">
        <f>EXP(-LN(2)/2)*AW81+(1-EXP(-LN(2)/2))/(LN(2)/2)*AQ82*AT82*VLOOKUP('Données projet'!$B$10,Paramètres!$A$1:$I$89,3,0)*0.475*44/12</f>
        <v>7.5235329630669949E-7</v>
      </c>
      <c r="AX82" s="21">
        <f t="shared" si="60"/>
        <v>1.8702053031423913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5.6843418860808015E-14</v>
      </c>
      <c r="BE82" s="13">
        <f>BD82*VLOOKUP('Données projet'!$B$11,Paramètres!$A$1:$I$89,3,0)*VLOOKUP('Données projet'!$B$11,Paramètres!$A$1:$I$89,5,0)</f>
        <v>4.4337866711430253E-14</v>
      </c>
      <c r="BF82" s="13">
        <f t="shared" si="91"/>
        <v>7.3222115536967035E-13</v>
      </c>
      <c r="BG82" s="20">
        <f t="shared" si="61"/>
        <v>1.3525069634579169E-12</v>
      </c>
      <c r="BH82" s="59">
        <f t="shared" si="62"/>
        <v>293.33333333333468</v>
      </c>
      <c r="BI82" s="59">
        <f ca="1">AVERAGE(OFFSET($BH$3,0,0,'Données projet'!$E$11+1,1))-AVERAGE(OFFSET($H$3,0,0,'Données projet'!$E$11+1,1))</f>
        <v>219.22204054948094</v>
      </c>
      <c r="BJ82" s="59">
        <f t="shared" si="92"/>
        <v>222.41711966122034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0.80593355327002592</v>
      </c>
      <c r="BR82" s="21">
        <f>EXP(-LN(2)/2)*BR81+(1-EXP(-LN(2)/2))/(LN(2)/2)*BL82*BO82*VLOOKUP('Données projet'!$B$11,Paramètres!$A$1:$I$89,3,0)*0.475*44/12</f>
        <v>1.378247227334574E-7</v>
      </c>
      <c r="BS82" s="22">
        <f t="shared" si="63"/>
        <v>0.80593369109474866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13.2</v>
      </c>
      <c r="BY82" s="12">
        <f>IF('Données projet'!$A$114&gt;35,BY81+BX82-CG81,IF(A82&lt;'Données projet'!$A$114,$BV$205^A82,IF(A82='Données projet'!$A$114,'Données projet'!$B$114,BY81+BX82-CG81)))</f>
        <v>401.79999999999961</v>
      </c>
      <c r="BZ82" s="13">
        <f>BY82*VLOOKUP('Données projet'!$B$12,Paramètres!$A$1:$I$89,3,0)*VLOOKUP('Données projet'!$B$12,Paramètres!$A$1:$I$89,5,0)</f>
        <v>344.7443999999997</v>
      </c>
      <c r="CA82" s="13">
        <f t="shared" si="93"/>
        <v>80.479377535579189</v>
      </c>
      <c r="CB82" s="20">
        <f t="shared" si="64"/>
        <v>740.59807920779986</v>
      </c>
      <c r="CC82" s="59">
        <f t="shared" si="65"/>
        <v>1033.9314125411331</v>
      </c>
      <c r="CD82" s="59">
        <f ca="1">AVERAGE(OFFSET($CC$3,0,0,'Données projet'!$E$12+1,1))-AVERAGE(OFFSET($H$3,0,0,'Données projet'!$E$12+1,1))</f>
        <v>237.27357081252273</v>
      </c>
      <c r="CE82" s="59">
        <f t="shared" si="94"/>
        <v>68.768479693848576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-3.4106051316484809E-13</v>
      </c>
      <c r="CU82" s="17">
        <f>CT82*VLOOKUP('Données projet'!$B$13,Paramètres!$A$1:$I$89,3,0)*VLOOKUP('Données projet'!$B$13,Paramètres!$A$1:$I$89,5,0)</f>
        <v>-1.9065282685915009E-13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474.03051418249999</v>
      </c>
      <c r="CZ82" s="59">
        <f t="shared" si="96"/>
        <v>649.52271992719091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2.0709311387349887</v>
      </c>
      <c r="DG82" s="21">
        <f>EXP(-LN(2)/25)*DG81+(1-EXP(-LN(2)/25))/(LN(2)/25)*Calculateur!DB82*Calculateur!DD82*VLOOKUP('Données projet'!$B$13,Paramètres!$A$1:$I$89,3,0)*0.475*44/12</f>
        <v>6.2183077250912424</v>
      </c>
      <c r="DH82" s="21">
        <f>EXP(-LN(2)/2)*DH81+(1-EXP(-LN(2)/2))/(LN(2)/2)*DB82*DE82*VLOOKUP('Données projet'!$B$13,Paramètres!$A$1:$I$89,3,0)*0.475*44/12</f>
        <v>4.9310413700211892E-7</v>
      </c>
      <c r="DI82" s="22">
        <f t="shared" si="69"/>
        <v>8.2892393569303682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-5.6843418860808015E-14</v>
      </c>
      <c r="DP82" s="17">
        <f>DO82*VLOOKUP('Données projet'!$B$14,Paramètres!$A$1:$I$89,3,0)*VLOOKUP('Données projet'!$B$14,Paramètres!$A$1:$I$89,5,0)</f>
        <v>-3.1036506698001178E-14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164.0740581424559</v>
      </c>
      <c r="DU82" s="59">
        <f t="shared" si="98"/>
        <v>280.99861170359793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2.5030748899720741</v>
      </c>
      <c r="EB82" s="21">
        <f>EXP(-LN(2)/25)*EB81+(1-EXP(-LN(2)/25))/(LN(2)/25)*Calculateur!DW82*Calculateur!DY82*VLOOKUP('Données projet'!$B$14,Paramètres!$A$1:$I$89,3,0)*0.475*44/12</f>
        <v>6.656181247013536</v>
      </c>
      <c r="EC82" s="21">
        <f>EXP(-LN(2)/2)*EC81+(1-EXP(-LN(2)/2))/(LN(2)/2)*DW82*DZ82*VLOOKUP('Données projet'!$B$14,Paramètres!$A$1:$I$89,3,0)*0.475*44/12</f>
        <v>6.3973492823694345E-7</v>
      </c>
      <c r="ED82" s="22">
        <f t="shared" si="72"/>
        <v>9.1592567767205377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1.1368683772161603E-13</v>
      </c>
      <c r="EK82" s="17">
        <f>EJ82*VLOOKUP('Données projet'!$B$15,Paramètres!$A$1:$I$89,3,0)*VLOOKUP('Données projet'!$B$15,Paramètres!$A$1:$I$89,5,0)</f>
        <v>5.4683368944097308E-14</v>
      </c>
      <c r="EL82" s="13">
        <f t="shared" si="99"/>
        <v>8.8129432816788268E-13</v>
      </c>
      <c r="EM82" s="20">
        <f t="shared" si="73"/>
        <v>1.6301611558033651E-12</v>
      </c>
      <c r="EN82" s="59">
        <f t="shared" si="74"/>
        <v>293.33333333333496</v>
      </c>
      <c r="EO82" s="59">
        <f ca="1">AVERAGE(OFFSET($EN$3,0,0,'Données projet'!$E$15+1,1))-AVERAGE(OFFSET($H$3,0,0,'Données projet'!$E$15+1,1))</f>
        <v>312.1172301514103</v>
      </c>
      <c r="EP82" s="59">
        <f t="shared" si="100"/>
        <v>369.85500533493212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1.0239643898396356</v>
      </c>
      <c r="EW82" s="21">
        <f>EXP(-LN(2)/25)*EW81+(1-EXP(-LN(2)/25))/(LN(2)/25)*Calculateur!ER82*Calculateur!ET82*VLOOKUP('Données projet'!$B$15,Paramètres!$A$1:$I$89,3,0)*0.475*44/12</f>
        <v>3.8655862008907631</v>
      </c>
      <c r="EX82" s="21">
        <f>EXP(-LN(2)/2)*EX81+(1-EXP(-LN(2)/2))/(LN(2)/2)*ER82*EU82*VLOOKUP('Données projet'!$B$15,Paramètres!$A$1:$I$89,3,0)*0.475*44/12</f>
        <v>1.3350677525444121E-6</v>
      </c>
      <c r="EY82" s="22">
        <f t="shared" si="75"/>
        <v>4.889551925798151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-1.7053025658242404E-13</v>
      </c>
      <c r="FF82" s="17">
        <f>FE82*VLOOKUP('Données projet'!$B$16,Paramètres!$A$1:$I$89,3,0)*VLOOKUP('Données projet'!$B$16,Paramètres!$A$1:$I$89,5,0)</f>
        <v>-7.9808160080574461E-14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87.187251664304199</v>
      </c>
      <c r="FK82" s="59">
        <f t="shared" si="102"/>
        <v>148.84938257884147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2.0725910001588832</v>
      </c>
      <c r="FS82" s="21">
        <f>EXP(-LN(2)/2)*FS81+(1-EXP(-LN(2)/2))/(LN(2)/2)*FM82*FP82*VLOOKUP('Données projet'!$B$16,Paramètres!$A$1:$I$89,3,0)*0.475*44/12</f>
        <v>2.5641827614835005E-7</v>
      </c>
      <c r="FT82" s="22">
        <f t="shared" si="78"/>
        <v>2.0725912565771591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-1.1368683772161603E-13</v>
      </c>
      <c r="GA82" s="17">
        <f>FZ82*VLOOKUP('Données projet'!$B$17,Paramètres!$A$1:$I$89,3,0)*VLOOKUP('Données projet'!$B$17,Paramètres!$A$1:$I$89,5,0)</f>
        <v>-6.7984728957526396E-14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282.94722676586207</v>
      </c>
      <c r="GF82" s="59">
        <f t="shared" si="104"/>
        <v>310.63647941571298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2.7547064533629944</v>
      </c>
      <c r="GN82" s="21">
        <f>EXP(-LN(2)/2)*GN81+(1-EXP(-LN(2)/2))/(LN(2)/2)*GH82*GK82*VLOOKUP('Données projet'!$B$17,Paramètres!$A$1:$I$89,3,0)*0.475*44/12</f>
        <v>1.0805707222279609E-6</v>
      </c>
      <c r="GO82" s="21">
        <f t="shared" si="81"/>
        <v>2.7547075339337166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-1.1368683772161603E-13</v>
      </c>
      <c r="GV82" s="17">
        <f>GU82*VLOOKUP('Données projet'!$B$18,Paramètres!$A$1:$I$89,3,0)*VLOOKUP('Données projet'!$B$18,Paramètres!$A$1:$I$89,5,0)</f>
        <v>-6.7984728957526396E-14</v>
      </c>
      <c r="GW82" s="13" t="e">
        <f t="shared" si="105"/>
        <v>#NUM!</v>
      </c>
      <c r="GX82" s="20" t="e">
        <f t="shared" si="82"/>
        <v>#NUM!</v>
      </c>
      <c r="GY82" s="59" t="e">
        <f t="shared" si="83"/>
        <v>#NUM!</v>
      </c>
      <c r="GZ82" s="59">
        <f ca="1">AVERAGE(OFFSET($GY$3,0,0,'Données projet'!$E$18+1,1))-AVERAGE(OFFSET($H$3,0,0,'Données projet'!$E$18+1,1))</f>
        <v>255.54398581450459</v>
      </c>
      <c r="HA82" s="59">
        <f t="shared" si="106"/>
        <v>276.52622328061204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1.3745121065215291</v>
      </c>
      <c r="HI82" s="21">
        <f>EXP(-LN(2)/2)*HI81+(1-EXP(-LN(2)/2))/(LN(2)/2)*HC82*HF82*VLOOKUP('Données projet'!$B$18,Paramètres!$A$1:$I$89,3,0)*0.475*44/12</f>
        <v>6.2660073749770151E-7</v>
      </c>
      <c r="HJ82" s="22">
        <f t="shared" si="84"/>
        <v>1.3745127331222666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5.6843418860808015E-14</v>
      </c>
      <c r="O83" s="13">
        <f>N83*VLOOKUP('Données projet'!$B$9,Paramètres!$A$1:$I$89,3,0)*VLOOKUP('Données projet'!$B$9,Paramètres!$A$1:$I$89,5,0)</f>
        <v>4.9658410716801891E-14</v>
      </c>
      <c r="P83" s="13">
        <f t="shared" si="87"/>
        <v>8.0934058173791862E-13</v>
      </c>
      <c r="Q83" s="20">
        <f t="shared" si="54"/>
        <v>1.4960899118586383E-12</v>
      </c>
      <c r="R83" s="59">
        <f t="shared" si="55"/>
        <v>293.33333333333479</v>
      </c>
      <c r="S83" s="59">
        <f ca="1">AVERAGE(OFFSET($R$3,0,0,'Données projet'!$E$9+1,1))-AVERAGE(OFFSET($H$3,0,0,'Données projet'!$E$9+1,1))</f>
        <v>248.50221719467663</v>
      </c>
      <c r="T83" s="59">
        <f t="shared" si="88"/>
        <v>366.09064580347183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2.932920896649041</v>
      </c>
      <c r="AA83" s="21">
        <f>EXP(-LN(2)/25)*AA82+(1-EXP(-LN(2)/25))/(LN(2)/25)*Calculateur!V83*Calculateur!X83*VLOOKUP('Données projet'!$B$9,Paramètres!$A$1:$I$89,3,0)*0.475*44/12</f>
        <v>6.0174743404382021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8.9503952370872426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289.536</v>
      </c>
      <c r="AK83" s="13">
        <f t="shared" si="89"/>
        <v>68.97829509904436</v>
      </c>
      <c r="AL83" s="20">
        <f t="shared" si="58"/>
        <v>624.41239729750225</v>
      </c>
      <c r="AM83" s="59">
        <f t="shared" si="59"/>
        <v>917.74573063083562</v>
      </c>
      <c r="AN83" s="59">
        <f ca="1">AVERAGE(OFFSET($AM$3,0,0,'Données projet'!$E$10+1,1))-AVERAGE(OFFSET($H$3,0,0,'Données projet'!$E$10+1,1))</f>
        <v>263.22346936777603</v>
      </c>
      <c r="AO83" s="59">
        <f t="shared" si="90"/>
        <v>217.14714468707939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320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1.8190637089979842</v>
      </c>
      <c r="AW83" s="21">
        <f>EXP(-LN(2)/2)*AW82+(1-EXP(-LN(2)/2))/(LN(2)/2)*AQ83*AT83*VLOOKUP('Données projet'!$B$10,Paramètres!$A$1:$I$89,3,0)*0.475*44/12</f>
        <v>5.319941176665191E-7</v>
      </c>
      <c r="AX83" s="21">
        <f t="shared" si="60"/>
        <v>1.8190642409921018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5.6843418860808015E-14</v>
      </c>
      <c r="BE83" s="13">
        <f>BD83*VLOOKUP('Données projet'!$B$11,Paramètres!$A$1:$I$89,3,0)*VLOOKUP('Données projet'!$B$11,Paramètres!$A$1:$I$89,5,0)</f>
        <v>4.4337866711430253E-14</v>
      </c>
      <c r="BF83" s="13">
        <f t="shared" si="91"/>
        <v>7.3222115536967035E-13</v>
      </c>
      <c r="BG83" s="20">
        <f t="shared" si="61"/>
        <v>1.3525069634579169E-12</v>
      </c>
      <c r="BH83" s="59">
        <f t="shared" si="62"/>
        <v>293.33333333333468</v>
      </c>
      <c r="BI83" s="59">
        <f ca="1">AVERAGE(OFFSET($BH$3,0,0,'Données projet'!$E$11+1,1))-AVERAGE(OFFSET($H$3,0,0,'Données projet'!$E$11+1,1))</f>
        <v>219.22204054948094</v>
      </c>
      <c r="BJ83" s="59">
        <f t="shared" si="92"/>
        <v>222.41711966122034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0.78389525787365344</v>
      </c>
      <c r="BR83" s="21">
        <f>EXP(-LN(2)/2)*BR82+(1-EXP(-LN(2)/2))/(LN(2)/2)*BL83*BO83*VLOOKUP('Données projet'!$B$11,Paramètres!$A$1:$I$89,3,0)*0.475*44/12</f>
        <v>9.7456796059983444E-8</v>
      </c>
      <c r="BS83" s="22">
        <f t="shared" si="63"/>
        <v>0.78389535533044952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415</v>
      </c>
      <c r="BW83" s="12">
        <f>VLOOKUP(A83,'Données projet'!$A$113:$I$133,9,0)</f>
        <v>13.2</v>
      </c>
      <c r="BX83" s="12">
        <f t="array" ref="BX83">INDEX(BW:BW,MIN(IF(ISNUMBER(BW83:BW279),ROW(BW83:BW279),"")))</f>
        <v>13.2</v>
      </c>
      <c r="BY83" s="12">
        <f>IF('Données projet'!$A$114&gt;35,BY82+BX83-CG82,IF(A83&lt;'Données projet'!$A$114,$BV$205^A83,IF(A83='Données projet'!$A$114,'Données projet'!$B$114,BY82+BX83-CG82)))</f>
        <v>414.9999999999996</v>
      </c>
      <c r="BZ83" s="13">
        <f>BY83*VLOOKUP('Données projet'!$B$12,Paramètres!$A$1:$I$89,3,0)*VLOOKUP('Données projet'!$B$12,Paramètres!$A$1:$I$89,5,0)</f>
        <v>356.06999999999971</v>
      </c>
      <c r="CA83" s="13">
        <f t="shared" si="93"/>
        <v>82.811133778450042</v>
      </c>
      <c r="CB83" s="20">
        <f t="shared" si="64"/>
        <v>764.38464133080004</v>
      </c>
      <c r="CC83" s="59">
        <f t="shared" si="65"/>
        <v>1057.7179746641334</v>
      </c>
      <c r="CD83" s="59">
        <f ca="1">AVERAGE(OFFSET($CC$3,0,0,'Données projet'!$E$12+1,1))-AVERAGE(OFFSET($H$3,0,0,'Données projet'!$E$12+1,1))</f>
        <v>237.27357081252273</v>
      </c>
      <c r="CE83" s="59">
        <f t="shared" si="94"/>
        <v>68.768479693848576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415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-3.4106051316484809E-13</v>
      </c>
      <c r="CU83" s="17">
        <f>CT83*VLOOKUP('Données projet'!$B$13,Paramètres!$A$1:$I$89,3,0)*VLOOKUP('Données projet'!$B$13,Paramètres!$A$1:$I$89,5,0)</f>
        <v>-1.9065282685915009E-13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474.03051418249999</v>
      </c>
      <c r="CZ83" s="59">
        <f t="shared" si="96"/>
        <v>649.52271992719091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2.030321442247665</v>
      </c>
      <c r="DG83" s="21">
        <f>EXP(-LN(2)/25)*DG82+(1-EXP(-LN(2)/25))/(LN(2)/25)*Calculateur!DB83*Calculateur!DD83*VLOOKUP('Données projet'!$B$13,Paramètres!$A$1:$I$89,3,0)*0.475*44/12</f>
        <v>6.0482677733420314</v>
      </c>
      <c r="DH83" s="21">
        <f>EXP(-LN(2)/2)*DH82+(1-EXP(-LN(2)/2))/(LN(2)/2)*DB83*DE83*VLOOKUP('Données projet'!$B$13,Paramètres!$A$1:$I$89,3,0)*0.475*44/12</f>
        <v>3.4867727910533866E-7</v>
      </c>
      <c r="DI83" s="22">
        <f t="shared" si="69"/>
        <v>8.0785895642669754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-5.6843418860808015E-14</v>
      </c>
      <c r="DP83" s="17">
        <f>DO83*VLOOKUP('Données projet'!$B$14,Paramètres!$A$1:$I$89,3,0)*VLOOKUP('Données projet'!$B$14,Paramètres!$A$1:$I$89,5,0)</f>
        <v>-3.1036506698001178E-14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164.0740581424559</v>
      </c>
      <c r="DU83" s="59">
        <f t="shared" si="98"/>
        <v>280.99861170359793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2.453991118104653</v>
      </c>
      <c r="EB83" s="21">
        <f>EXP(-LN(2)/25)*EB82+(1-EXP(-LN(2)/25))/(LN(2)/25)*Calculateur!DW83*Calculateur!DY83*VLOOKUP('Données projet'!$B$14,Paramètres!$A$1:$I$89,3,0)*0.475*44/12</f>
        <v>6.4741676207805918</v>
      </c>
      <c r="EC83" s="21">
        <f>EXP(-LN(2)/2)*EC82+(1-EXP(-LN(2)/2))/(LN(2)/2)*DW83*DZ83*VLOOKUP('Données projet'!$B$14,Paramètres!$A$1:$I$89,3,0)*0.475*44/12</f>
        <v>4.5236090591823206E-7</v>
      </c>
      <c r="ED83" s="22">
        <f t="shared" si="72"/>
        <v>8.9281591912461504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1.1368683772161603E-13</v>
      </c>
      <c r="EK83" s="17">
        <f>EJ83*VLOOKUP('Données projet'!$B$15,Paramètres!$A$1:$I$89,3,0)*VLOOKUP('Données projet'!$B$15,Paramètres!$A$1:$I$89,5,0)</f>
        <v>5.4683368944097308E-14</v>
      </c>
      <c r="EL83" s="13">
        <f t="shared" si="99"/>
        <v>8.8129432816788268E-13</v>
      </c>
      <c r="EM83" s="20">
        <f t="shared" si="73"/>
        <v>1.6301611558033651E-12</v>
      </c>
      <c r="EN83" s="59">
        <f t="shared" si="74"/>
        <v>293.33333333333496</v>
      </c>
      <c r="EO83" s="59">
        <f ca="1">AVERAGE(OFFSET($EN$3,0,0,'Données projet'!$E$15+1,1))-AVERAGE(OFFSET($H$3,0,0,'Données projet'!$E$15+1,1))</f>
        <v>312.1172301514103</v>
      </c>
      <c r="EP83" s="59">
        <f t="shared" si="100"/>
        <v>369.85500533493212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1.0038850727114883</v>
      </c>
      <c r="EW83" s="21">
        <f>EXP(-LN(2)/25)*EW82+(1-EXP(-LN(2)/25))/(LN(2)/25)*Calculateur!ER83*Calculateur!ET83*VLOOKUP('Données projet'!$B$15,Paramètres!$A$1:$I$89,3,0)*0.475*44/12</f>
        <v>3.7598815429450618</v>
      </c>
      <c r="EX83" s="21">
        <f>EXP(-LN(2)/2)*EX82+(1-EXP(-LN(2)/2))/(LN(2)/2)*ER83*EU83*VLOOKUP('Données projet'!$B$15,Paramètres!$A$1:$I$89,3,0)*0.475*44/12</f>
        <v>9.4403546116763743E-7</v>
      </c>
      <c r="EY83" s="22">
        <f t="shared" si="75"/>
        <v>4.7637675596920115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-1.7053025658242404E-13</v>
      </c>
      <c r="FF83" s="17">
        <f>FE83*VLOOKUP('Données projet'!$B$16,Paramètres!$A$1:$I$89,3,0)*VLOOKUP('Données projet'!$B$16,Paramètres!$A$1:$I$89,5,0)</f>
        <v>-7.9808160080574461E-14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87.187251664304199</v>
      </c>
      <c r="FK83" s="59">
        <f t="shared" si="102"/>
        <v>148.84938257884147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2.0159158902667147</v>
      </c>
      <c r="FS83" s="21">
        <f>EXP(-LN(2)/2)*FS82+(1-EXP(-LN(2)/2))/(LN(2)/2)*FM83*FP83*VLOOKUP('Données projet'!$B$16,Paramètres!$A$1:$I$89,3,0)*0.475*44/12</f>
        <v>1.8131510188466308E-7</v>
      </c>
      <c r="FT83" s="22">
        <f t="shared" si="78"/>
        <v>2.0159160715818167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-1.1368683772161603E-13</v>
      </c>
      <c r="GA83" s="17">
        <f>FZ83*VLOOKUP('Données projet'!$B$17,Paramètres!$A$1:$I$89,3,0)*VLOOKUP('Données projet'!$B$17,Paramètres!$A$1:$I$89,5,0)</f>
        <v>-6.7984728957526396E-14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282.94722676586207</v>
      </c>
      <c r="GF83" s="59">
        <f t="shared" si="104"/>
        <v>310.63647941571298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2.6793788605320668</v>
      </c>
      <c r="GN83" s="21">
        <f>EXP(-LN(2)/2)*GN82+(1-EXP(-LN(2)/2))/(LN(2)/2)*GH83*GK83*VLOOKUP('Données projet'!$B$17,Paramètres!$A$1:$I$89,3,0)*0.475*44/12</f>
        <v>7.6407888523903638E-7</v>
      </c>
      <c r="GO83" s="21">
        <f t="shared" si="81"/>
        <v>2.6793796246109518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-1.1368683772161603E-13</v>
      </c>
      <c r="GV83" s="17">
        <f>GU83*VLOOKUP('Données projet'!$B$18,Paramètres!$A$1:$I$89,3,0)*VLOOKUP('Données projet'!$B$18,Paramètres!$A$1:$I$89,5,0)</f>
        <v>-6.7984728957526396E-14</v>
      </c>
      <c r="GW83" s="13" t="e">
        <f t="shared" si="105"/>
        <v>#NUM!</v>
      </c>
      <c r="GX83" s="20" t="e">
        <f t="shared" si="82"/>
        <v>#NUM!</v>
      </c>
      <c r="GY83" s="59" t="e">
        <f t="shared" si="83"/>
        <v>#NUM!</v>
      </c>
      <c r="GZ83" s="59">
        <f ca="1">AVERAGE(OFFSET($GY$3,0,0,'Données projet'!$E$18+1,1))-AVERAGE(OFFSET($H$3,0,0,'Données projet'!$E$18+1,1))</f>
        <v>255.54398581450459</v>
      </c>
      <c r="HA83" s="59">
        <f t="shared" si="106"/>
        <v>276.52622328061204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</v>
      </c>
      <c r="HH83" s="21">
        <f>EXP(-LN(2)/25)*HH82+(1-EXP(-LN(2)/25))/(LN(2)/25)*Calculateur!HC83*Calculateur!HE83*VLOOKUP('Données projet'!$B$18,Paramètres!$A$1:$I$89,3,0)*0.475*44/12</f>
        <v>1.3369260006862478</v>
      </c>
      <c r="HI83" s="21">
        <f>EXP(-LN(2)/2)*HI82+(1-EXP(-LN(2)/2))/(LN(2)/2)*HC83*HF83*VLOOKUP('Données projet'!$B$18,Paramètres!$A$1:$I$89,3,0)*0.475*44/12</f>
        <v>4.4307363058111653E-7</v>
      </c>
      <c r="HJ83" s="22">
        <f t="shared" si="84"/>
        <v>1.3369264437598785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4.9658410716801891E-14</v>
      </c>
      <c r="P84" s="13">
        <f t="shared" si="87"/>
        <v>8.0934058173791862E-13</v>
      </c>
      <c r="Q84" s="20">
        <f t="shared" si="54"/>
        <v>1.4960899118586383E-12</v>
      </c>
      <c r="R84" s="59">
        <f t="shared" si="55"/>
        <v>293.33333333333479</v>
      </c>
      <c r="S84" s="59">
        <f ca="1">AVERAGE(OFFSET($R$3,0,0,'Données projet'!$E$9+1,1))-AVERAGE(OFFSET($H$3,0,0,'Données projet'!$E$9+1,1))</f>
        <v>248.50221719467663</v>
      </c>
      <c r="T84" s="59">
        <f t="shared" si="88"/>
        <v>366.09064580347183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2.8754081067708603</v>
      </c>
      <c r="AA84" s="21">
        <f>EXP(-LN(2)/25)*AA83+(1-EXP(-LN(2)/25))/(LN(2)/25)*Calculateur!V84*Calculateur!X84*VLOOKUP('Données projet'!$B$9,Paramètres!$A$1:$I$89,3,0)*0.475*44/12</f>
        <v>5.8529261881536971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8.7283342949245579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263.22346936777603</v>
      </c>
      <c r="AO84" s="59">
        <f t="shared" si="90"/>
        <v>217.14714468707939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1.7693213162150314</v>
      </c>
      <c r="AW84" s="21">
        <f>EXP(-LN(2)/2)*AW83+(1-EXP(-LN(2)/2))/(LN(2)/2)*AQ84*AT84*VLOOKUP('Données projet'!$B$10,Paramètres!$A$1:$I$89,3,0)*0.475*44/12</f>
        <v>3.7617664815334974E-7</v>
      </c>
      <c r="AX84" s="21">
        <f t="shared" si="60"/>
        <v>1.7693216923916795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4.4337866711430253E-14</v>
      </c>
      <c r="BF84" s="13">
        <f t="shared" si="91"/>
        <v>7.3222115536967035E-13</v>
      </c>
      <c r="BG84" s="20">
        <f t="shared" si="61"/>
        <v>1.3525069634579169E-12</v>
      </c>
      <c r="BH84" s="59">
        <f t="shared" si="62"/>
        <v>293.33333333333468</v>
      </c>
      <c r="BI84" s="59">
        <f ca="1">AVERAGE(OFFSET($BH$3,0,0,'Données projet'!$E$11+1,1))-AVERAGE(OFFSET($H$3,0,0,'Données projet'!$E$11+1,1))</f>
        <v>219.22204054948094</v>
      </c>
      <c r="BJ84" s="59">
        <f t="shared" si="92"/>
        <v>222.41711966122034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0.76245960082383835</v>
      </c>
      <c r="BR84" s="21">
        <f>EXP(-LN(2)/2)*BR83+(1-EXP(-LN(2)/2))/(LN(2)/2)*BL84*BO84*VLOOKUP('Données projet'!$B$11,Paramètres!$A$1:$I$89,3,0)*0.475*44/12</f>
        <v>6.8912361366728699E-8</v>
      </c>
      <c r="BS84" s="22">
        <f t="shared" si="63"/>
        <v>0.76245966973619972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-3.979039320256561E-13</v>
      </c>
      <c r="BZ84" s="13">
        <f>BY84*VLOOKUP('Données projet'!$B$12,Paramètres!$A$1:$I$89,3,0)*VLOOKUP('Données projet'!$B$12,Paramètres!$A$1:$I$89,5,0)</f>
        <v>-3.41401573678013E-13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237.27357081252273</v>
      </c>
      <c r="CE84" s="59">
        <f t="shared" si="94"/>
        <v>68.768479693848576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-3.4106051316484809E-13</v>
      </c>
      <c r="CU84" s="17">
        <f>CT84*VLOOKUP('Données projet'!$B$13,Paramètres!$A$1:$I$89,3,0)*VLOOKUP('Données projet'!$B$13,Paramètres!$A$1:$I$89,5,0)</f>
        <v>-1.9065282685915009E-13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474.03051418249999</v>
      </c>
      <c r="CZ84" s="59">
        <f t="shared" si="96"/>
        <v>649.52271992719091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1.9905080771389887</v>
      </c>
      <c r="DG84" s="21">
        <f>EXP(-LN(2)/25)*DG83+(1-EXP(-LN(2)/25))/(LN(2)/25)*Calculateur!DB84*Calculateur!DD84*VLOOKUP('Données projet'!$B$13,Paramètres!$A$1:$I$89,3,0)*0.475*44/12</f>
        <v>5.8828775730154153</v>
      </c>
      <c r="DH84" s="21">
        <f>EXP(-LN(2)/2)*DH83+(1-EXP(-LN(2)/2))/(LN(2)/2)*DB84*DE84*VLOOKUP('Données projet'!$B$13,Paramètres!$A$1:$I$89,3,0)*0.475*44/12</f>
        <v>2.4655206850105946E-7</v>
      </c>
      <c r="DI84" s="22">
        <f t="shared" si="69"/>
        <v>7.8733858967064725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-5.6843418860808015E-14</v>
      </c>
      <c r="DP84" s="17">
        <f>DO84*VLOOKUP('Données projet'!$B$14,Paramètres!$A$1:$I$89,3,0)*VLOOKUP('Données projet'!$B$14,Paramètres!$A$1:$I$89,5,0)</f>
        <v>-3.1036506698001178E-14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164.0740581424559</v>
      </c>
      <c r="DU84" s="59">
        <f t="shared" si="98"/>
        <v>280.99861170359793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2.4058698490654074</v>
      </c>
      <c r="EB84" s="21">
        <f>EXP(-LN(2)/25)*EB83+(1-EXP(-LN(2)/25))/(LN(2)/25)*Calculateur!DW84*Calculateur!DY84*VLOOKUP('Données projet'!$B$14,Paramètres!$A$1:$I$89,3,0)*0.475*44/12</f>
        <v>6.2971311667286685</v>
      </c>
      <c r="EC84" s="21">
        <f>EXP(-LN(2)/2)*EC83+(1-EXP(-LN(2)/2))/(LN(2)/2)*DW84*DZ84*VLOOKUP('Données projet'!$B$14,Paramètres!$A$1:$I$89,3,0)*0.475*44/12</f>
        <v>3.1986746411847172E-7</v>
      </c>
      <c r="ED84" s="22">
        <f t="shared" si="72"/>
        <v>8.7030013356615399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1.1368683772161603E-13</v>
      </c>
      <c r="EK84" s="17">
        <f>EJ84*VLOOKUP('Données projet'!$B$15,Paramètres!$A$1:$I$89,3,0)*VLOOKUP('Données projet'!$B$15,Paramètres!$A$1:$I$89,5,0)</f>
        <v>5.4683368944097308E-14</v>
      </c>
      <c r="EL84" s="13">
        <f t="shared" si="99"/>
        <v>8.8129432816788268E-13</v>
      </c>
      <c r="EM84" s="20">
        <f t="shared" si="73"/>
        <v>1.6301611558033651E-12</v>
      </c>
      <c r="EN84" s="59">
        <f t="shared" si="74"/>
        <v>293.33333333333496</v>
      </c>
      <c r="EO84" s="59">
        <f ca="1">AVERAGE(OFFSET($EN$3,0,0,'Données projet'!$E$15+1,1))-AVERAGE(OFFSET($H$3,0,0,'Données projet'!$E$15+1,1))</f>
        <v>312.1172301514103</v>
      </c>
      <c r="EP84" s="59">
        <f t="shared" si="100"/>
        <v>369.85500533493212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0.98419949874504986</v>
      </c>
      <c r="EW84" s="21">
        <f>EXP(-LN(2)/25)*EW83+(1-EXP(-LN(2)/25))/(LN(2)/25)*Calculateur!ER84*Calculateur!ET84*VLOOKUP('Données projet'!$B$15,Paramètres!$A$1:$I$89,3,0)*0.475*44/12</f>
        <v>3.6570673844296522</v>
      </c>
      <c r="EX84" s="21">
        <f>EXP(-LN(2)/2)*EX83+(1-EXP(-LN(2)/2))/(LN(2)/2)*ER84*EU84*VLOOKUP('Données projet'!$B$15,Paramètres!$A$1:$I$89,3,0)*0.475*44/12</f>
        <v>6.6753387627220613E-7</v>
      </c>
      <c r="EY84" s="22">
        <f t="shared" si="75"/>
        <v>4.6412675507085783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-1.7053025658242404E-13</v>
      </c>
      <c r="FF84" s="17">
        <f>FE84*VLOOKUP('Données projet'!$B$16,Paramètres!$A$1:$I$89,3,0)*VLOOKUP('Données projet'!$B$16,Paramètres!$A$1:$I$89,5,0)</f>
        <v>-7.9808160080574461E-14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87.187251664304199</v>
      </c>
      <c r="FK84" s="59">
        <f t="shared" si="102"/>
        <v>148.84938257884147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1.9607905642349621</v>
      </c>
      <c r="FS84" s="21">
        <f>EXP(-LN(2)/2)*FS83+(1-EXP(-LN(2)/2))/(LN(2)/2)*FM84*FP84*VLOOKUP('Données projet'!$B$16,Paramètres!$A$1:$I$89,3,0)*0.475*44/12</f>
        <v>1.2820913807417502E-7</v>
      </c>
      <c r="FT84" s="22">
        <f t="shared" si="78"/>
        <v>1.9607906924441001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-1.1368683772161603E-13</v>
      </c>
      <c r="GA84" s="17">
        <f>FZ84*VLOOKUP('Données projet'!$B$17,Paramètres!$A$1:$I$89,3,0)*VLOOKUP('Données projet'!$B$17,Paramètres!$A$1:$I$89,5,0)</f>
        <v>-6.7984728957526396E-14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282.94722676586207</v>
      </c>
      <c r="GF84" s="59">
        <f t="shared" si="104"/>
        <v>310.63647941571298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2.6061111046884071</v>
      </c>
      <c r="GN84" s="21">
        <f>EXP(-LN(2)/2)*GN83+(1-EXP(-LN(2)/2))/(LN(2)/2)*GH84*GK84*VLOOKUP('Données projet'!$B$17,Paramètres!$A$1:$I$89,3,0)*0.475*44/12</f>
        <v>5.4028536111398044E-7</v>
      </c>
      <c r="GO84" s="21">
        <f t="shared" si="81"/>
        <v>2.606111644973768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-1.1368683772161603E-13</v>
      </c>
      <c r="GV84" s="17">
        <f>GU84*VLOOKUP('Données projet'!$B$18,Paramètres!$A$1:$I$89,3,0)*VLOOKUP('Données projet'!$B$18,Paramètres!$A$1:$I$89,5,0)</f>
        <v>-6.7984728957526396E-14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255.54398581450459</v>
      </c>
      <c r="HA84" s="59">
        <f t="shared" si="106"/>
        <v>276.52622328061204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</v>
      </c>
      <c r="HH84" s="21">
        <f>EXP(-LN(2)/25)*HH83+(1-EXP(-LN(2)/25))/(LN(2)/25)*Calculateur!HC84*Calculateur!HE84*VLOOKUP('Données projet'!$B$18,Paramètres!$A$1:$I$89,3,0)*0.475*44/12</f>
        <v>1.3003676888915996</v>
      </c>
      <c r="HI84" s="21">
        <f>EXP(-LN(2)/2)*HI83+(1-EXP(-LN(2)/2))/(LN(2)/2)*HC84*HF84*VLOOKUP('Données projet'!$B$18,Paramètres!$A$1:$I$89,3,0)*0.475*44/12</f>
        <v>3.1330036874885076E-7</v>
      </c>
      <c r="HJ84" s="22">
        <f t="shared" si="84"/>
        <v>1.3003680021919684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4.9658410716801891E-14</v>
      </c>
      <c r="P85" s="13">
        <f t="shared" si="87"/>
        <v>8.0934058173791862E-13</v>
      </c>
      <c r="Q85" s="20">
        <f t="shared" si="54"/>
        <v>1.4960899118586383E-12</v>
      </c>
      <c r="R85" s="59">
        <f t="shared" si="55"/>
        <v>293.33333333333479</v>
      </c>
      <c r="S85" s="59">
        <f ca="1">AVERAGE(OFFSET($R$3,0,0,'Données projet'!$E$9+1,1))-AVERAGE(OFFSET($H$3,0,0,'Données projet'!$E$9+1,1))</f>
        <v>248.50221719467663</v>
      </c>
      <c r="T85" s="59">
        <f t="shared" si="88"/>
        <v>366.09064580347183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2.8190231076228529</v>
      </c>
      <c r="AA85" s="21">
        <f>EXP(-LN(2)/25)*AA84+(1-EXP(-LN(2)/25))/(LN(2)/25)*Calculateur!V85*Calculateur!X85*VLOOKUP('Données projet'!$B$9,Paramètres!$A$1:$I$89,3,0)*0.475*44/12</f>
        <v>5.6928776137466235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8.5119007213694768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263.22346936777603</v>
      </c>
      <c r="AO85" s="59">
        <f t="shared" si="90"/>
        <v>217.14714468707939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1.7209391317785672</v>
      </c>
      <c r="AW85" s="21">
        <f>EXP(-LN(2)/2)*AW84+(1-EXP(-LN(2)/2))/(LN(2)/2)*AQ85*AT85*VLOOKUP('Données projet'!$B$10,Paramètres!$A$1:$I$89,3,0)*0.475*44/12</f>
        <v>2.6599705883325955E-7</v>
      </c>
      <c r="AX85" s="21">
        <f t="shared" si="60"/>
        <v>1.720939397775626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4.4337866711430253E-14</v>
      </c>
      <c r="BF85" s="13">
        <f t="shared" si="91"/>
        <v>7.3222115536967035E-13</v>
      </c>
      <c r="BG85" s="20">
        <f t="shared" si="61"/>
        <v>1.3525069634579169E-12</v>
      </c>
      <c r="BH85" s="59">
        <f t="shared" si="62"/>
        <v>293.33333333333468</v>
      </c>
      <c r="BI85" s="59">
        <f ca="1">AVERAGE(OFFSET($BH$3,0,0,'Données projet'!$E$11+1,1))-AVERAGE(OFFSET($H$3,0,0,'Données projet'!$E$11+1,1))</f>
        <v>219.22204054948094</v>
      </c>
      <c r="BJ85" s="59">
        <f t="shared" si="92"/>
        <v>222.41711966122034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0.74161010294330265</v>
      </c>
      <c r="BR85" s="21">
        <f>EXP(-LN(2)/2)*BR84+(1-EXP(-LN(2)/2))/(LN(2)/2)*BL85*BO85*VLOOKUP('Données projet'!$B$11,Paramètres!$A$1:$I$89,3,0)*0.475*44/12</f>
        <v>4.8728398029991722E-8</v>
      </c>
      <c r="BS85" s="22">
        <f t="shared" si="63"/>
        <v>0.74161015167170063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-3.979039320256561E-13</v>
      </c>
      <c r="BZ85" s="13">
        <f>BY85*VLOOKUP('Données projet'!$B$12,Paramètres!$A$1:$I$89,3,0)*VLOOKUP('Données projet'!$B$12,Paramètres!$A$1:$I$89,5,0)</f>
        <v>-3.41401573678013E-13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237.27357081252273</v>
      </c>
      <c r="CE85" s="59">
        <f t="shared" si="94"/>
        <v>68.768479693848576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-3.4106051316484809E-13</v>
      </c>
      <c r="CU85" s="17">
        <f>CT85*VLOOKUP('Données projet'!$B$13,Paramètres!$A$1:$I$89,3,0)*VLOOKUP('Données projet'!$B$13,Paramètres!$A$1:$I$89,5,0)</f>
        <v>-1.9065282685915009E-13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474.03051418249999</v>
      </c>
      <c r="CZ85" s="59">
        <f t="shared" si="96"/>
        <v>649.52271992719091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1.9514754278363386</v>
      </c>
      <c r="DG85" s="21">
        <f>EXP(-LN(2)/25)*DG84+(1-EXP(-LN(2)/25))/(LN(2)/25)*Calculateur!DB85*Calculateur!DD85*VLOOKUP('Données projet'!$B$13,Paramètres!$A$1:$I$89,3,0)*0.475*44/12</f>
        <v>5.7220099764142223</v>
      </c>
      <c r="DH85" s="21">
        <f>EXP(-LN(2)/2)*DH84+(1-EXP(-LN(2)/2))/(LN(2)/2)*DB85*DE85*VLOOKUP('Données projet'!$B$13,Paramètres!$A$1:$I$89,3,0)*0.475*44/12</f>
        <v>1.7433863955266933E-7</v>
      </c>
      <c r="DI85" s="22">
        <f t="shared" si="69"/>
        <v>7.6734855785892009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-5.6843418860808015E-14</v>
      </c>
      <c r="DP85" s="17">
        <f>DO85*VLOOKUP('Données projet'!$B$14,Paramètres!$A$1:$I$89,3,0)*VLOOKUP('Données projet'!$B$14,Paramètres!$A$1:$I$89,5,0)</f>
        <v>-3.1036506698001178E-14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164.0740581424559</v>
      </c>
      <c r="DU85" s="59">
        <f t="shared" si="98"/>
        <v>280.99861170359793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2.3586922087609454</v>
      </c>
      <c r="EB85" s="21">
        <f>EXP(-LN(2)/25)*EB84+(1-EXP(-LN(2)/25))/(LN(2)/25)*Calculateur!DW85*Calculateur!DY85*VLOOKUP('Données projet'!$B$14,Paramètres!$A$1:$I$89,3,0)*0.475*44/12</f>
        <v>6.1249357838227372</v>
      </c>
      <c r="EC85" s="21">
        <f>EXP(-LN(2)/2)*EC84+(1-EXP(-LN(2)/2))/(LN(2)/2)*DW85*DZ85*VLOOKUP('Données projet'!$B$14,Paramètres!$A$1:$I$89,3,0)*0.475*44/12</f>
        <v>2.2618045295911603E-7</v>
      </c>
      <c r="ED85" s="22">
        <f t="shared" si="72"/>
        <v>8.4836282187641352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1.1368683772161603E-13</v>
      </c>
      <c r="EK85" s="17">
        <f>EJ85*VLOOKUP('Données projet'!$B$15,Paramètres!$A$1:$I$89,3,0)*VLOOKUP('Données projet'!$B$15,Paramètres!$A$1:$I$89,5,0)</f>
        <v>5.4683368944097308E-14</v>
      </c>
      <c r="EL85" s="13">
        <f t="shared" si="99"/>
        <v>8.8129432816788268E-13</v>
      </c>
      <c r="EM85" s="20">
        <f t="shared" si="73"/>
        <v>1.6301611558033651E-12</v>
      </c>
      <c r="EN85" s="59">
        <f t="shared" si="74"/>
        <v>293.33333333333496</v>
      </c>
      <c r="EO85" s="59">
        <f ca="1">AVERAGE(OFFSET($EN$3,0,0,'Données projet'!$E$15+1,1))-AVERAGE(OFFSET($H$3,0,0,'Données projet'!$E$15+1,1))</f>
        <v>312.1172301514103</v>
      </c>
      <c r="EP85" s="59">
        <f t="shared" si="100"/>
        <v>369.85500533493212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0.9648999468770787</v>
      </c>
      <c r="EW85" s="21">
        <f>EXP(-LN(2)/25)*EW84+(1-EXP(-LN(2)/25))/(LN(2)/25)*Calculateur!ER85*Calculateur!ET85*VLOOKUP('Données projet'!$B$15,Paramètres!$A$1:$I$89,3,0)*0.475*44/12</f>
        <v>3.5570646844856078</v>
      </c>
      <c r="EX85" s="21">
        <f>EXP(-LN(2)/2)*EX84+(1-EXP(-LN(2)/2))/(LN(2)/2)*ER85*EU85*VLOOKUP('Données projet'!$B$15,Paramètres!$A$1:$I$89,3,0)*0.475*44/12</f>
        <v>4.7201773058381877E-7</v>
      </c>
      <c r="EY85" s="22">
        <f t="shared" si="75"/>
        <v>4.5219651033804169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-1.7053025658242404E-13</v>
      </c>
      <c r="FF85" s="17">
        <f>FE85*VLOOKUP('Données projet'!$B$16,Paramètres!$A$1:$I$89,3,0)*VLOOKUP('Données projet'!$B$16,Paramètres!$A$1:$I$89,5,0)</f>
        <v>-7.9808160080574461E-14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87.187251664304199</v>
      </c>
      <c r="FK85" s="59">
        <f t="shared" si="102"/>
        <v>148.84938257884147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1.9071726431424627</v>
      </c>
      <c r="FS85" s="21">
        <f>EXP(-LN(2)/2)*FS84+(1-EXP(-LN(2)/2))/(LN(2)/2)*FM85*FP85*VLOOKUP('Données projet'!$B$16,Paramètres!$A$1:$I$89,3,0)*0.475*44/12</f>
        <v>9.0657550942331538E-8</v>
      </c>
      <c r="FT85" s="22">
        <f t="shared" si="78"/>
        <v>1.9071727338000137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-1.1368683772161603E-13</v>
      </c>
      <c r="GA85" s="17">
        <f>FZ85*VLOOKUP('Données projet'!$B$17,Paramètres!$A$1:$I$89,3,0)*VLOOKUP('Données projet'!$B$17,Paramètres!$A$1:$I$89,5,0)</f>
        <v>-6.7984728957526396E-14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282.94722676586207</v>
      </c>
      <c r="GF85" s="59">
        <f t="shared" si="104"/>
        <v>310.63647941571298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2.5348468594812759</v>
      </c>
      <c r="GN85" s="21">
        <f>EXP(-LN(2)/2)*GN84+(1-EXP(-LN(2)/2))/(LN(2)/2)*GH85*GK85*VLOOKUP('Données projet'!$B$17,Paramètres!$A$1:$I$89,3,0)*0.475*44/12</f>
        <v>3.8203944261951819E-7</v>
      </c>
      <c r="GO85" s="21">
        <f t="shared" si="81"/>
        <v>2.5348472415207186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-1.1368683772161603E-13</v>
      </c>
      <c r="GV85" s="17">
        <f>GU85*VLOOKUP('Données projet'!$B$18,Paramètres!$A$1:$I$89,3,0)*VLOOKUP('Données projet'!$B$18,Paramètres!$A$1:$I$89,5,0)</f>
        <v>-6.7984728957526396E-14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255.54398581450459</v>
      </c>
      <c r="HA85" s="59">
        <f t="shared" si="106"/>
        <v>276.52622328061204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</v>
      </c>
      <c r="HH85" s="21">
        <f>EXP(-LN(2)/25)*HH84+(1-EXP(-LN(2)/25))/(LN(2)/25)*Calculateur!HC85*Calculateur!HE85*VLOOKUP('Données projet'!$B$18,Paramètres!$A$1:$I$89,3,0)*0.475*44/12</f>
        <v>1.264809066055494</v>
      </c>
      <c r="HI85" s="21">
        <f>EXP(-LN(2)/2)*HI84+(1-EXP(-LN(2)/2))/(LN(2)/2)*HC85*HF85*VLOOKUP('Données projet'!$B$18,Paramètres!$A$1:$I$89,3,0)*0.475*44/12</f>
        <v>2.2153681529055827E-7</v>
      </c>
      <c r="HJ85" s="22">
        <f t="shared" si="84"/>
        <v>1.2648092875923094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4.9658410716801891E-14</v>
      </c>
      <c r="P86" s="13">
        <f t="shared" si="87"/>
        <v>8.0934058173791862E-13</v>
      </c>
      <c r="Q86" s="20">
        <f t="shared" si="54"/>
        <v>1.4960899118586383E-12</v>
      </c>
      <c r="R86" s="59">
        <f t="shared" si="55"/>
        <v>293.33333333333479</v>
      </c>
      <c r="S86" s="59">
        <f ca="1">AVERAGE(OFFSET($R$3,0,0,'Données projet'!$E$9+1,1))-AVERAGE(OFFSET($H$3,0,0,'Données projet'!$E$9+1,1))</f>
        <v>248.50221719467663</v>
      </c>
      <c r="T86" s="59">
        <f t="shared" si="88"/>
        <v>366.09064580347183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2.7637437839166843</v>
      </c>
      <c r="AA86" s="21">
        <f>EXP(-LN(2)/25)*AA85+(1-EXP(-LN(2)/25))/(LN(2)/25)*Calculateur!V86*Calculateur!X86*VLOOKUP('Données projet'!$B$9,Paramètres!$A$1:$I$89,3,0)*0.475*44/12</f>
        <v>5.5372055760232994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8.3009493599399846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263.22346936777603</v>
      </c>
      <c r="AO86" s="59">
        <f t="shared" si="90"/>
        <v>217.14714468707939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1.6738799607198265</v>
      </c>
      <c r="AW86" s="21">
        <f>EXP(-LN(2)/2)*AW85+(1-EXP(-LN(2)/2))/(LN(2)/2)*AQ86*AT86*VLOOKUP('Données projet'!$B$10,Paramètres!$A$1:$I$89,3,0)*0.475*44/12</f>
        <v>1.8808832407667487E-7</v>
      </c>
      <c r="AX86" s="21">
        <f t="shared" si="60"/>
        <v>1.6738801488081505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4.4337866711430253E-14</v>
      </c>
      <c r="BF86" s="13">
        <f t="shared" si="91"/>
        <v>7.3222115536967035E-13</v>
      </c>
      <c r="BG86" s="20">
        <f t="shared" si="61"/>
        <v>1.3525069634579169E-12</v>
      </c>
      <c r="BH86" s="59">
        <f t="shared" si="62"/>
        <v>293.33333333333468</v>
      </c>
      <c r="BI86" s="59">
        <f ca="1">AVERAGE(OFFSET($BH$3,0,0,'Données projet'!$E$11+1,1))-AVERAGE(OFFSET($H$3,0,0,'Données projet'!$E$11+1,1))</f>
        <v>219.22204054948094</v>
      </c>
      <c r="BJ86" s="59">
        <f t="shared" si="92"/>
        <v>222.41711966122034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0.72133073567873773</v>
      </c>
      <c r="BR86" s="21">
        <f>EXP(-LN(2)/2)*BR85+(1-EXP(-LN(2)/2))/(LN(2)/2)*BL86*BO86*VLOOKUP('Données projet'!$B$11,Paramètres!$A$1:$I$89,3,0)*0.475*44/12</f>
        <v>3.445618068336435E-8</v>
      </c>
      <c r="BS86" s="22">
        <f t="shared" si="63"/>
        <v>0.72133077013491842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-3.979039320256561E-13</v>
      </c>
      <c r="BZ86" s="13">
        <f>BY86*VLOOKUP('Données projet'!$B$12,Paramètres!$A$1:$I$89,3,0)*VLOOKUP('Données projet'!$B$12,Paramètres!$A$1:$I$89,5,0)</f>
        <v>-3.41401573678013E-13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237.27357081252273</v>
      </c>
      <c r="CE86" s="59">
        <f t="shared" si="94"/>
        <v>68.768479693848576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-3.4106051316484809E-13</v>
      </c>
      <c r="CU86" s="17">
        <f>CT86*VLOOKUP('Données projet'!$B$13,Paramètres!$A$1:$I$89,3,0)*VLOOKUP('Données projet'!$B$13,Paramètres!$A$1:$I$89,5,0)</f>
        <v>-1.9065282685915009E-13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474.03051418249999</v>
      </c>
      <c r="CZ86" s="59">
        <f t="shared" si="96"/>
        <v>649.52271992719091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1.9132081849789484</v>
      </c>
      <c r="DG86" s="21">
        <f>EXP(-LN(2)/25)*DG85+(1-EXP(-LN(2)/25))/(LN(2)/25)*Calculateur!DB86*Calculateur!DD86*VLOOKUP('Données projet'!$B$13,Paramètres!$A$1:$I$89,3,0)*0.475*44/12</f>
        <v>5.5655413127017486</v>
      </c>
      <c r="DH86" s="21">
        <f>EXP(-LN(2)/2)*DH85+(1-EXP(-LN(2)/2))/(LN(2)/2)*DB86*DE86*VLOOKUP('Données projet'!$B$13,Paramètres!$A$1:$I$89,3,0)*0.475*44/12</f>
        <v>1.2327603425052973E-7</v>
      </c>
      <c r="DI86" s="22">
        <f t="shared" si="69"/>
        <v>7.478749620956731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-5.6843418860808015E-14</v>
      </c>
      <c r="DP86" s="17">
        <f>DO86*VLOOKUP('Données projet'!$B$14,Paramètres!$A$1:$I$89,3,0)*VLOOKUP('Données projet'!$B$14,Paramètres!$A$1:$I$89,5,0)</f>
        <v>-3.1036506698001178E-14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164.0740581424559</v>
      </c>
      <c r="DU86" s="59">
        <f t="shared" si="98"/>
        <v>280.99861170359793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2.3124396932073346</v>
      </c>
      <c r="EB86" s="21">
        <f>EXP(-LN(2)/25)*EB85+(1-EXP(-LN(2)/25))/(LN(2)/25)*Calculateur!DW86*Calculateur!DY86*VLOOKUP('Données projet'!$B$14,Paramètres!$A$1:$I$89,3,0)*0.475*44/12</f>
        <v>5.9574490927177299</v>
      </c>
      <c r="EC86" s="21">
        <f>EXP(-LN(2)/2)*EC85+(1-EXP(-LN(2)/2))/(LN(2)/2)*DW86*DZ86*VLOOKUP('Données projet'!$B$14,Paramètres!$A$1:$I$89,3,0)*0.475*44/12</f>
        <v>1.5993373205923586E-7</v>
      </c>
      <c r="ED86" s="22">
        <f t="shared" si="72"/>
        <v>8.2698889458587974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1.1368683772161603E-13</v>
      </c>
      <c r="EK86" s="17">
        <f>EJ86*VLOOKUP('Données projet'!$B$15,Paramètres!$A$1:$I$89,3,0)*VLOOKUP('Données projet'!$B$15,Paramètres!$A$1:$I$89,5,0)</f>
        <v>5.4683368944097308E-14</v>
      </c>
      <c r="EL86" s="13">
        <f t="shared" si="99"/>
        <v>8.8129432816788268E-13</v>
      </c>
      <c r="EM86" s="20">
        <f t="shared" si="73"/>
        <v>1.6301611558033651E-12</v>
      </c>
      <c r="EN86" s="59">
        <f t="shared" si="74"/>
        <v>293.33333333333496</v>
      </c>
      <c r="EO86" s="59">
        <f ca="1">AVERAGE(OFFSET($EN$3,0,0,'Données projet'!$E$15+1,1))-AVERAGE(OFFSET($H$3,0,0,'Données projet'!$E$15+1,1))</f>
        <v>312.1172301514103</v>
      </c>
      <c r="EP86" s="59">
        <f t="shared" si="100"/>
        <v>369.85500533493212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0.9459788474496742</v>
      </c>
      <c r="EW86" s="21">
        <f>EXP(-LN(2)/25)*EW85+(1-EXP(-LN(2)/25))/(LN(2)/25)*Calculateur!ER86*Calculateur!ET86*VLOOKUP('Données projet'!$B$15,Paramètres!$A$1:$I$89,3,0)*0.475*44/12</f>
        <v>3.4597965636304466</v>
      </c>
      <c r="EX86" s="21">
        <f>EXP(-LN(2)/2)*EX85+(1-EXP(-LN(2)/2))/(LN(2)/2)*ER86*EU86*VLOOKUP('Données projet'!$B$15,Paramètres!$A$1:$I$89,3,0)*0.475*44/12</f>
        <v>3.3376693813610312E-7</v>
      </c>
      <c r="EY86" s="22">
        <f t="shared" si="75"/>
        <v>4.4057757448470598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-1.7053025658242404E-13</v>
      </c>
      <c r="FF86" s="17">
        <f>FE86*VLOOKUP('Données projet'!$B$16,Paramètres!$A$1:$I$89,3,0)*VLOOKUP('Données projet'!$B$16,Paramètres!$A$1:$I$89,5,0)</f>
        <v>-7.9808160080574461E-14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87.187251664304199</v>
      </c>
      <c r="FK86" s="59">
        <f t="shared" si="102"/>
        <v>148.84938257884147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1.8550209069218817</v>
      </c>
      <c r="FS86" s="21">
        <f>EXP(-LN(2)/2)*FS85+(1-EXP(-LN(2)/2))/(LN(2)/2)*FM86*FP86*VLOOKUP('Données projet'!$B$16,Paramètres!$A$1:$I$89,3,0)*0.475*44/12</f>
        <v>6.4104569037087512E-8</v>
      </c>
      <c r="FT86" s="22">
        <f t="shared" si="78"/>
        <v>1.8550209710264507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-1.1368683772161603E-13</v>
      </c>
      <c r="GA86" s="17">
        <f>FZ86*VLOOKUP('Données projet'!$B$17,Paramètres!$A$1:$I$89,3,0)*VLOOKUP('Données projet'!$B$17,Paramètres!$A$1:$I$89,5,0)</f>
        <v>-6.7984728957526396E-14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282.94722676586207</v>
      </c>
      <c r="GF86" s="59">
        <f t="shared" si="104"/>
        <v>310.63647941571298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2.4655313388069575</v>
      </c>
      <c r="GN86" s="21">
        <f>EXP(-LN(2)/2)*GN85+(1-EXP(-LN(2)/2))/(LN(2)/2)*GH86*GK86*VLOOKUP('Données projet'!$B$17,Paramètres!$A$1:$I$89,3,0)*0.475*44/12</f>
        <v>2.7014268055699022E-7</v>
      </c>
      <c r="GO86" s="21">
        <f t="shared" si="81"/>
        <v>2.4655316089496382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-1.1368683772161603E-13</v>
      </c>
      <c r="GV86" s="17">
        <f>GU86*VLOOKUP('Données projet'!$B$18,Paramètres!$A$1:$I$89,3,0)*VLOOKUP('Données projet'!$B$18,Paramètres!$A$1:$I$89,5,0)</f>
        <v>-6.7984728957526396E-14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255.54398581450459</v>
      </c>
      <c r="HA86" s="59">
        <f t="shared" si="106"/>
        <v>276.52622328061204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</v>
      </c>
      <c r="HH86" s="21">
        <f>EXP(-LN(2)/25)*HH85+(1-EXP(-LN(2)/25))/(LN(2)/25)*Calculateur!HC86*Calculateur!HE86*VLOOKUP('Données projet'!$B$18,Paramètres!$A$1:$I$89,3,0)*0.475*44/12</f>
        <v>1.2302227956307885</v>
      </c>
      <c r="HI86" s="21">
        <f>EXP(-LN(2)/2)*HI85+(1-EXP(-LN(2)/2))/(LN(2)/2)*HC86*HF86*VLOOKUP('Données projet'!$B$18,Paramètres!$A$1:$I$89,3,0)*0.475*44/12</f>
        <v>1.5665018437442538E-7</v>
      </c>
      <c r="HJ86" s="22">
        <f t="shared" si="84"/>
        <v>1.2302229522809729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4.9658410716801891E-14</v>
      </c>
      <c r="P87" s="13">
        <f t="shared" si="87"/>
        <v>8.0934058173791862E-13</v>
      </c>
      <c r="Q87" s="20">
        <f t="shared" si="54"/>
        <v>1.4960899118586383E-12</v>
      </c>
      <c r="R87" s="59">
        <f t="shared" si="55"/>
        <v>293.33333333333479</v>
      </c>
      <c r="S87" s="59">
        <f ca="1">AVERAGE(OFFSET($R$3,0,0,'Données projet'!$E$9+1,1))-AVERAGE(OFFSET($H$3,0,0,'Données projet'!$E$9+1,1))</f>
        <v>248.50221719467663</v>
      </c>
      <c r="T87" s="59">
        <f t="shared" si="88"/>
        <v>366.09064580347183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2.7095484540313355</v>
      </c>
      <c r="AA87" s="21">
        <f>EXP(-LN(2)/25)*AA86+(1-EXP(-LN(2)/25))/(LN(2)/25)*Calculateur!V87*Calculateur!X87*VLOOKUP('Données projet'!$B$9,Paramètres!$A$1:$I$89,3,0)*0.475*44/12</f>
        <v>5.3857903983579565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8.0953388523892915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263.22346936777603</v>
      </c>
      <c r="AO87" s="59">
        <f t="shared" si="90"/>
        <v>217.14714468707939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1.6281076251684214</v>
      </c>
      <c r="AW87" s="21">
        <f>EXP(-LN(2)/2)*AW86+(1-EXP(-LN(2)/2))/(LN(2)/2)*AQ87*AT87*VLOOKUP('Données projet'!$B$10,Paramètres!$A$1:$I$89,3,0)*0.475*44/12</f>
        <v>1.3299852941662978E-7</v>
      </c>
      <c r="AX87" s="21">
        <f t="shared" si="60"/>
        <v>1.628107758166951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4.4337866711430253E-14</v>
      </c>
      <c r="BF87" s="13">
        <f t="shared" si="91"/>
        <v>7.3222115536967035E-13</v>
      </c>
      <c r="BG87" s="20">
        <f t="shared" si="61"/>
        <v>1.3525069634579169E-12</v>
      </c>
      <c r="BH87" s="59">
        <f t="shared" si="62"/>
        <v>293.33333333333468</v>
      </c>
      <c r="BI87" s="59">
        <f ca="1">AVERAGE(OFFSET($BH$3,0,0,'Données projet'!$E$11+1,1))-AVERAGE(OFFSET($H$3,0,0,'Données projet'!$E$11+1,1))</f>
        <v>219.22204054948094</v>
      </c>
      <c r="BJ87" s="59">
        <f t="shared" si="92"/>
        <v>222.41711966122034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0.70160590877846785</v>
      </c>
      <c r="BR87" s="21">
        <f>EXP(-LN(2)/2)*BR86+(1-EXP(-LN(2)/2))/(LN(2)/2)*BL87*BO87*VLOOKUP('Données projet'!$B$11,Paramètres!$A$1:$I$89,3,0)*0.475*44/12</f>
        <v>2.4364199014995861E-8</v>
      </c>
      <c r="BS87" s="22">
        <f t="shared" si="63"/>
        <v>0.70160593314266684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-3.979039320256561E-13</v>
      </c>
      <c r="BZ87" s="13">
        <f>BY87*VLOOKUP('Données projet'!$B$12,Paramètres!$A$1:$I$89,3,0)*VLOOKUP('Données projet'!$B$12,Paramètres!$A$1:$I$89,5,0)</f>
        <v>-3.41401573678013E-13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237.27357081252273</v>
      </c>
      <c r="CE87" s="59">
        <f t="shared" si="94"/>
        <v>68.768479693848576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-3.4106051316484809E-13</v>
      </c>
      <c r="CU87" s="17">
        <f>CT87*VLOOKUP('Données projet'!$B$13,Paramètres!$A$1:$I$89,3,0)*VLOOKUP('Données projet'!$B$13,Paramètres!$A$1:$I$89,5,0)</f>
        <v>-1.9065282685915009E-13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474.03051418249999</v>
      </c>
      <c r="CZ87" s="59">
        <f t="shared" si="96"/>
        <v>649.52271992719091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1.8756913394132781</v>
      </c>
      <c r="DG87" s="21">
        <f>EXP(-LN(2)/25)*DG86+(1-EXP(-LN(2)/25))/(LN(2)/25)*Calculateur!DB87*Calculateur!DD87*VLOOKUP('Données projet'!$B$13,Paramètres!$A$1:$I$89,3,0)*0.475*44/12</f>
        <v>5.4133512928268219</v>
      </c>
      <c r="DH87" s="21">
        <f>EXP(-LN(2)/2)*DH86+(1-EXP(-LN(2)/2))/(LN(2)/2)*DB87*DE87*VLOOKUP('Données projet'!$B$13,Paramètres!$A$1:$I$89,3,0)*0.475*44/12</f>
        <v>8.7169319776334664E-8</v>
      </c>
      <c r="DI87" s="22">
        <f t="shared" si="69"/>
        <v>7.2890427194094203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-5.6843418860808015E-14</v>
      </c>
      <c r="DP87" s="17">
        <f>DO87*VLOOKUP('Données projet'!$B$14,Paramètres!$A$1:$I$89,3,0)*VLOOKUP('Données projet'!$B$14,Paramètres!$A$1:$I$89,5,0)</f>
        <v>-3.1036506698001178E-14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164.0740581424559</v>
      </c>
      <c r="DU87" s="59">
        <f t="shared" si="98"/>
        <v>280.99861170359793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2.2670941612724813</v>
      </c>
      <c r="EB87" s="21">
        <f>EXP(-LN(2)/25)*EB86+(1-EXP(-LN(2)/25))/(LN(2)/25)*Calculateur!DW87*Calculateur!DY87*VLOOKUP('Données projet'!$B$14,Paramètres!$A$1:$I$89,3,0)*0.475*44/12</f>
        <v>5.7945423339887316</v>
      </c>
      <c r="EC87" s="21">
        <f>EXP(-LN(2)/2)*EC86+(1-EXP(-LN(2)/2))/(LN(2)/2)*DW87*DZ87*VLOOKUP('Données projet'!$B$14,Paramètres!$A$1:$I$89,3,0)*0.475*44/12</f>
        <v>1.1309022647955801E-7</v>
      </c>
      <c r="ED87" s="22">
        <f t="shared" si="72"/>
        <v>8.0616366083514404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1.1368683772161603E-13</v>
      </c>
      <c r="EK87" s="17">
        <f>EJ87*VLOOKUP('Données projet'!$B$15,Paramètres!$A$1:$I$89,3,0)*VLOOKUP('Données projet'!$B$15,Paramètres!$A$1:$I$89,5,0)</f>
        <v>5.4683368944097308E-14</v>
      </c>
      <c r="EL87" s="13">
        <f t="shared" si="99"/>
        <v>8.8129432816788268E-13</v>
      </c>
      <c r="EM87" s="20">
        <f t="shared" si="73"/>
        <v>1.6301611558033651E-12</v>
      </c>
      <c r="EN87" s="59">
        <f t="shared" si="74"/>
        <v>293.33333333333496</v>
      </c>
      <c r="EO87" s="59">
        <f ca="1">AVERAGE(OFFSET($EN$3,0,0,'Données projet'!$E$15+1,1))-AVERAGE(OFFSET($H$3,0,0,'Données projet'!$E$15+1,1))</f>
        <v>312.1172301514103</v>
      </c>
      <c r="EP87" s="59">
        <f t="shared" si="100"/>
        <v>369.85500533493212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0.92742877924130995</v>
      </c>
      <c r="EW87" s="21">
        <f>EXP(-LN(2)/25)*EW86+(1-EXP(-LN(2)/25))/(LN(2)/25)*Calculateur!ER87*Calculateur!ET87*VLOOKUP('Données projet'!$B$15,Paramètres!$A$1:$I$89,3,0)*0.475*44/12</f>
        <v>3.3651882446551782</v>
      </c>
      <c r="EX87" s="21">
        <f>EXP(-LN(2)/2)*EX86+(1-EXP(-LN(2)/2))/(LN(2)/2)*ER87*EU87*VLOOKUP('Données projet'!$B$15,Paramètres!$A$1:$I$89,3,0)*0.475*44/12</f>
        <v>2.3600886529190944E-7</v>
      </c>
      <c r="EY87" s="22">
        <f t="shared" si="75"/>
        <v>4.2926172599053531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-1.7053025658242404E-13</v>
      </c>
      <c r="FF87" s="17">
        <f>FE87*VLOOKUP('Données projet'!$B$16,Paramètres!$A$1:$I$89,3,0)*VLOOKUP('Données projet'!$B$16,Paramètres!$A$1:$I$89,5,0)</f>
        <v>-7.9808160080574461E-14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87.187251664304199</v>
      </c>
      <c r="FK87" s="59">
        <f t="shared" si="102"/>
        <v>148.84938257884147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1.8042952626707931</v>
      </c>
      <c r="FS87" s="21">
        <f>EXP(-LN(2)/2)*FS86+(1-EXP(-LN(2)/2))/(LN(2)/2)*FM87*FP87*VLOOKUP('Données projet'!$B$16,Paramètres!$A$1:$I$89,3,0)*0.475*44/12</f>
        <v>4.5328775471165769E-8</v>
      </c>
      <c r="FT87" s="22">
        <f t="shared" si="78"/>
        <v>1.8042953079995685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-1.1368683772161603E-13</v>
      </c>
      <c r="GA87" s="17">
        <f>FZ87*VLOOKUP('Données projet'!$B$17,Paramètres!$A$1:$I$89,3,0)*VLOOKUP('Données projet'!$B$17,Paramètres!$A$1:$I$89,5,0)</f>
        <v>-6.7984728957526396E-14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282.94722676586207</v>
      </c>
      <c r="GF87" s="59">
        <f t="shared" si="104"/>
        <v>310.63647941571298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2.3981112546906234</v>
      </c>
      <c r="GN87" s="21">
        <f>EXP(-LN(2)/2)*GN86+(1-EXP(-LN(2)/2))/(LN(2)/2)*GH87*GK87*VLOOKUP('Données projet'!$B$17,Paramètres!$A$1:$I$89,3,0)*0.475*44/12</f>
        <v>1.9101972130975909E-7</v>
      </c>
      <c r="GO87" s="21">
        <f t="shared" si="81"/>
        <v>2.3981114457103447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-1.1368683772161603E-13</v>
      </c>
      <c r="GV87" s="17">
        <f>GU87*VLOOKUP('Données projet'!$B$18,Paramètres!$A$1:$I$89,3,0)*VLOOKUP('Données projet'!$B$18,Paramètres!$A$1:$I$89,5,0)</f>
        <v>-6.7984728957526396E-14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255.54398581450459</v>
      </c>
      <c r="HA87" s="59">
        <f t="shared" si="106"/>
        <v>276.52622328061204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</v>
      </c>
      <c r="HH87" s="21">
        <f>EXP(-LN(2)/25)*HH86+(1-EXP(-LN(2)/25))/(LN(2)/25)*Calculateur!HC87*Calculateur!HE87*VLOOKUP('Données projet'!$B$18,Paramètres!$A$1:$I$89,3,0)*0.475*44/12</f>
        <v>1.1965822885896595</v>
      </c>
      <c r="HI87" s="21">
        <f>EXP(-LN(2)/2)*HI86+(1-EXP(-LN(2)/2))/(LN(2)/2)*HC87*HF87*VLOOKUP('Données projet'!$B$18,Paramètres!$A$1:$I$89,3,0)*0.475*44/12</f>
        <v>1.1076840764527913E-7</v>
      </c>
      <c r="HJ87" s="22">
        <f t="shared" si="84"/>
        <v>1.1965823993580671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4.9658410716801891E-14</v>
      </c>
      <c r="P88" s="13">
        <f t="shared" si="87"/>
        <v>8.0934058173791862E-13</v>
      </c>
      <c r="Q88" s="20">
        <f t="shared" si="54"/>
        <v>1.4960899118586383E-12</v>
      </c>
      <c r="R88" s="59">
        <f t="shared" si="55"/>
        <v>293.33333333333479</v>
      </c>
      <c r="S88" s="59">
        <f ca="1">AVERAGE(OFFSET($R$3,0,0,'Données projet'!$E$9+1,1))-AVERAGE(OFFSET($H$3,0,0,'Données projet'!$E$9+1,1))</f>
        <v>248.50221719467663</v>
      </c>
      <c r="T88" s="59">
        <f t="shared" si="88"/>
        <v>366.09064580347183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2.6564158615091511</v>
      </c>
      <c r="AA88" s="21">
        <f>EXP(-LN(2)/25)*AA87+(1-EXP(-LN(2)/25))/(LN(2)/25)*Calculateur!V88*Calculateur!X88*VLOOKUP('Données projet'!$B$9,Paramètres!$A$1:$I$89,3,0)*0.475*44/12</f>
        <v>5.2385156766884506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7.8949315381976017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263.22346936777603</v>
      </c>
      <c r="AO88" s="59">
        <f t="shared" si="90"/>
        <v>217.14714468707939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1.5835869365397321</v>
      </c>
      <c r="AW88" s="21">
        <f>EXP(-LN(2)/2)*AW87+(1-EXP(-LN(2)/2))/(LN(2)/2)*AQ88*AT88*VLOOKUP('Données projet'!$B$10,Paramètres!$A$1:$I$89,3,0)*0.475*44/12</f>
        <v>9.4044162038337436E-8</v>
      </c>
      <c r="AX88" s="21">
        <f t="shared" si="60"/>
        <v>1.5835870305838942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4.4337866711430253E-14</v>
      </c>
      <c r="BF88" s="13">
        <f t="shared" si="91"/>
        <v>7.3222115536967035E-13</v>
      </c>
      <c r="BG88" s="20">
        <f t="shared" si="61"/>
        <v>1.3525069634579169E-12</v>
      </c>
      <c r="BH88" s="59">
        <f t="shared" si="62"/>
        <v>293.33333333333468</v>
      </c>
      <c r="BI88" s="59">
        <f ca="1">AVERAGE(OFFSET($BH$3,0,0,'Données projet'!$E$11+1,1))-AVERAGE(OFFSET($H$3,0,0,'Données projet'!$E$11+1,1))</f>
        <v>219.22204054948094</v>
      </c>
      <c r="BJ88" s="59">
        <f t="shared" si="92"/>
        <v>222.41711966122034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0.68242045830706943</v>
      </c>
      <c r="BR88" s="21">
        <f>EXP(-LN(2)/2)*BR87+(1-EXP(-LN(2)/2))/(LN(2)/2)*BL88*BO88*VLOOKUP('Données projet'!$B$11,Paramètres!$A$1:$I$89,3,0)*0.475*44/12</f>
        <v>1.7228090341682175E-8</v>
      </c>
      <c r="BS88" s="22">
        <f t="shared" si="63"/>
        <v>0.68242047553515972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-3.979039320256561E-13</v>
      </c>
      <c r="BZ88" s="13">
        <f>BY88*VLOOKUP('Données projet'!$B$12,Paramètres!$A$1:$I$89,3,0)*VLOOKUP('Données projet'!$B$12,Paramètres!$A$1:$I$89,5,0)</f>
        <v>-3.41401573678013E-13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237.27357081252273</v>
      </c>
      <c r="CE88" s="59">
        <f t="shared" si="94"/>
        <v>68.768479693848576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-3.4106051316484809E-13</v>
      </c>
      <c r="CU88" s="17">
        <f>CT88*VLOOKUP('Données projet'!$B$13,Paramètres!$A$1:$I$89,3,0)*VLOOKUP('Données projet'!$B$13,Paramètres!$A$1:$I$89,5,0)</f>
        <v>-1.9065282685915009E-13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474.03051418249999</v>
      </c>
      <c r="CZ88" s="59">
        <f t="shared" si="96"/>
        <v>649.52271992719091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1.8389101763061344</v>
      </c>
      <c r="DG88" s="21">
        <f>EXP(-LN(2)/25)*DG87+(1-EXP(-LN(2)/25))/(LN(2)/25)*Calculateur!DB88*Calculateur!DD88*VLOOKUP('Données projet'!$B$13,Paramètres!$A$1:$I$89,3,0)*0.475*44/12</f>
        <v>5.2653229170487004</v>
      </c>
      <c r="DH88" s="21">
        <f>EXP(-LN(2)/2)*DH87+(1-EXP(-LN(2)/2))/(LN(2)/2)*DB88*DE88*VLOOKUP('Données projet'!$B$13,Paramètres!$A$1:$I$89,3,0)*0.475*44/12</f>
        <v>6.1638017125264865E-8</v>
      </c>
      <c r="DI88" s="22">
        <f t="shared" si="69"/>
        <v>7.1042331549928521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-5.6843418860808015E-14</v>
      </c>
      <c r="DP88" s="17">
        <f>DO88*VLOOKUP('Données projet'!$B$14,Paramètres!$A$1:$I$89,3,0)*VLOOKUP('Données projet'!$B$14,Paramètres!$A$1:$I$89,5,0)</f>
        <v>-3.1036506698001178E-14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164.0740581424559</v>
      </c>
      <c r="DU88" s="59">
        <f t="shared" si="98"/>
        <v>280.99861170359793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2.2226378275608272</v>
      </c>
      <c r="EB88" s="21">
        <f>EXP(-LN(2)/25)*EB87+(1-EXP(-LN(2)/25))/(LN(2)/25)*Calculateur!DW88*Calculateur!DY88*VLOOKUP('Données projet'!$B$14,Paramètres!$A$1:$I$89,3,0)*0.475*44/12</f>
        <v>5.6360902691440717</v>
      </c>
      <c r="EC88" s="21">
        <f>EXP(-LN(2)/2)*EC87+(1-EXP(-LN(2)/2))/(LN(2)/2)*DW88*DZ88*VLOOKUP('Données projet'!$B$14,Paramètres!$A$1:$I$89,3,0)*0.475*44/12</f>
        <v>7.9966866029617931E-8</v>
      </c>
      <c r="ED88" s="22">
        <f t="shared" si="72"/>
        <v>7.8587281766717654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1.1368683772161603E-13</v>
      </c>
      <c r="EK88" s="17">
        <f>EJ88*VLOOKUP('Données projet'!$B$15,Paramètres!$A$1:$I$89,3,0)*VLOOKUP('Données projet'!$B$15,Paramètres!$A$1:$I$89,5,0)</f>
        <v>5.4683368944097308E-14</v>
      </c>
      <c r="EL88" s="13">
        <f t="shared" si="99"/>
        <v>8.8129432816788268E-13</v>
      </c>
      <c r="EM88" s="20">
        <f t="shared" si="73"/>
        <v>1.6301611558033651E-12</v>
      </c>
      <c r="EN88" s="59">
        <f t="shared" si="74"/>
        <v>293.33333333333496</v>
      </c>
      <c r="EO88" s="59">
        <f ca="1">AVERAGE(OFFSET($EN$3,0,0,'Données projet'!$E$15+1,1))-AVERAGE(OFFSET($H$3,0,0,'Données projet'!$E$15+1,1))</f>
        <v>312.1172301514103</v>
      </c>
      <c r="EP88" s="59">
        <f t="shared" si="100"/>
        <v>369.85500533493212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0.90924246655608731</v>
      </c>
      <c r="EW88" s="21">
        <f>EXP(-LN(2)/25)*EW87+(1-EXP(-LN(2)/25))/(LN(2)/25)*Calculateur!ER88*Calculateur!ET88*VLOOKUP('Données projet'!$B$15,Paramètres!$A$1:$I$89,3,0)*0.475*44/12</f>
        <v>3.2731669951375237</v>
      </c>
      <c r="EX88" s="21">
        <f>EXP(-LN(2)/2)*EX87+(1-EXP(-LN(2)/2))/(LN(2)/2)*ER88*EU88*VLOOKUP('Données projet'!$B$15,Paramètres!$A$1:$I$89,3,0)*0.475*44/12</f>
        <v>1.6688346906805159E-7</v>
      </c>
      <c r="EY88" s="22">
        <f t="shared" si="75"/>
        <v>4.18240962857708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-1.7053025658242404E-13</v>
      </c>
      <c r="FF88" s="17">
        <f>FE88*VLOOKUP('Données projet'!$B$16,Paramètres!$A$1:$I$89,3,0)*VLOOKUP('Données projet'!$B$16,Paramètres!$A$1:$I$89,5,0)</f>
        <v>-7.9808160080574461E-14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87.187251664304199</v>
      </c>
      <c r="FK88" s="59">
        <f t="shared" si="102"/>
        <v>148.84938257884147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1.7549567138292961</v>
      </c>
      <c r="FS88" s="21">
        <f>EXP(-LN(2)/2)*FS87+(1-EXP(-LN(2)/2))/(LN(2)/2)*FM88*FP88*VLOOKUP('Données projet'!$B$16,Paramètres!$A$1:$I$89,3,0)*0.475*44/12</f>
        <v>3.2052284518543756E-8</v>
      </c>
      <c r="FT88" s="22">
        <f t="shared" si="78"/>
        <v>1.7549567458815807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-1.1368683772161603E-13</v>
      </c>
      <c r="GA88" s="17">
        <f>FZ88*VLOOKUP('Données projet'!$B$17,Paramètres!$A$1:$I$89,3,0)*VLOOKUP('Données projet'!$B$17,Paramètres!$A$1:$I$89,5,0)</f>
        <v>-6.7984728957526396E-14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282.94722676586207</v>
      </c>
      <c r="GF88" s="59">
        <f t="shared" si="104"/>
        <v>310.63647941571298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2.3325347763199185</v>
      </c>
      <c r="GN88" s="21">
        <f>EXP(-LN(2)/2)*GN87+(1-EXP(-LN(2)/2))/(LN(2)/2)*GH88*GK88*VLOOKUP('Données projet'!$B$17,Paramètres!$A$1:$I$89,3,0)*0.475*44/12</f>
        <v>1.3507134027849511E-7</v>
      </c>
      <c r="GO88" s="21">
        <f t="shared" si="81"/>
        <v>2.3325349113912588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-1.1368683772161603E-13</v>
      </c>
      <c r="GV88" s="17">
        <f>GU88*VLOOKUP('Données projet'!$B$18,Paramètres!$A$1:$I$89,3,0)*VLOOKUP('Données projet'!$B$18,Paramètres!$A$1:$I$89,5,0)</f>
        <v>-6.7984728957526396E-14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255.54398581450459</v>
      </c>
      <c r="HA88" s="59">
        <f t="shared" si="106"/>
        <v>276.52622328061204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</v>
      </c>
      <c r="HH88" s="21">
        <f>EXP(-LN(2)/25)*HH87+(1-EXP(-LN(2)/25))/(LN(2)/25)*Calculateur!HC88*Calculateur!HE88*VLOOKUP('Données projet'!$B$18,Paramètres!$A$1:$I$89,3,0)*0.475*44/12</f>
        <v>1.1638616829826476</v>
      </c>
      <c r="HI88" s="21">
        <f>EXP(-LN(2)/2)*HI87+(1-EXP(-LN(2)/2))/(LN(2)/2)*HC88*HF88*VLOOKUP('Données projet'!$B$18,Paramètres!$A$1:$I$89,3,0)*0.475*44/12</f>
        <v>7.8325092187212689E-8</v>
      </c>
      <c r="HJ88" s="22">
        <f t="shared" si="84"/>
        <v>1.1638617613077398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4.9658410716801891E-14</v>
      </c>
      <c r="P89" s="13">
        <f t="shared" si="87"/>
        <v>8.0934058173791862E-13</v>
      </c>
      <c r="Q89" s="20">
        <f t="shared" si="54"/>
        <v>1.4960899118586383E-12</v>
      </c>
      <c r="R89" s="59">
        <f t="shared" si="55"/>
        <v>293.33333333333479</v>
      </c>
      <c r="S89" s="59">
        <f ca="1">AVERAGE(OFFSET($R$3,0,0,'Données projet'!$E$9+1,1))-AVERAGE(OFFSET($H$3,0,0,'Données projet'!$E$9+1,1))</f>
        <v>248.50221719467663</v>
      </c>
      <c r="T89" s="59">
        <f t="shared" si="88"/>
        <v>366.09064580347183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2.6043251667186453</v>
      </c>
      <c r="AA89" s="21">
        <f>EXP(-LN(2)/25)*AA88+(1-EXP(-LN(2)/25))/(LN(2)/25)*Calculateur!V89*Calculateur!X89*VLOOKUP('Données projet'!$B$9,Paramètres!$A$1:$I$89,3,0)*0.475*44/12</f>
        <v>5.0952681900278387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7.699593356746484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263.22346936777603</v>
      </c>
      <c r="AO89" s="59">
        <f t="shared" si="90"/>
        <v>217.14714468707939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1.5402836684828356</v>
      </c>
      <c r="AW89" s="21">
        <f>EXP(-LN(2)/2)*AW88+(1-EXP(-LN(2)/2))/(LN(2)/2)*AQ89*AT89*VLOOKUP('Données projet'!$B$10,Paramètres!$A$1:$I$89,3,0)*0.475*44/12</f>
        <v>6.6499264708314888E-8</v>
      </c>
      <c r="AX89" s="21">
        <f t="shared" si="60"/>
        <v>1.5402837349821004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4.4337866711430253E-14</v>
      </c>
      <c r="BF89" s="13">
        <f t="shared" si="91"/>
        <v>7.3222115536967035E-13</v>
      </c>
      <c r="BG89" s="20">
        <f t="shared" si="61"/>
        <v>1.3525069634579169E-12</v>
      </c>
      <c r="BH89" s="59">
        <f t="shared" si="62"/>
        <v>293.33333333333468</v>
      </c>
      <c r="BI89" s="59">
        <f ca="1">AVERAGE(OFFSET($BH$3,0,0,'Données projet'!$E$11+1,1))-AVERAGE(OFFSET($H$3,0,0,'Données projet'!$E$11+1,1))</f>
        <v>219.22204054948094</v>
      </c>
      <c r="BJ89" s="59">
        <f t="shared" si="92"/>
        <v>222.41711966122034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0.66375963498773038</v>
      </c>
      <c r="BR89" s="21">
        <f>EXP(-LN(2)/2)*BR88+(1-EXP(-LN(2)/2))/(LN(2)/2)*BL89*BO89*VLOOKUP('Données projet'!$B$11,Paramètres!$A$1:$I$89,3,0)*0.475*44/12</f>
        <v>1.218209950749793E-8</v>
      </c>
      <c r="BS89" s="22">
        <f t="shared" si="63"/>
        <v>0.66375964716982994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-3.979039320256561E-13</v>
      </c>
      <c r="BZ89" s="13">
        <f>BY89*VLOOKUP('Données projet'!$B$12,Paramètres!$A$1:$I$89,3,0)*VLOOKUP('Données projet'!$B$12,Paramètres!$A$1:$I$89,5,0)</f>
        <v>-3.41401573678013E-13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237.27357081252273</v>
      </c>
      <c r="CE89" s="59">
        <f t="shared" si="94"/>
        <v>68.768479693848576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-3.4106051316484809E-13</v>
      </c>
      <c r="CU89" s="17">
        <f>CT89*VLOOKUP('Données projet'!$B$13,Paramètres!$A$1:$I$89,3,0)*VLOOKUP('Données projet'!$B$13,Paramètres!$A$1:$I$89,5,0)</f>
        <v>-1.9065282685915009E-13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474.03051418249999</v>
      </c>
      <c r="CZ89" s="59">
        <f t="shared" si="96"/>
        <v>649.52271992719091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1.8028502693732273</v>
      </c>
      <c r="DG89" s="21">
        <f>EXP(-LN(2)/25)*DG88+(1-EXP(-LN(2)/25))/(LN(2)/25)*Calculateur!DB89*Calculateur!DD89*VLOOKUP('Données projet'!$B$13,Paramètres!$A$1:$I$89,3,0)*0.475*44/12</f>
        <v>5.1213423849907054</v>
      </c>
      <c r="DH89" s="21">
        <f>EXP(-LN(2)/2)*DH88+(1-EXP(-LN(2)/2))/(LN(2)/2)*DB89*DE89*VLOOKUP('Données projet'!$B$13,Paramètres!$A$1:$I$89,3,0)*0.475*44/12</f>
        <v>4.3584659888167332E-8</v>
      </c>
      <c r="DI89" s="22">
        <f t="shared" si="69"/>
        <v>6.9241926979485928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-5.6843418860808015E-14</v>
      </c>
      <c r="DP89" s="17">
        <f>DO89*VLOOKUP('Données projet'!$B$14,Paramètres!$A$1:$I$89,3,0)*VLOOKUP('Données projet'!$B$14,Paramètres!$A$1:$I$89,5,0)</f>
        <v>-3.1036506698001178E-14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164.0740581424559</v>
      </c>
      <c r="DU89" s="59">
        <f t="shared" si="98"/>
        <v>280.99861170359793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2.1790532554375726</v>
      </c>
      <c r="EB89" s="21">
        <f>EXP(-LN(2)/25)*EB88+(1-EXP(-LN(2)/25))/(LN(2)/25)*Calculateur!DW89*Calculateur!DY89*VLOOKUP('Données projet'!$B$14,Paramètres!$A$1:$I$89,3,0)*0.475*44/12</f>
        <v>5.4819710843452212</v>
      </c>
      <c r="EC89" s="21">
        <f>EXP(-LN(2)/2)*EC88+(1-EXP(-LN(2)/2))/(LN(2)/2)*DW89*DZ89*VLOOKUP('Données projet'!$B$14,Paramètres!$A$1:$I$89,3,0)*0.475*44/12</f>
        <v>5.6545113239779007E-8</v>
      </c>
      <c r="ED89" s="22">
        <f t="shared" si="72"/>
        <v>7.6610243963279068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1.1368683772161603E-13</v>
      </c>
      <c r="EK89" s="17">
        <f>EJ89*VLOOKUP('Données projet'!$B$15,Paramètres!$A$1:$I$89,3,0)*VLOOKUP('Données projet'!$B$15,Paramètres!$A$1:$I$89,5,0)</f>
        <v>5.4683368944097308E-14</v>
      </c>
      <c r="EL89" s="13">
        <f t="shared" si="99"/>
        <v>8.8129432816788268E-13</v>
      </c>
      <c r="EM89" s="20">
        <f t="shared" si="73"/>
        <v>1.6301611558033651E-12</v>
      </c>
      <c r="EN89" s="59">
        <f t="shared" si="74"/>
        <v>293.33333333333496</v>
      </c>
      <c r="EO89" s="59">
        <f ca="1">AVERAGE(OFFSET($EN$3,0,0,'Données projet'!$E$15+1,1))-AVERAGE(OFFSET($H$3,0,0,'Données projet'!$E$15+1,1))</f>
        <v>312.1172301514103</v>
      </c>
      <c r="EP89" s="59">
        <f t="shared" si="100"/>
        <v>369.85500533493212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0.89141277637006655</v>
      </c>
      <c r="EW89" s="21">
        <f>EXP(-LN(2)/25)*EW88+(1-EXP(-LN(2)/25))/(LN(2)/25)*Calculateur!ER89*Calculateur!ET89*VLOOKUP('Données projet'!$B$15,Paramètres!$A$1:$I$89,3,0)*0.475*44/12</f>
        <v>3.1836620715271167</v>
      </c>
      <c r="EX89" s="21">
        <f>EXP(-LN(2)/2)*EX88+(1-EXP(-LN(2)/2))/(LN(2)/2)*ER89*EU89*VLOOKUP('Données projet'!$B$15,Paramètres!$A$1:$I$89,3,0)*0.475*44/12</f>
        <v>1.1800443264595473E-7</v>
      </c>
      <c r="EY89" s="22">
        <f t="shared" si="75"/>
        <v>4.0750749659016163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-1.7053025658242404E-13</v>
      </c>
      <c r="FF89" s="17">
        <f>FE89*VLOOKUP('Données projet'!$B$16,Paramètres!$A$1:$I$89,3,0)*VLOOKUP('Données projet'!$B$16,Paramètres!$A$1:$I$89,5,0)</f>
        <v>-7.9808160080574461E-14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87.187251664304199</v>
      </c>
      <c r="FK89" s="59">
        <f t="shared" si="102"/>
        <v>148.84938257884147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1.7069673302004713</v>
      </c>
      <c r="FS89" s="21">
        <f>EXP(-LN(2)/2)*FS88+(1-EXP(-LN(2)/2))/(LN(2)/2)*FM89*FP89*VLOOKUP('Données projet'!$B$16,Paramètres!$A$1:$I$89,3,0)*0.475*44/12</f>
        <v>2.2664387735582884E-8</v>
      </c>
      <c r="FT89" s="22">
        <f t="shared" si="78"/>
        <v>1.706967352864859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-1.1368683772161603E-13</v>
      </c>
      <c r="GA89" s="17">
        <f>FZ89*VLOOKUP('Données projet'!$B$17,Paramètres!$A$1:$I$89,3,0)*VLOOKUP('Données projet'!$B$17,Paramètres!$A$1:$I$89,5,0)</f>
        <v>-6.7984728957526396E-14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282.94722676586207</v>
      </c>
      <c r="GF89" s="59">
        <f t="shared" si="104"/>
        <v>310.63647941571298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2.2687514901987775</v>
      </c>
      <c r="GN89" s="21">
        <f>EXP(-LN(2)/2)*GN88+(1-EXP(-LN(2)/2))/(LN(2)/2)*GH89*GK89*VLOOKUP('Données projet'!$B$17,Paramètres!$A$1:$I$89,3,0)*0.475*44/12</f>
        <v>9.5509860654879547E-8</v>
      </c>
      <c r="GO89" s="21">
        <f t="shared" si="81"/>
        <v>2.268751585708638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-1.1368683772161603E-13</v>
      </c>
      <c r="GV89" s="17">
        <f>GU89*VLOOKUP('Données projet'!$B$18,Paramètres!$A$1:$I$89,3,0)*VLOOKUP('Données projet'!$B$18,Paramètres!$A$1:$I$89,5,0)</f>
        <v>-6.7984728957526396E-14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255.54398581450459</v>
      </c>
      <c r="HA89" s="59">
        <f t="shared" si="106"/>
        <v>276.52622328061204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</v>
      </c>
      <c r="HH89" s="21">
        <f>EXP(-LN(2)/25)*HH88+(1-EXP(-LN(2)/25))/(LN(2)/25)*Calculateur!HC89*Calculateur!HE89*VLOOKUP('Données projet'!$B$18,Paramètres!$A$1:$I$89,3,0)*0.475*44/12</f>
        <v>1.1320358240566613</v>
      </c>
      <c r="HI89" s="21">
        <f>EXP(-LN(2)/2)*HI88+(1-EXP(-LN(2)/2))/(LN(2)/2)*HC89*HF89*VLOOKUP('Données projet'!$B$18,Paramètres!$A$1:$I$89,3,0)*0.475*44/12</f>
        <v>5.5384203822639566E-8</v>
      </c>
      <c r="HJ89" s="22">
        <f t="shared" si="84"/>
        <v>1.1320358794408651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4.9658410716801891E-14</v>
      </c>
      <c r="P90" s="13">
        <f t="shared" si="87"/>
        <v>8.0934058173791862E-13</v>
      </c>
      <c r="Q90" s="20">
        <f t="shared" si="54"/>
        <v>1.4960899118586383E-12</v>
      </c>
      <c r="R90" s="59">
        <f t="shared" si="55"/>
        <v>293.33333333333479</v>
      </c>
      <c r="S90" s="59">
        <f ca="1">AVERAGE(OFFSET($R$3,0,0,'Données projet'!$E$9+1,1))-AVERAGE(OFFSET($H$3,0,0,'Données projet'!$E$9+1,1))</f>
        <v>248.50221719467663</v>
      </c>
      <c r="T90" s="59">
        <f t="shared" si="88"/>
        <v>366.09064580347183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2.5532559386807949</v>
      </c>
      <c r="AA90" s="21">
        <f>EXP(-LN(2)/25)*AA89+(1-EXP(-LN(2)/25))/(LN(2)/25)*Calculateur!V90*Calculateur!X90*VLOOKUP('Données projet'!$B$9,Paramètres!$A$1:$I$89,3,0)*0.475*44/12</f>
        <v>4.9559378134230183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7.5091937521038137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263.22346936777603</v>
      </c>
      <c r="AO90" s="59">
        <f t="shared" si="90"/>
        <v>217.14714468707939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1.4981645305681748</v>
      </c>
      <c r="AW90" s="21">
        <f>EXP(-LN(2)/2)*AW89+(1-EXP(-LN(2)/2))/(LN(2)/2)*AQ90*AT90*VLOOKUP('Données projet'!$B$10,Paramètres!$A$1:$I$89,3,0)*0.475*44/12</f>
        <v>4.7022081019168718E-8</v>
      </c>
      <c r="AX90" s="21">
        <f t="shared" si="60"/>
        <v>1.4981645775902559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4.4337866711430253E-14</v>
      </c>
      <c r="BF90" s="13">
        <f t="shared" si="91"/>
        <v>7.3222115536967035E-13</v>
      </c>
      <c r="BG90" s="20">
        <f t="shared" si="61"/>
        <v>1.3525069634579169E-12</v>
      </c>
      <c r="BH90" s="59">
        <f t="shared" si="62"/>
        <v>293.33333333333468</v>
      </c>
      <c r="BI90" s="59">
        <f ca="1">AVERAGE(OFFSET($BH$3,0,0,'Données projet'!$E$11+1,1))-AVERAGE(OFFSET($H$3,0,0,'Données projet'!$E$11+1,1))</f>
        <v>219.22204054948094</v>
      </c>
      <c r="BJ90" s="59">
        <f t="shared" si="92"/>
        <v>222.41711966122034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0.64560909286338874</v>
      </c>
      <c r="BR90" s="21">
        <f>EXP(-LN(2)/2)*BR89+(1-EXP(-LN(2)/2))/(LN(2)/2)*BL90*BO90*VLOOKUP('Données projet'!$B$11,Paramètres!$A$1:$I$89,3,0)*0.475*44/12</f>
        <v>8.6140451708410874E-9</v>
      </c>
      <c r="BS90" s="22">
        <f t="shared" si="63"/>
        <v>0.64560910147743389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-3.979039320256561E-13</v>
      </c>
      <c r="BZ90" s="13">
        <f>BY90*VLOOKUP('Données projet'!$B$12,Paramètres!$A$1:$I$89,3,0)*VLOOKUP('Données projet'!$B$12,Paramètres!$A$1:$I$89,5,0)</f>
        <v>-3.41401573678013E-13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237.27357081252273</v>
      </c>
      <c r="CE90" s="59">
        <f t="shared" si="94"/>
        <v>68.768479693848576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-3.4106051316484809E-13</v>
      </c>
      <c r="CU90" s="17">
        <f>CT90*VLOOKUP('Données projet'!$B$13,Paramètres!$A$1:$I$89,3,0)*VLOOKUP('Données projet'!$B$13,Paramètres!$A$1:$I$89,5,0)</f>
        <v>-1.9065282685915009E-13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474.03051418249999</v>
      </c>
      <c r="CZ90" s="59">
        <f t="shared" si="96"/>
        <v>649.52271992719091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1.7674974752209032</v>
      </c>
      <c r="DG90" s="21">
        <f>EXP(-LN(2)/25)*DG89+(1-EXP(-LN(2)/25))/(LN(2)/25)*Calculateur!DB90*Calculateur!DD90*VLOOKUP('Données projet'!$B$13,Paramètres!$A$1:$I$89,3,0)*0.475*44/12</f>
        <v>4.9812990081534432</v>
      </c>
      <c r="DH90" s="21">
        <f>EXP(-LN(2)/2)*DH89+(1-EXP(-LN(2)/2))/(LN(2)/2)*DB90*DE90*VLOOKUP('Données projet'!$B$13,Paramètres!$A$1:$I$89,3,0)*0.475*44/12</f>
        <v>3.0819008562632432E-8</v>
      </c>
      <c r="DI90" s="22">
        <f t="shared" si="69"/>
        <v>6.748796514193355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-5.6843418860808015E-14</v>
      </c>
      <c r="DP90" s="17">
        <f>DO90*VLOOKUP('Données projet'!$B$14,Paramètres!$A$1:$I$89,3,0)*VLOOKUP('Données projet'!$B$14,Paramètres!$A$1:$I$89,5,0)</f>
        <v>-3.1036506698001178E-14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164.0740581424559</v>
      </c>
      <c r="DU90" s="59">
        <f t="shared" si="98"/>
        <v>280.99861170359793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2.1363233501896906</v>
      </c>
      <c r="EB90" s="21">
        <f>EXP(-LN(2)/25)*EB89+(1-EXP(-LN(2)/25))/(LN(2)/25)*Calculateur!DW90*Calculateur!DY90*VLOOKUP('Données projet'!$B$14,Paramètres!$A$1:$I$89,3,0)*0.475*44/12</f>
        <v>5.3320662967594714</v>
      </c>
      <c r="EC90" s="21">
        <f>EXP(-LN(2)/2)*EC89+(1-EXP(-LN(2)/2))/(LN(2)/2)*DW90*DZ90*VLOOKUP('Données projet'!$B$14,Paramètres!$A$1:$I$89,3,0)*0.475*44/12</f>
        <v>3.9983433014808965E-8</v>
      </c>
      <c r="ED90" s="22">
        <f t="shared" si="72"/>
        <v>7.4683896869325954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1.1368683772161603E-13</v>
      </c>
      <c r="EK90" s="17">
        <f>EJ90*VLOOKUP('Données projet'!$B$15,Paramètres!$A$1:$I$89,3,0)*VLOOKUP('Données projet'!$B$15,Paramètres!$A$1:$I$89,5,0)</f>
        <v>5.4683368944097308E-14</v>
      </c>
      <c r="EL90" s="13">
        <f t="shared" si="99"/>
        <v>8.8129432816788268E-13</v>
      </c>
      <c r="EM90" s="20">
        <f t="shared" si="73"/>
        <v>1.6301611558033651E-12</v>
      </c>
      <c r="EN90" s="59">
        <f t="shared" si="74"/>
        <v>293.33333333333496</v>
      </c>
      <c r="EO90" s="59">
        <f ca="1">AVERAGE(OFFSET($EN$3,0,0,'Données projet'!$E$15+1,1))-AVERAGE(OFFSET($H$3,0,0,'Données projet'!$E$15+1,1))</f>
        <v>312.1172301514103</v>
      </c>
      <c r="EP90" s="59">
        <f t="shared" si="100"/>
        <v>369.85500533493212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0.87393271553355645</v>
      </c>
      <c r="EW90" s="21">
        <f>EXP(-LN(2)/25)*EW89+(1-EXP(-LN(2)/25))/(LN(2)/25)*Calculateur!ER90*Calculateur!ET90*VLOOKUP('Données projet'!$B$15,Paramètres!$A$1:$I$89,3,0)*0.475*44/12</f>
        <v>3.0966046647596959</v>
      </c>
      <c r="EX90" s="21">
        <f>EXP(-LN(2)/2)*EX89+(1-EXP(-LN(2)/2))/(LN(2)/2)*ER90*EU90*VLOOKUP('Données projet'!$B$15,Paramètres!$A$1:$I$89,3,0)*0.475*44/12</f>
        <v>8.3441734534025807E-8</v>
      </c>
      <c r="EY90" s="22">
        <f t="shared" si="75"/>
        <v>3.9705374637349866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-1.7053025658242404E-13</v>
      </c>
      <c r="FF90" s="17">
        <f>FE90*VLOOKUP('Données projet'!$B$16,Paramètres!$A$1:$I$89,3,0)*VLOOKUP('Données projet'!$B$16,Paramètres!$A$1:$I$89,5,0)</f>
        <v>-7.9808160080574461E-14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87.187251664304199</v>
      </c>
      <c r="FK90" s="59">
        <f t="shared" si="102"/>
        <v>148.84938257884147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1.6602902187906288</v>
      </c>
      <c r="FS90" s="21">
        <f>EXP(-LN(2)/2)*FS89+(1-EXP(-LN(2)/2))/(LN(2)/2)*FM90*FP90*VLOOKUP('Données projet'!$B$16,Paramètres!$A$1:$I$89,3,0)*0.475*44/12</f>
        <v>1.6026142259271878E-8</v>
      </c>
      <c r="FT90" s="22">
        <f t="shared" si="78"/>
        <v>1.660290234816771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-1.1368683772161603E-13</v>
      </c>
      <c r="GA90" s="17">
        <f>FZ90*VLOOKUP('Données projet'!$B$17,Paramètres!$A$1:$I$89,3,0)*VLOOKUP('Données projet'!$B$17,Paramètres!$A$1:$I$89,5,0)</f>
        <v>-6.7984728957526396E-14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282.94722676586207</v>
      </c>
      <c r="GF90" s="59">
        <f t="shared" si="104"/>
        <v>310.63647941571298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2.2067123613908364</v>
      </c>
      <c r="GN90" s="21">
        <f>EXP(-LN(2)/2)*GN89+(1-EXP(-LN(2)/2))/(LN(2)/2)*GH90*GK90*VLOOKUP('Données projet'!$B$17,Paramètres!$A$1:$I$89,3,0)*0.475*44/12</f>
        <v>6.7535670139247555E-8</v>
      </c>
      <c r="GO90" s="21">
        <f t="shared" si="81"/>
        <v>2.2067124289265063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-1.1368683772161603E-13</v>
      </c>
      <c r="GV90" s="17">
        <f>GU90*VLOOKUP('Données projet'!$B$18,Paramètres!$A$1:$I$89,3,0)*VLOOKUP('Données projet'!$B$18,Paramètres!$A$1:$I$89,5,0)</f>
        <v>-6.7984728957526396E-14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255.54398581450459</v>
      </c>
      <c r="HA90" s="59">
        <f t="shared" si="106"/>
        <v>276.52622328061204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</v>
      </c>
      <c r="HH90" s="21">
        <f>EXP(-LN(2)/25)*HH89+(1-EXP(-LN(2)/25))/(LN(2)/25)*Calculateur!HC90*Calculateur!HE90*VLOOKUP('Données projet'!$B$18,Paramètres!$A$1:$I$89,3,0)*0.475*44/12</f>
        <v>1.1010802449166552</v>
      </c>
      <c r="HI90" s="21">
        <f>EXP(-LN(2)/2)*HI89+(1-EXP(-LN(2)/2))/(LN(2)/2)*HC90*HF90*VLOOKUP('Données projet'!$B$18,Paramètres!$A$1:$I$89,3,0)*0.475*44/12</f>
        <v>3.9162546093606344E-8</v>
      </c>
      <c r="HJ90" s="22">
        <f t="shared" si="84"/>
        <v>1.1010802840792013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4.9658410716801891E-14</v>
      </c>
      <c r="P91" s="13">
        <f t="shared" si="87"/>
        <v>8.0934058173791862E-13</v>
      </c>
      <c r="Q91" s="20">
        <f t="shared" si="54"/>
        <v>1.4960899118586383E-12</v>
      </c>
      <c r="R91" s="59">
        <f t="shared" si="55"/>
        <v>293.33333333333479</v>
      </c>
      <c r="S91" s="59">
        <f ca="1">AVERAGE(OFFSET($R$3,0,0,'Données projet'!$E$9+1,1))-AVERAGE(OFFSET($H$3,0,0,'Données projet'!$E$9+1,1))</f>
        <v>248.50221719467663</v>
      </c>
      <c r="T91" s="59">
        <f t="shared" si="88"/>
        <v>366.09064580347183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2.5031881470556132</v>
      </c>
      <c r="AA91" s="21">
        <f>EXP(-LN(2)/25)*AA90+(1-EXP(-LN(2)/25))/(LN(2)/25)*Calculateur!V91*Calculateur!X91*VLOOKUP('Données projet'!$B$9,Paramètres!$A$1:$I$89,3,0)*0.475*44/12</f>
        <v>4.8204174332935228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7.3236055803491364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263.22346936777603</v>
      </c>
      <c r="AO91" s="59">
        <f t="shared" si="90"/>
        <v>217.14714468707939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1.4571971426947394</v>
      </c>
      <c r="AW91" s="21">
        <f>EXP(-LN(2)/2)*AW90+(1-EXP(-LN(2)/2))/(LN(2)/2)*AQ91*AT91*VLOOKUP('Données projet'!$B$10,Paramètres!$A$1:$I$89,3,0)*0.475*44/12</f>
        <v>3.3249632354157444E-8</v>
      </c>
      <c r="AX91" s="21">
        <f t="shared" si="60"/>
        <v>1.4571971759443718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4.4337866711430253E-14</v>
      </c>
      <c r="BF91" s="13">
        <f t="shared" si="91"/>
        <v>7.3222115536967035E-13</v>
      </c>
      <c r="BG91" s="20">
        <f t="shared" si="61"/>
        <v>1.3525069634579169E-12</v>
      </c>
      <c r="BH91" s="59">
        <f t="shared" si="62"/>
        <v>293.33333333333468</v>
      </c>
      <c r="BI91" s="59">
        <f ca="1">AVERAGE(OFFSET($BH$3,0,0,'Données projet'!$E$11+1,1))-AVERAGE(OFFSET($H$3,0,0,'Données projet'!$E$11+1,1))</f>
        <v>219.22204054948094</v>
      </c>
      <c r="BJ91" s="59">
        <f t="shared" si="92"/>
        <v>222.41711966122034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0.62795487826793273</v>
      </c>
      <c r="BR91" s="21">
        <f>EXP(-LN(2)/2)*BR90+(1-EXP(-LN(2)/2))/(LN(2)/2)*BL91*BO91*VLOOKUP('Données projet'!$B$11,Paramètres!$A$1:$I$89,3,0)*0.475*44/12</f>
        <v>6.0910497537489652E-9</v>
      </c>
      <c r="BS91" s="22">
        <f t="shared" si="63"/>
        <v>0.6279548843589825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-3.979039320256561E-13</v>
      </c>
      <c r="BZ91" s="13">
        <f>BY91*VLOOKUP('Données projet'!$B$12,Paramètres!$A$1:$I$89,3,0)*VLOOKUP('Données projet'!$B$12,Paramètres!$A$1:$I$89,5,0)</f>
        <v>-3.41401573678013E-13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237.27357081252273</v>
      </c>
      <c r="CE91" s="59">
        <f t="shared" si="94"/>
        <v>68.768479693848576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-3.4106051316484809E-13</v>
      </c>
      <c r="CU91" s="17">
        <f>CT91*VLOOKUP('Données projet'!$B$13,Paramètres!$A$1:$I$89,3,0)*VLOOKUP('Données projet'!$B$13,Paramètres!$A$1:$I$89,5,0)</f>
        <v>-1.9065282685915009E-13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474.03051418249999</v>
      </c>
      <c r="CZ91" s="59">
        <f t="shared" si="96"/>
        <v>649.52271992719091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1.7328379277988308</v>
      </c>
      <c r="DG91" s="21">
        <f>EXP(-LN(2)/25)*DG90+(1-EXP(-LN(2)/25))/(LN(2)/25)*Calculateur!DB91*Calculateur!DD91*VLOOKUP('Données projet'!$B$13,Paramètres!$A$1:$I$89,3,0)*0.475*44/12</f>
        <v>4.8450851248203577</v>
      </c>
      <c r="DH91" s="21">
        <f>EXP(-LN(2)/2)*DH90+(1-EXP(-LN(2)/2))/(LN(2)/2)*DB91*DE91*VLOOKUP('Données projet'!$B$13,Paramètres!$A$1:$I$89,3,0)*0.475*44/12</f>
        <v>2.1792329944083666E-8</v>
      </c>
      <c r="DI91" s="22">
        <f t="shared" si="69"/>
        <v>6.577923074411518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-5.6843418860808015E-14</v>
      </c>
      <c r="DP91" s="17">
        <f>DO91*VLOOKUP('Données projet'!$B$14,Paramètres!$A$1:$I$89,3,0)*VLOOKUP('Données projet'!$B$14,Paramètres!$A$1:$I$89,5,0)</f>
        <v>-3.1036506698001178E-14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164.0740581424559</v>
      </c>
      <c r="DU91" s="59">
        <f t="shared" si="98"/>
        <v>280.99861170359793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2.0944313523210512</v>
      </c>
      <c r="EB91" s="21">
        <f>EXP(-LN(2)/25)*EB90+(1-EXP(-LN(2)/25))/(LN(2)/25)*Calculateur!DW91*Calculateur!DY91*VLOOKUP('Données projet'!$B$14,Paramètres!$A$1:$I$89,3,0)*0.475*44/12</f>
        <v>5.1862606634734041</v>
      </c>
      <c r="EC91" s="21">
        <f>EXP(-LN(2)/2)*EC90+(1-EXP(-LN(2)/2))/(LN(2)/2)*DW91*DZ91*VLOOKUP('Données projet'!$B$14,Paramètres!$A$1:$I$89,3,0)*0.475*44/12</f>
        <v>2.8272556619889504E-8</v>
      </c>
      <c r="ED91" s="22">
        <f t="shared" si="72"/>
        <v>7.2806920440670124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1.1368683772161603E-13</v>
      </c>
      <c r="EK91" s="17">
        <f>EJ91*VLOOKUP('Données projet'!$B$15,Paramètres!$A$1:$I$89,3,0)*VLOOKUP('Données projet'!$B$15,Paramètres!$A$1:$I$89,5,0)</f>
        <v>5.4683368944097308E-14</v>
      </c>
      <c r="EL91" s="13">
        <f t="shared" si="99"/>
        <v>8.8129432816788268E-13</v>
      </c>
      <c r="EM91" s="20">
        <f t="shared" si="73"/>
        <v>1.6301611558033651E-12</v>
      </c>
      <c r="EN91" s="59">
        <f t="shared" si="74"/>
        <v>293.33333333333496</v>
      </c>
      <c r="EO91" s="59">
        <f ca="1">AVERAGE(OFFSET($EN$3,0,0,'Données projet'!$E$15+1,1))-AVERAGE(OFFSET($H$3,0,0,'Données projet'!$E$15+1,1))</f>
        <v>312.1172301514103</v>
      </c>
      <c r="EP91" s="59">
        <f t="shared" si="100"/>
        <v>369.85500533493212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0.85679542802826592</v>
      </c>
      <c r="EW91" s="21">
        <f>EXP(-LN(2)/25)*EW90+(1-EXP(-LN(2)/25))/(LN(2)/25)*Calculateur!ER91*Calculateur!ET91*VLOOKUP('Données projet'!$B$15,Paramètres!$A$1:$I$89,3,0)*0.475*44/12</f>
        <v>3.0119278473584798</v>
      </c>
      <c r="EX91" s="21">
        <f>EXP(-LN(2)/2)*EX90+(1-EXP(-LN(2)/2))/(LN(2)/2)*ER91*EU91*VLOOKUP('Données projet'!$B$15,Paramètres!$A$1:$I$89,3,0)*0.475*44/12</f>
        <v>5.9002216322977379E-8</v>
      </c>
      <c r="EY91" s="22">
        <f t="shared" si="75"/>
        <v>3.868723334388962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-1.7053025658242404E-13</v>
      </c>
      <c r="FF91" s="17">
        <f>FE91*VLOOKUP('Données projet'!$B$16,Paramètres!$A$1:$I$89,3,0)*VLOOKUP('Données projet'!$B$16,Paramètres!$A$1:$I$89,5,0)</f>
        <v>-7.9808160080574461E-14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87.187251664304199</v>
      </c>
      <c r="FK91" s="59">
        <f t="shared" si="102"/>
        <v>148.84938257884147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1.6148894954469311</v>
      </c>
      <c r="FS91" s="21">
        <f>EXP(-LN(2)/2)*FS90+(1-EXP(-LN(2)/2))/(LN(2)/2)*FM91*FP91*VLOOKUP('Données projet'!$B$16,Paramètres!$A$1:$I$89,3,0)*0.475*44/12</f>
        <v>1.1332193867791442E-8</v>
      </c>
      <c r="FT91" s="22">
        <f t="shared" si="78"/>
        <v>1.6148895067791249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-1.1368683772161603E-13</v>
      </c>
      <c r="GA91" s="17">
        <f>FZ91*VLOOKUP('Données projet'!$B$17,Paramètres!$A$1:$I$89,3,0)*VLOOKUP('Données projet'!$B$17,Paramètres!$A$1:$I$89,5,0)</f>
        <v>-6.7984728957526396E-14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282.94722676586207</v>
      </c>
      <c r="GF91" s="59">
        <f t="shared" si="104"/>
        <v>310.63647941571298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2.1463696958226444</v>
      </c>
      <c r="GN91" s="21">
        <f>EXP(-LN(2)/2)*GN90+(1-EXP(-LN(2)/2))/(LN(2)/2)*GH91*GK91*VLOOKUP('Données projet'!$B$17,Paramètres!$A$1:$I$89,3,0)*0.475*44/12</f>
        <v>4.7754930327439774E-8</v>
      </c>
      <c r="GO91" s="21">
        <f t="shared" si="81"/>
        <v>2.1463697435775746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-1.1368683772161603E-13</v>
      </c>
      <c r="GV91" s="17">
        <f>GU91*VLOOKUP('Données projet'!$B$18,Paramètres!$A$1:$I$89,3,0)*VLOOKUP('Données projet'!$B$18,Paramètres!$A$1:$I$89,5,0)</f>
        <v>-6.7984728957526396E-14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255.54398581450459</v>
      </c>
      <c r="HA91" s="59">
        <f t="shared" si="106"/>
        <v>276.52622328061204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</v>
      </c>
      <c r="HH91" s="21">
        <f>EXP(-LN(2)/25)*HH90+(1-EXP(-LN(2)/25))/(LN(2)/25)*Calculateur!HC91*Calculateur!HE91*VLOOKUP('Données projet'!$B$18,Paramètres!$A$1:$I$89,3,0)*0.475*44/12</f>
        <v>1.0709711477161157</v>
      </c>
      <c r="HI91" s="21">
        <f>EXP(-LN(2)/2)*HI90+(1-EXP(-LN(2)/2))/(LN(2)/2)*HC91*HF91*VLOOKUP('Données projet'!$B$18,Paramètres!$A$1:$I$89,3,0)*0.475*44/12</f>
        <v>2.7692101911319783E-8</v>
      </c>
      <c r="HJ91" s="22">
        <f t="shared" si="84"/>
        <v>1.0709711754082176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4.9658410716801891E-14</v>
      </c>
      <c r="P92" s="13">
        <f t="shared" si="87"/>
        <v>8.0934058173791862E-13</v>
      </c>
      <c r="Q92" s="20">
        <f t="shared" si="54"/>
        <v>1.4960899118586383E-12</v>
      </c>
      <c r="R92" s="59">
        <f t="shared" si="55"/>
        <v>293.33333333333479</v>
      </c>
      <c r="S92" s="59">
        <f ca="1">AVERAGE(OFFSET($R$3,0,0,'Données projet'!$E$9+1,1))-AVERAGE(OFFSET($H$3,0,0,'Données projet'!$E$9+1,1))</f>
        <v>248.50221719467663</v>
      </c>
      <c r="T92" s="59">
        <f t="shared" si="88"/>
        <v>366.09064580347183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2.4541021542858639</v>
      </c>
      <c r="AA92" s="21">
        <f>EXP(-LN(2)/25)*AA91+(1-EXP(-LN(2)/25))/(LN(2)/25)*Calculateur!V92*Calculateur!X92*VLOOKUP('Données projet'!$B$9,Paramètres!$A$1:$I$89,3,0)*0.475*44/12</f>
        <v>4.6886028650853762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7.14270501937124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263.22346936777603</v>
      </c>
      <c r="AO92" s="59">
        <f t="shared" si="90"/>
        <v>217.14714468707939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1.4173500101970846</v>
      </c>
      <c r="AW92" s="21">
        <f>EXP(-LN(2)/2)*AW91+(1-EXP(-LN(2)/2))/(LN(2)/2)*AQ92*AT92*VLOOKUP('Données projet'!$B$10,Paramètres!$A$1:$I$89,3,0)*0.475*44/12</f>
        <v>2.3511040509584359E-8</v>
      </c>
      <c r="AX92" s="21">
        <f t="shared" si="60"/>
        <v>1.4173500337081251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4.4337866711430253E-14</v>
      </c>
      <c r="BF92" s="13">
        <f t="shared" si="91"/>
        <v>7.3222115536967035E-13</v>
      </c>
      <c r="BG92" s="20">
        <f t="shared" si="61"/>
        <v>1.3525069634579169E-12</v>
      </c>
      <c r="BH92" s="59">
        <f t="shared" si="62"/>
        <v>293.33333333333468</v>
      </c>
      <c r="BI92" s="59">
        <f ca="1">AVERAGE(OFFSET($BH$3,0,0,'Données projet'!$E$11+1,1))-AVERAGE(OFFSET($H$3,0,0,'Données projet'!$E$11+1,1))</f>
        <v>219.22204054948094</v>
      </c>
      <c r="BJ92" s="59">
        <f t="shared" si="92"/>
        <v>222.41711966122034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0.61078341909898426</v>
      </c>
      <c r="BR92" s="21">
        <f>EXP(-LN(2)/2)*BR91+(1-EXP(-LN(2)/2))/(LN(2)/2)*BL92*BO92*VLOOKUP('Données projet'!$B$11,Paramètres!$A$1:$I$89,3,0)*0.475*44/12</f>
        <v>4.3070225854205437E-9</v>
      </c>
      <c r="BS92" s="22">
        <f t="shared" si="63"/>
        <v>0.61078342340600689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-3.979039320256561E-13</v>
      </c>
      <c r="BZ92" s="13">
        <f>BY92*VLOOKUP('Données projet'!$B$12,Paramètres!$A$1:$I$89,3,0)*VLOOKUP('Données projet'!$B$12,Paramètres!$A$1:$I$89,5,0)</f>
        <v>-3.41401573678013E-13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237.27357081252273</v>
      </c>
      <c r="CE92" s="59">
        <f t="shared" si="94"/>
        <v>68.768479693848576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-3.4106051316484809E-13</v>
      </c>
      <c r="CU92" s="17">
        <f>CT92*VLOOKUP('Données projet'!$B$13,Paramètres!$A$1:$I$89,3,0)*VLOOKUP('Données projet'!$B$13,Paramètres!$A$1:$I$89,5,0)</f>
        <v>-1.9065282685915009E-13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474.03051418249999</v>
      </c>
      <c r="CZ92" s="59">
        <f t="shared" si="96"/>
        <v>649.52271992719091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1.6988580329614689</v>
      </c>
      <c r="DG92" s="21">
        <f>EXP(-LN(2)/25)*DG91+(1-EXP(-LN(2)/25))/(LN(2)/25)*Calculateur!DB92*Calculateur!DD92*VLOOKUP('Données projet'!$B$13,Paramètres!$A$1:$I$89,3,0)*0.475*44/12</f>
        <v>4.712596017290192</v>
      </c>
      <c r="DH92" s="21">
        <f>EXP(-LN(2)/2)*DH91+(1-EXP(-LN(2)/2))/(LN(2)/2)*DB92*DE92*VLOOKUP('Données projet'!$B$13,Paramètres!$A$1:$I$89,3,0)*0.475*44/12</f>
        <v>1.5409504281316216E-8</v>
      </c>
      <c r="DI92" s="22">
        <f t="shared" si="69"/>
        <v>6.4114540656611645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-5.6843418860808015E-14</v>
      </c>
      <c r="DP92" s="17">
        <f>DO92*VLOOKUP('Données projet'!$B$14,Paramètres!$A$1:$I$89,3,0)*VLOOKUP('Données projet'!$B$14,Paramètres!$A$1:$I$89,5,0)</f>
        <v>-3.1036506698001178E-14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164.0740581424559</v>
      </c>
      <c r="DU92" s="59">
        <f t="shared" si="98"/>
        <v>280.99861170359793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2.0533608309790199</v>
      </c>
      <c r="EB92" s="21">
        <f>EXP(-LN(2)/25)*EB91+(1-EXP(-LN(2)/25))/(LN(2)/25)*Calculateur!DW92*Calculateur!DY92*VLOOKUP('Données projet'!$B$14,Paramètres!$A$1:$I$89,3,0)*0.475*44/12</f>
        <v>5.0444420928971292</v>
      </c>
      <c r="EC92" s="21">
        <f>EXP(-LN(2)/2)*EC91+(1-EXP(-LN(2)/2))/(LN(2)/2)*DW92*DZ92*VLOOKUP('Données projet'!$B$14,Paramètres!$A$1:$I$89,3,0)*0.475*44/12</f>
        <v>1.9991716507404483E-8</v>
      </c>
      <c r="ED92" s="22">
        <f t="shared" si="72"/>
        <v>7.0978029438678654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1.1368683772161603E-13</v>
      </c>
      <c r="EK92" s="17">
        <f>EJ92*VLOOKUP('Données projet'!$B$15,Paramètres!$A$1:$I$89,3,0)*VLOOKUP('Données projet'!$B$15,Paramètres!$A$1:$I$89,5,0)</f>
        <v>5.4683368944097308E-14</v>
      </c>
      <c r="EL92" s="13">
        <f t="shared" si="99"/>
        <v>8.8129432816788268E-13</v>
      </c>
      <c r="EM92" s="20">
        <f t="shared" si="73"/>
        <v>1.6301611558033651E-12</v>
      </c>
      <c r="EN92" s="59">
        <f t="shared" si="74"/>
        <v>293.33333333333496</v>
      </c>
      <c r="EO92" s="59">
        <f ca="1">AVERAGE(OFFSET($EN$3,0,0,'Données projet'!$E$15+1,1))-AVERAGE(OFFSET($H$3,0,0,'Données projet'!$E$15+1,1))</f>
        <v>312.1172301514103</v>
      </c>
      <c r="EP92" s="59">
        <f t="shared" si="100"/>
        <v>369.85500533493212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0.8399941922782409</v>
      </c>
      <c r="EW92" s="21">
        <f>EXP(-LN(2)/25)*EW91+(1-EXP(-LN(2)/25))/(LN(2)/25)*Calculateur!ER92*Calculateur!ET92*VLOOKUP('Données projet'!$B$15,Paramètres!$A$1:$I$89,3,0)*0.475*44/12</f>
        <v>2.9295665219820606</v>
      </c>
      <c r="EX92" s="21">
        <f>EXP(-LN(2)/2)*EX91+(1-EXP(-LN(2)/2))/(LN(2)/2)*ER92*EU92*VLOOKUP('Données projet'!$B$15,Paramètres!$A$1:$I$89,3,0)*0.475*44/12</f>
        <v>4.172086726701291E-8</v>
      </c>
      <c r="EY92" s="22">
        <f t="shared" si="75"/>
        <v>3.7695607559811686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-1.7053025658242404E-13</v>
      </c>
      <c r="FF92" s="17">
        <f>FE92*VLOOKUP('Données projet'!$B$16,Paramètres!$A$1:$I$89,3,0)*VLOOKUP('Données projet'!$B$16,Paramètres!$A$1:$I$89,5,0)</f>
        <v>-7.9808160080574461E-14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87.187251664304199</v>
      </c>
      <c r="FK92" s="59">
        <f t="shared" si="102"/>
        <v>148.84938257884147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1.570730257270587</v>
      </c>
      <c r="FS92" s="21">
        <f>EXP(-LN(2)/2)*FS91+(1-EXP(-LN(2)/2))/(LN(2)/2)*FM92*FP92*VLOOKUP('Données projet'!$B$16,Paramètres!$A$1:$I$89,3,0)*0.475*44/12</f>
        <v>8.013071129635939E-9</v>
      </c>
      <c r="FT92" s="22">
        <f t="shared" si="78"/>
        <v>1.5707302652836581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-1.1368683772161603E-13</v>
      </c>
      <c r="GA92" s="17">
        <f>FZ92*VLOOKUP('Données projet'!$B$17,Paramètres!$A$1:$I$89,3,0)*VLOOKUP('Données projet'!$B$17,Paramètres!$A$1:$I$89,5,0)</f>
        <v>-6.7984728957526396E-14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282.94722676586207</v>
      </c>
      <c r="GF92" s="59">
        <f t="shared" si="104"/>
        <v>310.63647941571298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2.0876771036176973</v>
      </c>
      <c r="GN92" s="21">
        <f>EXP(-LN(2)/2)*GN91+(1-EXP(-LN(2)/2))/(LN(2)/2)*GH92*GK92*VLOOKUP('Données projet'!$B$17,Paramètres!$A$1:$I$89,3,0)*0.475*44/12</f>
        <v>3.3767835069623778E-8</v>
      </c>
      <c r="GO92" s="21">
        <f t="shared" si="81"/>
        <v>2.0876771373855325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-1.1368683772161603E-13</v>
      </c>
      <c r="GV92" s="17">
        <f>GU92*VLOOKUP('Données projet'!$B$18,Paramètres!$A$1:$I$89,3,0)*VLOOKUP('Données projet'!$B$18,Paramètres!$A$1:$I$89,5,0)</f>
        <v>-6.7984728957526396E-14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255.54398581450459</v>
      </c>
      <c r="HA92" s="59">
        <f t="shared" si="106"/>
        <v>276.52622328061204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</v>
      </c>
      <c r="HH92" s="21">
        <f>EXP(-LN(2)/25)*HH91+(1-EXP(-LN(2)/25))/(LN(2)/25)*Calculateur!HC92*Calculateur!HE92*VLOOKUP('Données projet'!$B$18,Paramètres!$A$1:$I$89,3,0)*0.475*44/12</f>
        <v>1.0416853853618935</v>
      </c>
      <c r="HI92" s="21">
        <f>EXP(-LN(2)/2)*HI91+(1-EXP(-LN(2)/2))/(LN(2)/2)*HC92*HF92*VLOOKUP('Données projet'!$B$18,Paramètres!$A$1:$I$89,3,0)*0.475*44/12</f>
        <v>1.9581273046803172E-8</v>
      </c>
      <c r="HJ92" s="22">
        <f t="shared" si="84"/>
        <v>1.0416854049431665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4.9658410716801891E-14</v>
      </c>
      <c r="P93" s="13">
        <f t="shared" si="87"/>
        <v>8.0934058173791862E-13</v>
      </c>
      <c r="Q93" s="20">
        <f t="shared" si="54"/>
        <v>1.4960899118586383E-12</v>
      </c>
      <c r="R93" s="59">
        <f t="shared" si="55"/>
        <v>293.33333333333479</v>
      </c>
      <c r="S93" s="59">
        <f ca="1">AVERAGE(OFFSET($R$3,0,0,'Données projet'!$E$9+1,1))-AVERAGE(OFFSET($H$3,0,0,'Données projet'!$E$9+1,1))</f>
        <v>248.50221719467663</v>
      </c>
      <c r="T93" s="59">
        <f t="shared" si="88"/>
        <v>366.09064580347183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2.40597870789483</v>
      </c>
      <c r="AA93" s="21">
        <f>EXP(-LN(2)/25)*AA92+(1-EXP(-LN(2)/25))/(LN(2)/25)*Calculateur!V93*Calculateur!X93*VLOOKUP('Données projet'!$B$9,Paramètres!$A$1:$I$89,3,0)*0.475*44/12</f>
        <v>4.5603927731767078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6.9663714810715378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263.22346936777603</v>
      </c>
      <c r="AO93" s="59">
        <f t="shared" si="90"/>
        <v>217.14714468707939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1.3785924996330476</v>
      </c>
      <c r="AW93" s="21">
        <f>EXP(-LN(2)/2)*AW92+(1-EXP(-LN(2)/2))/(LN(2)/2)*AQ93*AT93*VLOOKUP('Données projet'!$B$10,Paramètres!$A$1:$I$89,3,0)*0.475*44/12</f>
        <v>1.6624816177078722E-8</v>
      </c>
      <c r="AX93" s="21">
        <f t="shared" si="60"/>
        <v>1.3785925162578638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4.4337866711430253E-14</v>
      </c>
      <c r="BF93" s="13">
        <f t="shared" si="91"/>
        <v>7.3222115536967035E-13</v>
      </c>
      <c r="BG93" s="20">
        <f t="shared" si="61"/>
        <v>1.3525069634579169E-12</v>
      </c>
      <c r="BH93" s="59">
        <f t="shared" si="62"/>
        <v>293.33333333333468</v>
      </c>
      <c r="BI93" s="59">
        <f ca="1">AVERAGE(OFFSET($BH$3,0,0,'Données projet'!$E$11+1,1))-AVERAGE(OFFSET($H$3,0,0,'Données projet'!$E$11+1,1))</f>
        <v>219.22204054948094</v>
      </c>
      <c r="BJ93" s="59">
        <f t="shared" si="92"/>
        <v>222.41711966122034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0.59408151438401846</v>
      </c>
      <c r="BR93" s="21">
        <f>EXP(-LN(2)/2)*BR92+(1-EXP(-LN(2)/2))/(LN(2)/2)*BL93*BO93*VLOOKUP('Données projet'!$B$11,Paramètres!$A$1:$I$89,3,0)*0.475*44/12</f>
        <v>3.0455248768744826E-9</v>
      </c>
      <c r="BS93" s="22">
        <f t="shared" si="63"/>
        <v>0.59408151742954329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-3.979039320256561E-13</v>
      </c>
      <c r="BZ93" s="13">
        <f>BY93*VLOOKUP('Données projet'!$B$12,Paramètres!$A$1:$I$89,3,0)*VLOOKUP('Données projet'!$B$12,Paramètres!$A$1:$I$89,5,0)</f>
        <v>-3.41401573678013E-13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237.27357081252273</v>
      </c>
      <c r="CE93" s="59">
        <f t="shared" si="94"/>
        <v>68.768479693848576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-3.4106051316484809E-13</v>
      </c>
      <c r="CU93" s="17">
        <f>CT93*VLOOKUP('Données projet'!$B$13,Paramètres!$A$1:$I$89,3,0)*VLOOKUP('Données projet'!$B$13,Paramètres!$A$1:$I$89,5,0)</f>
        <v>-1.9065282685915009E-13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474.03051418249999</v>
      </c>
      <c r="CZ93" s="59">
        <f t="shared" si="96"/>
        <v>649.52271992719091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1.6655444631361782</v>
      </c>
      <c r="DG93" s="21">
        <f>EXP(-LN(2)/25)*DG92+(1-EXP(-LN(2)/25))/(LN(2)/25)*Calculateur!DB93*Calculateur!DD93*VLOOKUP('Données projet'!$B$13,Paramètres!$A$1:$I$89,3,0)*0.475*44/12</f>
        <v>4.5837298313727377</v>
      </c>
      <c r="DH93" s="21">
        <f>EXP(-LN(2)/2)*DH92+(1-EXP(-LN(2)/2))/(LN(2)/2)*DB93*DE93*VLOOKUP('Données projet'!$B$13,Paramètres!$A$1:$I$89,3,0)*0.475*44/12</f>
        <v>1.0896164972041833E-8</v>
      </c>
      <c r="DI93" s="22">
        <f t="shared" si="69"/>
        <v>6.2492743054050806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-5.6843418860808015E-14</v>
      </c>
      <c r="DP93" s="17">
        <f>DO93*VLOOKUP('Données projet'!$B$14,Paramètres!$A$1:$I$89,3,0)*VLOOKUP('Données projet'!$B$14,Paramètres!$A$1:$I$89,5,0)</f>
        <v>-3.1036506698001178E-14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164.0740581424559</v>
      </c>
      <c r="DU93" s="59">
        <f t="shared" si="98"/>
        <v>280.99861170359793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2.0130956775099613</v>
      </c>
      <c r="EB93" s="21">
        <f>EXP(-LN(2)/25)*EB92+(1-EXP(-LN(2)/25))/(LN(2)/25)*Calculateur!DW93*Calculateur!DY93*VLOOKUP('Données projet'!$B$14,Paramètres!$A$1:$I$89,3,0)*0.475*44/12</f>
        <v>4.9065015585911764</v>
      </c>
      <c r="EC93" s="21">
        <f>EXP(-LN(2)/2)*EC92+(1-EXP(-LN(2)/2))/(LN(2)/2)*DW93*DZ93*VLOOKUP('Données projet'!$B$14,Paramètres!$A$1:$I$89,3,0)*0.475*44/12</f>
        <v>1.4136278309944752E-8</v>
      </c>
      <c r="ED93" s="22">
        <f t="shared" si="72"/>
        <v>6.9195972502374161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1.1368683772161603E-13</v>
      </c>
      <c r="EK93" s="17">
        <f>EJ93*VLOOKUP('Données projet'!$B$15,Paramètres!$A$1:$I$89,3,0)*VLOOKUP('Données projet'!$B$15,Paramètres!$A$1:$I$89,5,0)</f>
        <v>5.4683368944097308E-14</v>
      </c>
      <c r="EL93" s="13">
        <f t="shared" si="99"/>
        <v>8.8129432816788268E-13</v>
      </c>
      <c r="EM93" s="20">
        <f t="shared" si="73"/>
        <v>1.6301611558033651E-12</v>
      </c>
      <c r="EN93" s="59">
        <f t="shared" si="74"/>
        <v>293.33333333333496</v>
      </c>
      <c r="EO93" s="59">
        <f ca="1">AVERAGE(OFFSET($EN$3,0,0,'Données projet'!$E$15+1,1))-AVERAGE(OFFSET($H$3,0,0,'Données projet'!$E$15+1,1))</f>
        <v>312.1172301514103</v>
      </c>
      <c r="EP93" s="59">
        <f t="shared" si="100"/>
        <v>369.85500533493212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0.82352241851353192</v>
      </c>
      <c r="EW93" s="21">
        <f>EXP(-LN(2)/25)*EW92+(1-EXP(-LN(2)/25))/(LN(2)/25)*Calculateur!ER93*Calculateur!ET93*VLOOKUP('Données projet'!$B$15,Paramètres!$A$1:$I$89,3,0)*0.475*44/12</f>
        <v>2.8494573713792533</v>
      </c>
      <c r="EX93" s="21">
        <f>EXP(-LN(2)/2)*EX92+(1-EXP(-LN(2)/2))/(LN(2)/2)*ER93*EU93*VLOOKUP('Données projet'!$B$15,Paramètres!$A$1:$I$89,3,0)*0.475*44/12</f>
        <v>2.9501108161488693E-8</v>
      </c>
      <c r="EY93" s="22">
        <f t="shared" si="75"/>
        <v>3.6729798193938934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-1.7053025658242404E-13</v>
      </c>
      <c r="FF93" s="17">
        <f>FE93*VLOOKUP('Données projet'!$B$16,Paramètres!$A$1:$I$89,3,0)*VLOOKUP('Données projet'!$B$16,Paramètres!$A$1:$I$89,5,0)</f>
        <v>-7.9808160080574461E-14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87.187251664304199</v>
      </c>
      <c r="FK93" s="59">
        <f t="shared" si="102"/>
        <v>148.84938257884147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1.5277785557844086</v>
      </c>
      <c r="FS93" s="21">
        <f>EXP(-LN(2)/2)*FS92+(1-EXP(-LN(2)/2))/(LN(2)/2)*FM93*FP93*VLOOKUP('Données projet'!$B$16,Paramètres!$A$1:$I$89,3,0)*0.475*44/12</f>
        <v>5.6660969338957211E-9</v>
      </c>
      <c r="FT93" s="22">
        <f t="shared" si="78"/>
        <v>1.5277785614505055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-1.1368683772161603E-13</v>
      </c>
      <c r="GA93" s="17">
        <f>FZ93*VLOOKUP('Données projet'!$B$17,Paramètres!$A$1:$I$89,3,0)*VLOOKUP('Données projet'!$B$17,Paramètres!$A$1:$I$89,5,0)</f>
        <v>-6.7984728957526396E-14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282.94722676586207</v>
      </c>
      <c r="GF93" s="59">
        <f t="shared" si="104"/>
        <v>310.63647941571298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2.0305894634331039</v>
      </c>
      <c r="GN93" s="21">
        <f>EXP(-LN(2)/2)*GN92+(1-EXP(-LN(2)/2))/(LN(2)/2)*GH93*GK93*VLOOKUP('Données projet'!$B$17,Paramètres!$A$1:$I$89,3,0)*0.475*44/12</f>
        <v>2.3877465163719887E-8</v>
      </c>
      <c r="GO93" s="21">
        <f t="shared" si="81"/>
        <v>2.0305894873105692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-1.1368683772161603E-13</v>
      </c>
      <c r="GV93" s="17">
        <f>GU93*VLOOKUP('Données projet'!$B$18,Paramètres!$A$1:$I$89,3,0)*VLOOKUP('Données projet'!$B$18,Paramètres!$A$1:$I$89,5,0)</f>
        <v>-6.7984728957526396E-14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255.54398581450459</v>
      </c>
      <c r="HA93" s="59">
        <f t="shared" si="106"/>
        <v>276.52622328061204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</v>
      </c>
      <c r="HH93" s="21">
        <f>EXP(-LN(2)/25)*HH92+(1-EXP(-LN(2)/25))/(LN(2)/25)*Calculateur!HC93*Calculateur!HE93*VLOOKUP('Données projet'!$B$18,Paramètres!$A$1:$I$89,3,0)*0.475*44/12</f>
        <v>1.0132004437193189</v>
      </c>
      <c r="HI93" s="21">
        <f>EXP(-LN(2)/2)*HI92+(1-EXP(-LN(2)/2))/(LN(2)/2)*HC93*HF93*VLOOKUP('Données projet'!$B$18,Paramètres!$A$1:$I$89,3,0)*0.475*44/12</f>
        <v>1.3846050955659892E-8</v>
      </c>
      <c r="HJ93" s="22">
        <f t="shared" si="84"/>
        <v>1.0132004575653699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4.9658410716801891E-14</v>
      </c>
      <c r="P94" s="13">
        <f t="shared" si="87"/>
        <v>8.0934058173791862E-13</v>
      </c>
      <c r="Q94" s="20">
        <f t="shared" si="54"/>
        <v>1.4960899118586383E-12</v>
      </c>
      <c r="R94" s="59">
        <f t="shared" si="55"/>
        <v>293.33333333333479</v>
      </c>
      <c r="S94" s="59">
        <f ca="1">AVERAGE(OFFSET($R$3,0,0,'Données projet'!$E$9+1,1))-AVERAGE(OFFSET($H$3,0,0,'Données projet'!$E$9+1,1))</f>
        <v>248.50221719467663</v>
      </c>
      <c r="T94" s="59">
        <f t="shared" si="88"/>
        <v>366.09064580347183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2.3587989329351204</v>
      </c>
      <c r="AA94" s="21">
        <f>EXP(-LN(2)/25)*AA93+(1-EXP(-LN(2)/25))/(LN(2)/25)*Calculateur!V94*Calculateur!X94*VLOOKUP('Données projet'!$B$9,Paramètres!$A$1:$I$89,3,0)*0.475*44/12</f>
        <v>4.4356885929735581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6.7944875259086785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263.22346936777603</v>
      </c>
      <c r="AO94" s="59">
        <f t="shared" si="90"/>
        <v>217.14714468707939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1.3408948152335531</v>
      </c>
      <c r="AW94" s="21">
        <f>EXP(-LN(2)/2)*AW93+(1-EXP(-LN(2)/2))/(LN(2)/2)*AQ94*AT94*VLOOKUP('Données projet'!$B$10,Paramètres!$A$1:$I$89,3,0)*0.475*44/12</f>
        <v>1.175552025479218E-8</v>
      </c>
      <c r="AX94" s="21">
        <f t="shared" si="60"/>
        <v>1.3408948269890735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4.4337866711430253E-14</v>
      </c>
      <c r="BF94" s="13">
        <f t="shared" si="91"/>
        <v>7.3222115536967035E-13</v>
      </c>
      <c r="BG94" s="20">
        <f t="shared" si="61"/>
        <v>1.3525069634579169E-12</v>
      </c>
      <c r="BH94" s="59">
        <f t="shared" si="62"/>
        <v>293.33333333333468</v>
      </c>
      <c r="BI94" s="59">
        <f ca="1">AVERAGE(OFFSET($BH$3,0,0,'Données projet'!$E$11+1,1))-AVERAGE(OFFSET($H$3,0,0,'Données projet'!$E$11+1,1))</f>
        <v>219.22204054948094</v>
      </c>
      <c r="BJ94" s="59">
        <f t="shared" si="92"/>
        <v>222.41711966122034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0.57783632413179842</v>
      </c>
      <c r="BR94" s="21">
        <f>EXP(-LN(2)/2)*BR93+(1-EXP(-LN(2)/2))/(LN(2)/2)*BL94*BO94*VLOOKUP('Données projet'!$B$11,Paramètres!$A$1:$I$89,3,0)*0.475*44/12</f>
        <v>2.1535112927102719E-9</v>
      </c>
      <c r="BS94" s="22">
        <f t="shared" si="63"/>
        <v>0.57783632628530968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-3.979039320256561E-13</v>
      </c>
      <c r="BZ94" s="13">
        <f>BY94*VLOOKUP('Données projet'!$B$12,Paramètres!$A$1:$I$89,3,0)*VLOOKUP('Données projet'!$B$12,Paramètres!$A$1:$I$89,5,0)</f>
        <v>-3.41401573678013E-13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237.27357081252273</v>
      </c>
      <c r="CE94" s="59">
        <f t="shared" si="94"/>
        <v>68.768479693848576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-3.4106051316484809E-13</v>
      </c>
      <c r="CU94" s="17">
        <f>CT94*VLOOKUP('Données projet'!$B$13,Paramètres!$A$1:$I$89,3,0)*VLOOKUP('Données projet'!$B$13,Paramètres!$A$1:$I$89,5,0)</f>
        <v>-1.9065282685915009E-13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474.03051418249999</v>
      </c>
      <c r="CZ94" s="59">
        <f t="shared" si="96"/>
        <v>649.52271992719091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1.6328841520958903</v>
      </c>
      <c r="DG94" s="21">
        <f>EXP(-LN(2)/25)*DG93+(1-EXP(-LN(2)/25))/(LN(2)/25)*Calculateur!DB94*Calculateur!DD94*VLOOKUP('Données projet'!$B$13,Paramètres!$A$1:$I$89,3,0)*0.475*44/12</f>
        <v>4.4583874980859743</v>
      </c>
      <c r="DH94" s="21">
        <f>EXP(-LN(2)/2)*DH93+(1-EXP(-LN(2)/2))/(LN(2)/2)*DB94*DE94*VLOOKUP('Données projet'!$B$13,Paramètres!$A$1:$I$89,3,0)*0.475*44/12</f>
        <v>7.7047521406581081E-9</v>
      </c>
      <c r="DI94" s="22">
        <f t="shared" si="69"/>
        <v>6.0912716578866171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-5.6843418860808015E-14</v>
      </c>
      <c r="DP94" s="17">
        <f>DO94*VLOOKUP('Données projet'!$B$14,Paramètres!$A$1:$I$89,3,0)*VLOOKUP('Données projet'!$B$14,Paramètres!$A$1:$I$89,5,0)</f>
        <v>-3.1036506698001178E-14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164.0740581424559</v>
      </c>
      <c r="DU94" s="59">
        <f t="shared" si="98"/>
        <v>280.99861170359793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1.9736200991411124</v>
      </c>
      <c r="EB94" s="21">
        <f>EXP(-LN(2)/25)*EB93+(1-EXP(-LN(2)/25))/(LN(2)/25)*Calculateur!DW94*Calculateur!DY94*VLOOKUP('Données projet'!$B$14,Paramètres!$A$1:$I$89,3,0)*0.475*44/12</f>
        <v>4.7723330154497976</v>
      </c>
      <c r="EC94" s="21">
        <f>EXP(-LN(2)/2)*EC93+(1-EXP(-LN(2)/2))/(LN(2)/2)*DW94*DZ94*VLOOKUP('Données projet'!$B$14,Paramètres!$A$1:$I$89,3,0)*0.475*44/12</f>
        <v>9.9958582537022413E-9</v>
      </c>
      <c r="ED94" s="22">
        <f t="shared" si="72"/>
        <v>6.7459531245867685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1.1368683772161603E-13</v>
      </c>
      <c r="EK94" s="17">
        <f>EJ94*VLOOKUP('Données projet'!$B$15,Paramètres!$A$1:$I$89,3,0)*VLOOKUP('Données projet'!$B$15,Paramètres!$A$1:$I$89,5,0)</f>
        <v>5.4683368944097308E-14</v>
      </c>
      <c r="EL94" s="13">
        <f t="shared" si="99"/>
        <v>8.8129432816788268E-13</v>
      </c>
      <c r="EM94" s="20">
        <f t="shared" si="73"/>
        <v>1.6301611558033651E-12</v>
      </c>
      <c r="EN94" s="59">
        <f t="shared" si="74"/>
        <v>293.33333333333496</v>
      </c>
      <c r="EO94" s="59">
        <f ca="1">AVERAGE(OFFSET($EN$3,0,0,'Données projet'!$E$15+1,1))-AVERAGE(OFFSET($H$3,0,0,'Données projet'!$E$15+1,1))</f>
        <v>312.1172301514103</v>
      </c>
      <c r="EP94" s="59">
        <f t="shared" si="100"/>
        <v>369.85500533493212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0.80737364618555896</v>
      </c>
      <c r="EW94" s="21">
        <f>EXP(-LN(2)/25)*EW93+(1-EXP(-LN(2)/25))/(LN(2)/25)*Calculateur!ER94*Calculateur!ET94*VLOOKUP('Données projet'!$B$15,Paramètres!$A$1:$I$89,3,0)*0.475*44/12</f>
        <v>2.7715388097124372</v>
      </c>
      <c r="EX94" s="21">
        <f>EXP(-LN(2)/2)*EX93+(1-EXP(-LN(2)/2))/(LN(2)/2)*ER94*EU94*VLOOKUP('Données projet'!$B$15,Paramètres!$A$1:$I$89,3,0)*0.475*44/12</f>
        <v>2.0860433633506458E-8</v>
      </c>
      <c r="EY94" s="22">
        <f t="shared" si="75"/>
        <v>3.5789124767584299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-1.7053025658242404E-13</v>
      </c>
      <c r="FF94" s="17">
        <f>FE94*VLOOKUP('Données projet'!$B$16,Paramètres!$A$1:$I$89,3,0)*VLOOKUP('Données projet'!$B$16,Paramètres!$A$1:$I$89,5,0)</f>
        <v>-7.9808160080574461E-14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87.187251664304199</v>
      </c>
      <c r="FK94" s="59">
        <f t="shared" si="102"/>
        <v>148.84938257884147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1.4860013708341016</v>
      </c>
      <c r="FS94" s="21">
        <f>EXP(-LN(2)/2)*FS93+(1-EXP(-LN(2)/2))/(LN(2)/2)*FM94*FP94*VLOOKUP('Données projet'!$B$16,Paramètres!$A$1:$I$89,3,0)*0.475*44/12</f>
        <v>4.0065355648179695E-9</v>
      </c>
      <c r="FT94" s="22">
        <f t="shared" si="78"/>
        <v>1.4860013748406371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-1.1368683772161603E-13</v>
      </c>
      <c r="GA94" s="17">
        <f>FZ94*VLOOKUP('Données projet'!$B$17,Paramètres!$A$1:$I$89,3,0)*VLOOKUP('Données projet'!$B$17,Paramètres!$A$1:$I$89,5,0)</f>
        <v>-6.7984728957526396E-14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282.94722676586207</v>
      </c>
      <c r="GF94" s="59">
        <f t="shared" si="104"/>
        <v>310.63647941571298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1.9750628877714667</v>
      </c>
      <c r="GN94" s="21">
        <f>EXP(-LN(2)/2)*GN93+(1-EXP(-LN(2)/2))/(LN(2)/2)*GH94*GK94*VLOOKUP('Données projet'!$B$17,Paramètres!$A$1:$I$89,3,0)*0.475*44/12</f>
        <v>1.6883917534811889E-8</v>
      </c>
      <c r="GO94" s="21">
        <f t="shared" si="81"/>
        <v>1.9750629046553843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-1.1368683772161603E-13</v>
      </c>
      <c r="GV94" s="17">
        <f>GU94*VLOOKUP('Données projet'!$B$18,Paramètres!$A$1:$I$89,3,0)*VLOOKUP('Données projet'!$B$18,Paramètres!$A$1:$I$89,5,0)</f>
        <v>-6.7984728957526396E-14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255.54398581450459</v>
      </c>
      <c r="HA94" s="59">
        <f t="shared" si="106"/>
        <v>276.52622328061204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</v>
      </c>
      <c r="HH94" s="21">
        <f>EXP(-LN(2)/25)*HH93+(1-EXP(-LN(2)/25))/(LN(2)/25)*Calculateur!HC94*Calculateur!HE94*VLOOKUP('Données projet'!$B$18,Paramètres!$A$1:$I$89,3,0)*0.475*44/12</f>
        <v>0.98549442430391854</v>
      </c>
      <c r="HI94" s="21">
        <f>EXP(-LN(2)/2)*HI93+(1-EXP(-LN(2)/2))/(LN(2)/2)*HC94*HF94*VLOOKUP('Données projet'!$B$18,Paramètres!$A$1:$I$89,3,0)*0.475*44/12</f>
        <v>9.7906365234015861E-9</v>
      </c>
      <c r="HJ94" s="22">
        <f t="shared" si="84"/>
        <v>0.98549443409455506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4.9658410716801891E-14</v>
      </c>
      <c r="P95" s="13">
        <f t="shared" si="87"/>
        <v>8.0934058173791862E-13</v>
      </c>
      <c r="Q95" s="20">
        <f t="shared" si="54"/>
        <v>1.4960899118586383E-12</v>
      </c>
      <c r="R95" s="59">
        <f t="shared" si="55"/>
        <v>293.33333333333479</v>
      </c>
      <c r="S95" s="59">
        <f ca="1">AVERAGE(OFFSET($R$3,0,0,'Données projet'!$E$9+1,1))-AVERAGE(OFFSET($H$3,0,0,'Données projet'!$E$9+1,1))</f>
        <v>248.50221719467663</v>
      </c>
      <c r="T95" s="59">
        <f t="shared" si="88"/>
        <v>366.09064580347183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2.3125443245855495</v>
      </c>
      <c r="AA95" s="21">
        <f>EXP(-LN(2)/25)*AA94+(1-EXP(-LN(2)/25))/(LN(2)/25)*Calculateur!V95*Calculateur!X95*VLOOKUP('Données projet'!$B$9,Paramètres!$A$1:$I$89,3,0)*0.475*44/12</f>
        <v>4.3143944551359708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6.6269387797215202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263.22346936777603</v>
      </c>
      <c r="AO95" s="59">
        <f t="shared" si="90"/>
        <v>217.14714468707939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1.3042279759963979</v>
      </c>
      <c r="AW95" s="21">
        <f>EXP(-LN(2)/2)*AW94+(1-EXP(-LN(2)/2))/(LN(2)/2)*AQ95*AT95*VLOOKUP('Données projet'!$B$10,Paramètres!$A$1:$I$89,3,0)*0.475*44/12</f>
        <v>8.312408088539361E-9</v>
      </c>
      <c r="AX95" s="21">
        <f t="shared" si="60"/>
        <v>1.304227984308806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4.4337866711430253E-14</v>
      </c>
      <c r="BF95" s="13">
        <f t="shared" si="91"/>
        <v>7.3222115536967035E-13</v>
      </c>
      <c r="BG95" s="20">
        <f t="shared" si="61"/>
        <v>1.3525069634579169E-12</v>
      </c>
      <c r="BH95" s="59">
        <f t="shared" si="62"/>
        <v>293.33333333333468</v>
      </c>
      <c r="BI95" s="59">
        <f ca="1">AVERAGE(OFFSET($BH$3,0,0,'Données projet'!$E$11+1,1))-AVERAGE(OFFSET($H$3,0,0,'Données projet'!$E$11+1,1))</f>
        <v>219.22204054948094</v>
      </c>
      <c r="BJ95" s="59">
        <f t="shared" si="92"/>
        <v>222.41711966122034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0.56203535946132277</v>
      </c>
      <c r="BR95" s="21">
        <f>EXP(-LN(2)/2)*BR94+(1-EXP(-LN(2)/2))/(LN(2)/2)*BL95*BO95*VLOOKUP('Données projet'!$B$11,Paramètres!$A$1:$I$89,3,0)*0.475*44/12</f>
        <v>1.5227624384372413E-9</v>
      </c>
      <c r="BS95" s="22">
        <f t="shared" si="63"/>
        <v>0.56203536098408524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-3.979039320256561E-13</v>
      </c>
      <c r="BZ95" s="13">
        <f>BY95*VLOOKUP('Données projet'!$B$12,Paramètres!$A$1:$I$89,3,0)*VLOOKUP('Données projet'!$B$12,Paramètres!$A$1:$I$89,5,0)</f>
        <v>-3.41401573678013E-13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237.27357081252273</v>
      </c>
      <c r="CE95" s="59">
        <f t="shared" si="94"/>
        <v>68.768479693848576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-3.4106051316484809E-13</v>
      </c>
      <c r="CU95" s="17">
        <f>CT95*VLOOKUP('Données projet'!$B$13,Paramètres!$A$1:$I$89,3,0)*VLOOKUP('Données projet'!$B$13,Paramètres!$A$1:$I$89,5,0)</f>
        <v>-1.9065282685915009E-13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474.03051418249999</v>
      </c>
      <c r="CZ95" s="59">
        <f t="shared" si="96"/>
        <v>649.52271992719091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1.6008642898342798</v>
      </c>
      <c r="DG95" s="21">
        <f>EXP(-LN(2)/25)*DG94+(1-EXP(-LN(2)/25))/(LN(2)/25)*Calculateur!DB95*Calculateur!DD95*VLOOKUP('Données projet'!$B$13,Paramètres!$A$1:$I$89,3,0)*0.475*44/12</f>
        <v>4.3364726574944044</v>
      </c>
      <c r="DH95" s="21">
        <f>EXP(-LN(2)/2)*DH94+(1-EXP(-LN(2)/2))/(LN(2)/2)*DB95*DE95*VLOOKUP('Données projet'!$B$13,Paramètres!$A$1:$I$89,3,0)*0.475*44/12</f>
        <v>5.4480824860209165E-9</v>
      </c>
      <c r="DI95" s="22">
        <f t="shared" si="69"/>
        <v>5.937336952776767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-5.6843418860808015E-14</v>
      </c>
      <c r="DP95" s="17">
        <f>DO95*VLOOKUP('Données projet'!$B$14,Paramètres!$A$1:$I$89,3,0)*VLOOKUP('Données projet'!$B$14,Paramètres!$A$1:$I$89,5,0)</f>
        <v>-3.1036506698001178E-14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164.0740581424559</v>
      </c>
      <c r="DU95" s="59">
        <f t="shared" si="98"/>
        <v>280.99861170359793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1.9349186127863514</v>
      </c>
      <c r="EB95" s="21">
        <f>EXP(-LN(2)/25)*EB94+(1-EXP(-LN(2)/25))/(LN(2)/25)*Calculateur!DW95*Calculateur!DY95*VLOOKUP('Données projet'!$B$14,Paramètres!$A$1:$I$89,3,0)*0.475*44/12</f>
        <v>4.6418333181762366</v>
      </c>
      <c r="EC95" s="21">
        <f>EXP(-LN(2)/2)*EC94+(1-EXP(-LN(2)/2))/(LN(2)/2)*DW95*DZ95*VLOOKUP('Données projet'!$B$14,Paramètres!$A$1:$I$89,3,0)*0.475*44/12</f>
        <v>7.0681391549723759E-9</v>
      </c>
      <c r="ED95" s="22">
        <f t="shared" si="72"/>
        <v>6.5767519380307267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1.1368683772161603E-13</v>
      </c>
      <c r="EK95" s="17">
        <f>EJ95*VLOOKUP('Données projet'!$B$15,Paramètres!$A$1:$I$89,3,0)*VLOOKUP('Données projet'!$B$15,Paramètres!$A$1:$I$89,5,0)</f>
        <v>5.4683368944097308E-14</v>
      </c>
      <c r="EL95" s="13">
        <f t="shared" si="99"/>
        <v>8.8129432816788268E-13</v>
      </c>
      <c r="EM95" s="20">
        <f t="shared" si="73"/>
        <v>1.6301611558033651E-12</v>
      </c>
      <c r="EN95" s="59">
        <f t="shared" si="74"/>
        <v>293.33333333333496</v>
      </c>
      <c r="EO95" s="59">
        <f ca="1">AVERAGE(OFFSET($EN$3,0,0,'Données projet'!$E$15+1,1))-AVERAGE(OFFSET($H$3,0,0,'Données projet'!$E$15+1,1))</f>
        <v>312.1172301514103</v>
      </c>
      <c r="EP95" s="59">
        <f t="shared" si="100"/>
        <v>369.85500533493212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0.79154154143315902</v>
      </c>
      <c r="EW95" s="21">
        <f>EXP(-LN(2)/25)*EW94+(1-EXP(-LN(2)/25))/(LN(2)/25)*Calculateur!ER95*Calculateur!ET95*VLOOKUP('Données projet'!$B$15,Paramètres!$A$1:$I$89,3,0)*0.475*44/12</f>
        <v>2.6957509352119589</v>
      </c>
      <c r="EX95" s="21">
        <f>EXP(-LN(2)/2)*EX94+(1-EXP(-LN(2)/2))/(LN(2)/2)*ER95*EU95*VLOOKUP('Données projet'!$B$15,Paramètres!$A$1:$I$89,3,0)*0.475*44/12</f>
        <v>1.4750554080744348E-8</v>
      </c>
      <c r="EY95" s="22">
        <f t="shared" si="75"/>
        <v>3.4872924913956722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-1.7053025658242404E-13</v>
      </c>
      <c r="FF95" s="17">
        <f>FE95*VLOOKUP('Données projet'!$B$16,Paramètres!$A$1:$I$89,3,0)*VLOOKUP('Données projet'!$B$16,Paramètres!$A$1:$I$89,5,0)</f>
        <v>-7.9808160080574461E-14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87.187251664304199</v>
      </c>
      <c r="FK95" s="59">
        <f t="shared" si="102"/>
        <v>148.84938257884147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1.4453665852032274</v>
      </c>
      <c r="FS95" s="21">
        <f>EXP(-LN(2)/2)*FS94+(1-EXP(-LN(2)/2))/(LN(2)/2)*FM95*FP95*VLOOKUP('Données projet'!$B$16,Paramètres!$A$1:$I$89,3,0)*0.475*44/12</f>
        <v>2.8330484669478606E-9</v>
      </c>
      <c r="FT95" s="22">
        <f t="shared" si="78"/>
        <v>1.4453665880362758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-1.1368683772161603E-13</v>
      </c>
      <c r="GA95" s="17">
        <f>FZ95*VLOOKUP('Données projet'!$B$17,Paramètres!$A$1:$I$89,3,0)*VLOOKUP('Données projet'!$B$17,Paramètres!$A$1:$I$89,5,0)</f>
        <v>-6.7984728957526396E-14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282.94722676586207</v>
      </c>
      <c r="GF95" s="59">
        <f t="shared" si="104"/>
        <v>310.63647941571298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1.9210546892413127</v>
      </c>
      <c r="GN95" s="21">
        <f>EXP(-LN(2)/2)*GN94+(1-EXP(-LN(2)/2))/(LN(2)/2)*GH95*GK95*VLOOKUP('Données projet'!$B$17,Paramètres!$A$1:$I$89,3,0)*0.475*44/12</f>
        <v>1.1938732581859943E-8</v>
      </c>
      <c r="GO95" s="21">
        <f t="shared" si="81"/>
        <v>1.9210547011800454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-1.1368683772161603E-13</v>
      </c>
      <c r="GV95" s="17">
        <f>GU95*VLOOKUP('Données projet'!$B$18,Paramètres!$A$1:$I$89,3,0)*VLOOKUP('Données projet'!$B$18,Paramètres!$A$1:$I$89,5,0)</f>
        <v>-6.7984728957526396E-14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255.54398581450459</v>
      </c>
      <c r="HA95" s="59">
        <f t="shared" si="106"/>
        <v>276.52622328061204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</v>
      </c>
      <c r="HH95" s="21">
        <f>EXP(-LN(2)/25)*HH94+(1-EXP(-LN(2)/25))/(LN(2)/25)*Calculateur!HC95*Calculateur!HE95*VLOOKUP('Données projet'!$B$18,Paramètres!$A$1:$I$89,3,0)*0.475*44/12</f>
        <v>0.95854602744642847</v>
      </c>
      <c r="HI95" s="21">
        <f>EXP(-LN(2)/2)*HI94+(1-EXP(-LN(2)/2))/(LN(2)/2)*HC95*HF95*VLOOKUP('Données projet'!$B$18,Paramètres!$A$1:$I$89,3,0)*0.475*44/12</f>
        <v>6.9230254778299458E-9</v>
      </c>
      <c r="HJ95" s="22">
        <f t="shared" si="84"/>
        <v>0.95854603436945396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4.9658410716801891E-14</v>
      </c>
      <c r="P96" s="13">
        <f t="shared" si="87"/>
        <v>8.0934058173791862E-13</v>
      </c>
      <c r="Q96" s="20">
        <f t="shared" si="54"/>
        <v>1.4960899118586383E-12</v>
      </c>
      <c r="R96" s="59">
        <f t="shared" si="55"/>
        <v>293.33333333333479</v>
      </c>
      <c r="S96" s="59">
        <f ca="1">AVERAGE(OFFSET($R$3,0,0,'Données projet'!$E$9+1,1))-AVERAGE(OFFSET($H$3,0,0,'Données projet'!$E$9+1,1))</f>
        <v>248.50221719467663</v>
      </c>
      <c r="T96" s="59">
        <f t="shared" si="88"/>
        <v>366.09064580347183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2.2671967408931883</v>
      </c>
      <c r="AA96" s="21">
        <f>EXP(-LN(2)/25)*AA95+(1-EXP(-LN(2)/25))/(LN(2)/25)*Calculateur!V96*Calculateur!X96*VLOOKUP('Données projet'!$B$9,Paramètres!$A$1:$I$89,3,0)*0.475*44/12</f>
        <v>4.1964171118761335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6.4636138527693223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263.22346936777603</v>
      </c>
      <c r="AO96" s="59">
        <f t="shared" si="90"/>
        <v>217.14714468707939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1.268563793406408</v>
      </c>
      <c r="AW96" s="21">
        <f>EXP(-LN(2)/2)*AW95+(1-EXP(-LN(2)/2))/(LN(2)/2)*AQ96*AT96*VLOOKUP('Données projet'!$B$10,Paramètres!$A$1:$I$89,3,0)*0.475*44/12</f>
        <v>5.8777601273960898E-9</v>
      </c>
      <c r="AX96" s="21">
        <f t="shared" si="60"/>
        <v>1.2685637992841681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4.4337866711430253E-14</v>
      </c>
      <c r="BF96" s="13">
        <f t="shared" si="91"/>
        <v>7.3222115536967035E-13</v>
      </c>
      <c r="BG96" s="20">
        <f t="shared" si="61"/>
        <v>1.3525069634579169E-12</v>
      </c>
      <c r="BH96" s="59">
        <f t="shared" si="62"/>
        <v>293.33333333333468</v>
      </c>
      <c r="BI96" s="59">
        <f ca="1">AVERAGE(OFFSET($BH$3,0,0,'Données projet'!$E$11+1,1))-AVERAGE(OFFSET($H$3,0,0,'Données projet'!$E$11+1,1))</f>
        <v>219.22204054948094</v>
      </c>
      <c r="BJ96" s="59">
        <f t="shared" si="92"/>
        <v>222.41711966122034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0.54666647300069793</v>
      </c>
      <c r="BR96" s="21">
        <f>EXP(-LN(2)/2)*BR95+(1-EXP(-LN(2)/2))/(LN(2)/2)*BL96*BO96*VLOOKUP('Données projet'!$B$11,Paramètres!$A$1:$I$89,3,0)*0.475*44/12</f>
        <v>1.0767556463551359E-9</v>
      </c>
      <c r="BS96" s="22">
        <f t="shared" si="63"/>
        <v>0.54666647407745361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-3.979039320256561E-13</v>
      </c>
      <c r="BZ96" s="13">
        <f>BY96*VLOOKUP('Données projet'!$B$12,Paramètres!$A$1:$I$89,3,0)*VLOOKUP('Données projet'!$B$12,Paramètres!$A$1:$I$89,5,0)</f>
        <v>-3.41401573678013E-13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237.27357081252273</v>
      </c>
      <c r="CE96" s="59">
        <f t="shared" si="94"/>
        <v>68.768479693848576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-3.4106051316484809E-13</v>
      </c>
      <c r="CU96" s="17">
        <f>CT96*VLOOKUP('Données projet'!$B$13,Paramètres!$A$1:$I$89,3,0)*VLOOKUP('Données projet'!$B$13,Paramètres!$A$1:$I$89,5,0)</f>
        <v>-1.9065282685915009E-13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474.03051418249999</v>
      </c>
      <c r="CZ96" s="59">
        <f t="shared" si="96"/>
        <v>649.52271992719091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1.5694723175414318</v>
      </c>
      <c r="DG96" s="21">
        <f>EXP(-LN(2)/25)*DG95+(1-EXP(-LN(2)/25))/(LN(2)/25)*Calculateur!DB96*Calculateur!DD96*VLOOKUP('Données projet'!$B$13,Paramètres!$A$1:$I$89,3,0)*0.475*44/12</f>
        <v>4.217891584630034</v>
      </c>
      <c r="DH96" s="21">
        <f>EXP(-LN(2)/2)*DH95+(1-EXP(-LN(2)/2))/(LN(2)/2)*DB96*DE96*VLOOKUP('Données projet'!$B$13,Paramètres!$A$1:$I$89,3,0)*0.475*44/12</f>
        <v>3.8523760703290541E-9</v>
      </c>
      <c r="DI96" s="22">
        <f t="shared" si="69"/>
        <v>5.7873639060238418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-5.6843418860808015E-14</v>
      </c>
      <c r="DP96" s="17">
        <f>DO96*VLOOKUP('Données projet'!$B$14,Paramètres!$A$1:$I$89,3,0)*VLOOKUP('Données projet'!$B$14,Paramètres!$A$1:$I$89,5,0)</f>
        <v>-3.1036506698001178E-14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164.0740581424559</v>
      </c>
      <c r="DU96" s="59">
        <f t="shared" si="98"/>
        <v>280.99861170359793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1.8969760389734314</v>
      </c>
      <c r="EB96" s="21">
        <f>EXP(-LN(2)/25)*EB95+(1-EXP(-LN(2)/25))/(LN(2)/25)*Calculateur!DW96*Calculateur!DY96*VLOOKUP('Données projet'!$B$14,Paramètres!$A$1:$I$89,3,0)*0.475*44/12</f>
        <v>4.5149021419873021</v>
      </c>
      <c r="EC96" s="21">
        <f>EXP(-LN(2)/2)*EC95+(1-EXP(-LN(2)/2))/(LN(2)/2)*DW96*DZ96*VLOOKUP('Données projet'!$B$14,Paramètres!$A$1:$I$89,3,0)*0.475*44/12</f>
        <v>4.9979291268511207E-9</v>
      </c>
      <c r="ED96" s="22">
        <f t="shared" si="72"/>
        <v>6.4118781859586624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1.1368683772161603E-13</v>
      </c>
      <c r="EK96" s="17">
        <f>EJ96*VLOOKUP('Données projet'!$B$15,Paramètres!$A$1:$I$89,3,0)*VLOOKUP('Données projet'!$B$15,Paramètres!$A$1:$I$89,5,0)</f>
        <v>5.4683368944097308E-14</v>
      </c>
      <c r="EL96" s="13">
        <f t="shared" si="99"/>
        <v>8.8129432816788268E-13</v>
      </c>
      <c r="EM96" s="20">
        <f t="shared" si="73"/>
        <v>1.6301611558033651E-12</v>
      </c>
      <c r="EN96" s="59">
        <f t="shared" si="74"/>
        <v>293.33333333333496</v>
      </c>
      <c r="EO96" s="59">
        <f ca="1">AVERAGE(OFFSET($EN$3,0,0,'Données projet'!$E$15+1,1))-AVERAGE(OFFSET($H$3,0,0,'Données projet'!$E$15+1,1))</f>
        <v>312.1172301514103</v>
      </c>
      <c r="EP96" s="59">
        <f t="shared" si="100"/>
        <v>369.85500533493212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0.77601989459832321</v>
      </c>
      <c r="EW96" s="21">
        <f>EXP(-LN(2)/25)*EW95+(1-EXP(-LN(2)/25))/(LN(2)/25)*Calculateur!ER96*Calculateur!ET96*VLOOKUP('Données projet'!$B$15,Paramètres!$A$1:$I$89,3,0)*0.475*44/12</f>
        <v>2.6220354841252074</v>
      </c>
      <c r="EX96" s="21">
        <f>EXP(-LN(2)/2)*EX95+(1-EXP(-LN(2)/2))/(LN(2)/2)*ER96*EU96*VLOOKUP('Données projet'!$B$15,Paramètres!$A$1:$I$89,3,0)*0.475*44/12</f>
        <v>1.0430216816753231E-8</v>
      </c>
      <c r="EY96" s="22">
        <f t="shared" si="75"/>
        <v>3.3980553891537473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-1.7053025658242404E-13</v>
      </c>
      <c r="FF96" s="17">
        <f>FE96*VLOOKUP('Données projet'!$B$16,Paramètres!$A$1:$I$89,3,0)*VLOOKUP('Données projet'!$B$16,Paramètres!$A$1:$I$89,5,0)</f>
        <v>-7.9808160080574461E-14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87.187251664304199</v>
      </c>
      <c r="FK96" s="59">
        <f t="shared" si="102"/>
        <v>148.84938257884147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1.4058429599223199</v>
      </c>
      <c r="FS96" s="21">
        <f>EXP(-LN(2)/2)*FS95+(1-EXP(-LN(2)/2))/(LN(2)/2)*FM96*FP96*VLOOKUP('Données projet'!$B$16,Paramètres!$A$1:$I$89,3,0)*0.475*44/12</f>
        <v>2.0032677824089847E-9</v>
      </c>
      <c r="FT96" s="22">
        <f t="shared" si="78"/>
        <v>1.4058429619255877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-1.1368683772161603E-13</v>
      </c>
      <c r="GA96" s="17">
        <f>FZ96*VLOOKUP('Données projet'!$B$17,Paramètres!$A$1:$I$89,3,0)*VLOOKUP('Données projet'!$B$17,Paramètres!$A$1:$I$89,5,0)</f>
        <v>-6.7984728957526396E-14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282.94722676586207</v>
      </c>
      <c r="GF96" s="59">
        <f t="shared" si="104"/>
        <v>310.63647941571298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1.8685233477401335</v>
      </c>
      <c r="GN96" s="21">
        <f>EXP(-LN(2)/2)*GN95+(1-EXP(-LN(2)/2))/(LN(2)/2)*GH96*GK96*VLOOKUP('Données projet'!$B$17,Paramètres!$A$1:$I$89,3,0)*0.475*44/12</f>
        <v>8.4419587674059444E-9</v>
      </c>
      <c r="GO96" s="21">
        <f t="shared" si="81"/>
        <v>1.8685233561820922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-1.1368683772161603E-13</v>
      </c>
      <c r="GV96" s="17">
        <f>GU96*VLOOKUP('Données projet'!$B$18,Paramètres!$A$1:$I$89,3,0)*VLOOKUP('Données projet'!$B$18,Paramètres!$A$1:$I$89,5,0)</f>
        <v>-6.7984728957526396E-14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255.54398581450459</v>
      </c>
      <c r="HA96" s="59">
        <f t="shared" si="106"/>
        <v>276.52622328061204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</v>
      </c>
      <c r="HH96" s="21">
        <f>EXP(-LN(2)/25)*HH95+(1-EXP(-LN(2)/25))/(LN(2)/25)*Calculateur!HC96*Calculateur!HE96*VLOOKUP('Données projet'!$B$18,Paramètres!$A$1:$I$89,3,0)*0.475*44/12</f>
        <v>0.93233453591816107</v>
      </c>
      <c r="HI96" s="21">
        <f>EXP(-LN(2)/2)*HI95+(1-EXP(-LN(2)/2))/(LN(2)/2)*HC96*HF96*VLOOKUP('Données projet'!$B$18,Paramètres!$A$1:$I$89,3,0)*0.475*44/12</f>
        <v>4.8953182617007931E-9</v>
      </c>
      <c r="HJ96" s="22">
        <f t="shared" si="84"/>
        <v>0.93233454081347933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4.9658410716801891E-14</v>
      </c>
      <c r="P97" s="13">
        <f t="shared" si="87"/>
        <v>8.0934058173791862E-13</v>
      </c>
      <c r="Q97" s="20">
        <f t="shared" si="54"/>
        <v>1.4960899118586383E-12</v>
      </c>
      <c r="R97" s="59">
        <f t="shared" si="55"/>
        <v>293.33333333333479</v>
      </c>
      <c r="S97" s="59">
        <f ca="1">AVERAGE(OFFSET($R$3,0,0,'Données projet'!$E$9+1,1))-AVERAGE(OFFSET($H$3,0,0,'Données projet'!$E$9+1,1))</f>
        <v>248.50221719467663</v>
      </c>
      <c r="T97" s="59">
        <f t="shared" si="88"/>
        <v>366.09064580347183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2.2227383956577396</v>
      </c>
      <c r="AA97" s="21">
        <f>EXP(-LN(2)/25)*AA96+(1-EXP(-LN(2)/25))/(LN(2)/25)*Calculateur!V97*Calculateur!X97*VLOOKUP('Données projet'!$B$9,Paramètres!$A$1:$I$89,3,0)*0.475*44/12</f>
        <v>4.081665865271896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6.3044042609296351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263.22346936777603</v>
      </c>
      <c r="AO97" s="59">
        <f t="shared" si="90"/>
        <v>217.14714468707939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1.2338748497648393</v>
      </c>
      <c r="AW97" s="21">
        <f>EXP(-LN(2)/2)*AW96+(1-EXP(-LN(2)/2))/(LN(2)/2)*AQ97*AT97*VLOOKUP('Données projet'!$B$10,Paramètres!$A$1:$I$89,3,0)*0.475*44/12</f>
        <v>4.1562040442696805E-9</v>
      </c>
      <c r="AX97" s="21">
        <f t="shared" si="60"/>
        <v>1.2338748539210433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4.4337866711430253E-14</v>
      </c>
      <c r="BF97" s="13">
        <f t="shared" si="91"/>
        <v>7.3222115536967035E-13</v>
      </c>
      <c r="BG97" s="20">
        <f t="shared" si="61"/>
        <v>1.3525069634579169E-12</v>
      </c>
      <c r="BH97" s="59">
        <f t="shared" si="62"/>
        <v>293.33333333333468</v>
      </c>
      <c r="BI97" s="59">
        <f ca="1">AVERAGE(OFFSET($BH$3,0,0,'Données projet'!$E$11+1,1))-AVERAGE(OFFSET($H$3,0,0,'Données projet'!$E$11+1,1))</f>
        <v>219.22204054948094</v>
      </c>
      <c r="BJ97" s="59">
        <f t="shared" si="92"/>
        <v>222.41711966122034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0.5317178495485535</v>
      </c>
      <c r="BR97" s="21">
        <f>EXP(-LN(2)/2)*BR96+(1-EXP(-LN(2)/2))/(LN(2)/2)*BL97*BO97*VLOOKUP('Données projet'!$B$11,Paramètres!$A$1:$I$89,3,0)*0.475*44/12</f>
        <v>7.6138121921862065E-10</v>
      </c>
      <c r="BS97" s="22">
        <f t="shared" si="63"/>
        <v>0.53171785030993468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-3.979039320256561E-13</v>
      </c>
      <c r="BZ97" s="13">
        <f>BY97*VLOOKUP('Données projet'!$B$12,Paramètres!$A$1:$I$89,3,0)*VLOOKUP('Données projet'!$B$12,Paramètres!$A$1:$I$89,5,0)</f>
        <v>-3.41401573678013E-13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237.27357081252273</v>
      </c>
      <c r="CE97" s="59">
        <f t="shared" si="94"/>
        <v>68.768479693848576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-3.4106051316484809E-13</v>
      </c>
      <c r="CU97" s="17">
        <f>CT97*VLOOKUP('Données projet'!$B$13,Paramètres!$A$1:$I$89,3,0)*VLOOKUP('Données projet'!$B$13,Paramètres!$A$1:$I$89,5,0)</f>
        <v>-1.9065282685915009E-13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474.03051418249999</v>
      </c>
      <c r="CZ97" s="59">
        <f t="shared" si="96"/>
        <v>649.52271992719091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1.5386959226780341</v>
      </c>
      <c r="DG97" s="21">
        <f>EXP(-LN(2)/25)*DG96+(1-EXP(-LN(2)/25))/(LN(2)/25)*Calculateur!DB97*Calculateur!DD97*VLOOKUP('Données projet'!$B$13,Paramètres!$A$1:$I$89,3,0)*0.475*44/12</f>
        <v>4.1025531174390473</v>
      </c>
      <c r="DH97" s="21">
        <f>EXP(-LN(2)/2)*DH96+(1-EXP(-LN(2)/2))/(LN(2)/2)*DB97*DE97*VLOOKUP('Données projet'!$B$13,Paramètres!$A$1:$I$89,3,0)*0.475*44/12</f>
        <v>2.7240412430104583E-9</v>
      </c>
      <c r="DI97" s="22">
        <f t="shared" si="69"/>
        <v>5.6412490428411228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-5.6843418860808015E-14</v>
      </c>
      <c r="DP97" s="17">
        <f>DO97*VLOOKUP('Données projet'!$B$14,Paramètres!$A$1:$I$89,3,0)*VLOOKUP('Données projet'!$B$14,Paramètres!$A$1:$I$89,5,0)</f>
        <v>-3.1036506698001178E-14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164.0740581424559</v>
      </c>
      <c r="DU97" s="59">
        <f t="shared" si="98"/>
        <v>280.99861170359793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1.8597774958902977</v>
      </c>
      <c r="EB97" s="21">
        <f>EXP(-LN(2)/25)*EB96+(1-EXP(-LN(2)/25))/(LN(2)/25)*Calculateur!DW97*Calculateur!DY97*VLOOKUP('Données projet'!$B$14,Paramètres!$A$1:$I$89,3,0)*0.475*44/12</f>
        <v>4.3914419054862748</v>
      </c>
      <c r="EC97" s="21">
        <f>EXP(-LN(2)/2)*EC96+(1-EXP(-LN(2)/2))/(LN(2)/2)*DW97*DZ97*VLOOKUP('Données projet'!$B$14,Paramètres!$A$1:$I$89,3,0)*0.475*44/12</f>
        <v>3.534069577486188E-9</v>
      </c>
      <c r="ED97" s="22">
        <f t="shared" si="72"/>
        <v>6.2512194049106427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1.1368683772161603E-13</v>
      </c>
      <c r="EK97" s="17">
        <f>EJ97*VLOOKUP('Données projet'!$B$15,Paramètres!$A$1:$I$89,3,0)*VLOOKUP('Données projet'!$B$15,Paramètres!$A$1:$I$89,5,0)</f>
        <v>5.4683368944097308E-14</v>
      </c>
      <c r="EL97" s="13">
        <f t="shared" si="99"/>
        <v>8.8129432816788268E-13</v>
      </c>
      <c r="EM97" s="20">
        <f t="shared" si="73"/>
        <v>1.6301611558033651E-12</v>
      </c>
      <c r="EN97" s="59">
        <f t="shared" si="74"/>
        <v>293.33333333333496</v>
      </c>
      <c r="EO97" s="59">
        <f ca="1">AVERAGE(OFFSET($EN$3,0,0,'Données projet'!$E$15+1,1))-AVERAGE(OFFSET($H$3,0,0,'Données projet'!$E$15+1,1))</f>
        <v>312.1172301514103</v>
      </c>
      <c r="EP97" s="59">
        <f t="shared" si="100"/>
        <v>369.85500533493212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0.76080261779064884</v>
      </c>
      <c r="EW97" s="21">
        <f>EXP(-LN(2)/25)*EW96+(1-EXP(-LN(2)/25))/(LN(2)/25)*Calculateur!ER97*Calculateur!ET97*VLOOKUP('Données projet'!$B$15,Paramètres!$A$1:$I$89,3,0)*0.475*44/12</f>
        <v>2.55033578592495</v>
      </c>
      <c r="EX97" s="21">
        <f>EXP(-LN(2)/2)*EX96+(1-EXP(-LN(2)/2))/(LN(2)/2)*ER97*EU97*VLOOKUP('Données projet'!$B$15,Paramètres!$A$1:$I$89,3,0)*0.475*44/12</f>
        <v>7.3752770403721757E-9</v>
      </c>
      <c r="EY97" s="22">
        <f t="shared" si="75"/>
        <v>3.3111384110908757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-1.7053025658242404E-13</v>
      </c>
      <c r="FF97" s="17">
        <f>FE97*VLOOKUP('Données projet'!$B$16,Paramètres!$A$1:$I$89,3,0)*VLOOKUP('Données projet'!$B$16,Paramètres!$A$1:$I$89,5,0)</f>
        <v>-7.9808160080574461E-14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87.187251664304199</v>
      </c>
      <c r="FK97" s="59">
        <f t="shared" si="102"/>
        <v>148.84938257884147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1.3674001102531759</v>
      </c>
      <c r="FS97" s="21">
        <f>EXP(-LN(2)/2)*FS96+(1-EXP(-LN(2)/2))/(LN(2)/2)*FM97*FP97*VLOOKUP('Données projet'!$B$16,Paramètres!$A$1:$I$89,3,0)*0.475*44/12</f>
        <v>1.4165242334739303E-9</v>
      </c>
      <c r="FT97" s="22">
        <f t="shared" si="78"/>
        <v>1.3674001116697001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-1.1368683772161603E-13</v>
      </c>
      <c r="GA97" s="17">
        <f>FZ97*VLOOKUP('Données projet'!$B$17,Paramètres!$A$1:$I$89,3,0)*VLOOKUP('Données projet'!$B$17,Paramètres!$A$1:$I$89,5,0)</f>
        <v>-6.7984728957526396E-14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282.94722676586207</v>
      </c>
      <c r="GF97" s="59">
        <f t="shared" si="104"/>
        <v>310.63647941571298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1.8174284785348074</v>
      </c>
      <c r="GN97" s="21">
        <f>EXP(-LN(2)/2)*GN96+(1-EXP(-LN(2)/2))/(LN(2)/2)*GH97*GK97*VLOOKUP('Données projet'!$B$17,Paramètres!$A$1:$I$89,3,0)*0.475*44/12</f>
        <v>5.9693662909299717E-9</v>
      </c>
      <c r="GO97" s="21">
        <f t="shared" si="81"/>
        <v>1.8174284845041737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-1.1368683772161603E-13</v>
      </c>
      <c r="GV97" s="17">
        <f>GU97*VLOOKUP('Données projet'!$B$18,Paramètres!$A$1:$I$89,3,0)*VLOOKUP('Données projet'!$B$18,Paramètres!$A$1:$I$89,5,0)</f>
        <v>-6.7984728957526396E-14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255.54398581450459</v>
      </c>
      <c r="HA97" s="59">
        <f t="shared" si="106"/>
        <v>276.52622328061204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</v>
      </c>
      <c r="HH97" s="21">
        <f>EXP(-LN(2)/25)*HH96+(1-EXP(-LN(2)/25))/(LN(2)/25)*Calculateur!HC97*Calculateur!HE97*VLOOKUP('Données projet'!$B$18,Paramètres!$A$1:$I$89,3,0)*0.475*44/12</f>
        <v>0.90683979900413658</v>
      </c>
      <c r="HI97" s="21">
        <f>EXP(-LN(2)/2)*HI96+(1-EXP(-LN(2)/2))/(LN(2)/2)*HC97*HF97*VLOOKUP('Données projet'!$B$18,Paramètres!$A$1:$I$89,3,0)*0.475*44/12</f>
        <v>3.4615127389149729E-9</v>
      </c>
      <c r="HJ97" s="22">
        <f t="shared" si="84"/>
        <v>0.90683980246564933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4.9658410716801891E-14</v>
      </c>
      <c r="P98" s="13">
        <f t="shared" si="87"/>
        <v>8.0934058173791862E-13</v>
      </c>
      <c r="Q98" s="20">
        <f t="shared" si="54"/>
        <v>1.4960899118586383E-12</v>
      </c>
      <c r="R98" s="59">
        <f t="shared" si="55"/>
        <v>293.33333333333479</v>
      </c>
      <c r="S98" s="59">
        <f ca="1">AVERAGE(OFFSET($R$3,0,0,'Données projet'!$E$9+1,1))-AVERAGE(OFFSET($H$3,0,0,'Données projet'!$E$9+1,1))</f>
        <v>248.50221719467663</v>
      </c>
      <c r="T98" s="59">
        <f t="shared" si="88"/>
        <v>366.09064580347183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2.1791518514554449</v>
      </c>
      <c r="AA98" s="21">
        <f>EXP(-LN(2)/25)*AA97+(1-EXP(-LN(2)/25))/(LN(2)/25)*Calculateur!V98*Calculateur!X98*VLOOKUP('Données projet'!$B$9,Paramètres!$A$1:$I$89,3,0)*0.475*44/12</f>
        <v>3.9700524975405571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6.149204348996002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263.22346936777603</v>
      </c>
      <c r="AO98" s="59">
        <f t="shared" si="90"/>
        <v>217.14714468707939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1.2001344771113616</v>
      </c>
      <c r="AW98" s="21">
        <f>EXP(-LN(2)/2)*AW97+(1-EXP(-LN(2)/2))/(LN(2)/2)*AQ98*AT98*VLOOKUP('Données projet'!$B$10,Paramètres!$A$1:$I$89,3,0)*0.475*44/12</f>
        <v>2.9388800636980449E-9</v>
      </c>
      <c r="AX98" s="21">
        <f t="shared" si="60"/>
        <v>1.2001344800502416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4.4337866711430253E-14</v>
      </c>
      <c r="BF98" s="13">
        <f t="shared" si="91"/>
        <v>7.3222115536967035E-13</v>
      </c>
      <c r="BG98" s="20">
        <f t="shared" si="61"/>
        <v>1.3525069634579169E-12</v>
      </c>
      <c r="BH98" s="59">
        <f t="shared" si="62"/>
        <v>293.33333333333468</v>
      </c>
      <c r="BI98" s="59">
        <f ca="1">AVERAGE(OFFSET($BH$3,0,0,'Données projet'!$E$11+1,1))-AVERAGE(OFFSET($H$3,0,0,'Données projet'!$E$11+1,1))</f>
        <v>219.22204054948094</v>
      </c>
      <c r="BJ98" s="59">
        <f t="shared" si="92"/>
        <v>222.41711966122034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0.5171779969908219</v>
      </c>
      <c r="BR98" s="21">
        <f>EXP(-LN(2)/2)*BR97+(1-EXP(-LN(2)/2))/(LN(2)/2)*BL98*BO98*VLOOKUP('Données projet'!$B$11,Paramètres!$A$1:$I$89,3,0)*0.475*44/12</f>
        <v>5.3837782317756796E-10</v>
      </c>
      <c r="BS98" s="22">
        <f t="shared" si="63"/>
        <v>0.51717799752919968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-3.979039320256561E-13</v>
      </c>
      <c r="BZ98" s="13">
        <f>BY98*VLOOKUP('Données projet'!$B$12,Paramètres!$A$1:$I$89,3,0)*VLOOKUP('Données projet'!$B$12,Paramètres!$A$1:$I$89,5,0)</f>
        <v>-3.41401573678013E-13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237.27357081252273</v>
      </c>
      <c r="CE98" s="59">
        <f t="shared" si="94"/>
        <v>68.768479693848576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-3.4106051316484809E-13</v>
      </c>
      <c r="CU98" s="17">
        <f>CT98*VLOOKUP('Données projet'!$B$13,Paramètres!$A$1:$I$89,3,0)*VLOOKUP('Données projet'!$B$13,Paramètres!$A$1:$I$89,5,0)</f>
        <v>-1.9065282685915009E-13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474.03051418249999</v>
      </c>
      <c r="CZ98" s="59">
        <f t="shared" si="96"/>
        <v>649.52271992719091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1.5085230341461604</v>
      </c>
      <c r="DG98" s="21">
        <f>EXP(-LN(2)/25)*DG97+(1-EXP(-LN(2)/25))/(LN(2)/25)*Calculateur!DB98*Calculateur!DD98*VLOOKUP('Données projet'!$B$13,Paramètres!$A$1:$I$89,3,0)*0.475*44/12</f>
        <v>3.9903685866987848</v>
      </c>
      <c r="DH98" s="21">
        <f>EXP(-LN(2)/2)*DH97+(1-EXP(-LN(2)/2))/(LN(2)/2)*DB98*DE98*VLOOKUP('Données projet'!$B$13,Paramètres!$A$1:$I$89,3,0)*0.475*44/12</f>
        <v>1.926188035164527E-9</v>
      </c>
      <c r="DI98" s="22">
        <f t="shared" si="69"/>
        <v>5.4988916227711337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-5.6843418860808015E-14</v>
      </c>
      <c r="DP98" s="17">
        <f>DO98*VLOOKUP('Données projet'!$B$14,Paramètres!$A$1:$I$89,3,0)*VLOOKUP('Données projet'!$B$14,Paramètres!$A$1:$I$89,5,0)</f>
        <v>-3.1036506698001178E-14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164.0740581424559</v>
      </c>
      <c r="DU98" s="59">
        <f t="shared" si="98"/>
        <v>280.99861170359793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1.8233083935481535</v>
      </c>
      <c r="EB98" s="21">
        <f>EXP(-LN(2)/25)*EB97+(1-EXP(-LN(2)/25))/(LN(2)/25)*Calculateur!DW98*Calculateur!DY98*VLOOKUP('Données projet'!$B$14,Paramètres!$A$1:$I$89,3,0)*0.475*44/12</f>
        <v>4.2713576956448591</v>
      </c>
      <c r="EC98" s="21">
        <f>EXP(-LN(2)/2)*EC97+(1-EXP(-LN(2)/2))/(LN(2)/2)*DW98*DZ98*VLOOKUP('Données projet'!$B$14,Paramètres!$A$1:$I$89,3,0)*0.475*44/12</f>
        <v>2.4989645634255603E-9</v>
      </c>
      <c r="ED98" s="22">
        <f t="shared" si="72"/>
        <v>6.0946660916919768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1.1368683772161603E-13</v>
      </c>
      <c r="EK98" s="17">
        <f>EJ98*VLOOKUP('Données projet'!$B$15,Paramètres!$A$1:$I$89,3,0)*VLOOKUP('Données projet'!$B$15,Paramètres!$A$1:$I$89,5,0)</f>
        <v>5.4683368944097308E-14</v>
      </c>
      <c r="EL98" s="13">
        <f t="shared" si="99"/>
        <v>8.8129432816788268E-13</v>
      </c>
      <c r="EM98" s="20">
        <f t="shared" si="73"/>
        <v>1.6301611558033651E-12</v>
      </c>
      <c r="EN98" s="59">
        <f t="shared" si="74"/>
        <v>293.33333333333496</v>
      </c>
      <c r="EO98" s="59">
        <f ca="1">AVERAGE(OFFSET($EN$3,0,0,'Données projet'!$E$15+1,1))-AVERAGE(OFFSET($H$3,0,0,'Données projet'!$E$15+1,1))</f>
        <v>312.1172301514103</v>
      </c>
      <c r="EP98" s="59">
        <f t="shared" si="100"/>
        <v>369.85500533493212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0.74588374249955058</v>
      </c>
      <c r="EW98" s="21">
        <f>EXP(-LN(2)/25)*EW97+(1-EXP(-LN(2)/25))/(LN(2)/25)*Calculateur!ER98*Calculateur!ET98*VLOOKUP('Données projet'!$B$15,Paramètres!$A$1:$I$89,3,0)*0.475*44/12</f>
        <v>2.4805967197425023</v>
      </c>
      <c r="EX98" s="21">
        <f>EXP(-LN(2)/2)*EX97+(1-EXP(-LN(2)/2))/(LN(2)/2)*ER98*EU98*VLOOKUP('Données projet'!$B$15,Paramètres!$A$1:$I$89,3,0)*0.475*44/12</f>
        <v>5.2151084083766162E-9</v>
      </c>
      <c r="EY98" s="22">
        <f t="shared" si="75"/>
        <v>3.2264804674571614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-1.7053025658242404E-13</v>
      </c>
      <c r="FF98" s="17">
        <f>FE98*VLOOKUP('Données projet'!$B$16,Paramètres!$A$1:$I$89,3,0)*VLOOKUP('Données projet'!$B$16,Paramètres!$A$1:$I$89,5,0)</f>
        <v>-7.9808160080574461E-14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87.187251664304199</v>
      </c>
      <c r="FK98" s="59">
        <f t="shared" si="102"/>
        <v>148.84938257884147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1.3300084823298561</v>
      </c>
      <c r="FS98" s="21">
        <f>EXP(-LN(2)/2)*FS97+(1-EXP(-LN(2)/2))/(LN(2)/2)*FM98*FP98*VLOOKUP('Données projet'!$B$16,Paramètres!$A$1:$I$89,3,0)*0.475*44/12</f>
        <v>1.0016338912044924E-9</v>
      </c>
      <c r="FT98" s="22">
        <f t="shared" si="78"/>
        <v>1.33000848333149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-1.1368683772161603E-13</v>
      </c>
      <c r="GA98" s="17">
        <f>FZ98*VLOOKUP('Données projet'!$B$17,Paramètres!$A$1:$I$89,3,0)*VLOOKUP('Données projet'!$B$17,Paramètres!$A$1:$I$89,5,0)</f>
        <v>-6.7984728957526396E-14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282.94722676586207</v>
      </c>
      <c r="GF98" s="59">
        <f t="shared" si="104"/>
        <v>310.63647941571298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1.7677308012148631</v>
      </c>
      <c r="GN98" s="21">
        <f>EXP(-LN(2)/2)*GN97+(1-EXP(-LN(2)/2))/(LN(2)/2)*GH98*GK98*VLOOKUP('Données projet'!$B$17,Paramètres!$A$1:$I$89,3,0)*0.475*44/12</f>
        <v>4.2209793837029722E-9</v>
      </c>
      <c r="GO98" s="21">
        <f t="shared" si="81"/>
        <v>1.7677308054358425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-1.1368683772161603E-13</v>
      </c>
      <c r="GV98" s="17">
        <f>GU98*VLOOKUP('Données projet'!$B$18,Paramètres!$A$1:$I$89,3,0)*VLOOKUP('Données projet'!$B$18,Paramètres!$A$1:$I$89,5,0)</f>
        <v>-6.7984728957526396E-14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255.54398581450459</v>
      </c>
      <c r="HA98" s="59">
        <f t="shared" si="106"/>
        <v>276.52622328061204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</v>
      </c>
      <c r="HH98" s="21">
        <f>EXP(-LN(2)/25)*HH97+(1-EXP(-LN(2)/25))/(LN(2)/25)*Calculateur!HC98*Calculateur!HE98*VLOOKUP('Données projet'!$B$18,Paramètres!$A$1:$I$89,3,0)*0.475*44/12</f>
        <v>0.88204221701173602</v>
      </c>
      <c r="HI98" s="21">
        <f>EXP(-LN(2)/2)*HI97+(1-EXP(-LN(2)/2))/(LN(2)/2)*HC98*HF98*VLOOKUP('Données projet'!$B$18,Paramètres!$A$1:$I$89,3,0)*0.475*44/12</f>
        <v>2.4476591308503965E-9</v>
      </c>
      <c r="HJ98" s="22">
        <f t="shared" si="84"/>
        <v>0.88204221945939509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4.9658410716801891E-14</v>
      </c>
      <c r="P99" s="13">
        <f t="shared" si="87"/>
        <v>8.0934058173791862E-13</v>
      </c>
      <c r="Q99" s="20">
        <f t="shared" ref="Q99:Q130" si="107">(O99+P99)*0.475*44/12</f>
        <v>1.4960899118586383E-12</v>
      </c>
      <c r="R99" s="59">
        <f t="shared" si="55"/>
        <v>293.33333333333479</v>
      </c>
      <c r="S99" s="59">
        <f ca="1">AVERAGE(OFFSET($R$3,0,0,'Données projet'!$E$9+1,1))-AVERAGE(OFFSET($H$3,0,0,'Données projet'!$E$9+1,1))</f>
        <v>248.50221719467663</v>
      </c>
      <c r="T99" s="59">
        <f t="shared" si="88"/>
        <v>366.09064580347183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2.1364200127997903</v>
      </c>
      <c r="AA99" s="21">
        <f>EXP(-LN(2)/25)*AA98+(1-EXP(-LN(2)/25))/(LN(2)/25)*Calculateur!V99*Calculateur!X99*VLOOKUP('Données projet'!$B$9,Paramètres!$A$1:$I$89,3,0)*0.475*44/12</f>
        <v>3.8614912032193236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5.9979112160191139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263.22346936777603</v>
      </c>
      <c r="AO99" s="59">
        <f t="shared" si="90"/>
        <v>217.14714468707939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1.1673167367224222</v>
      </c>
      <c r="AW99" s="21">
        <f>EXP(-LN(2)/2)*AW98+(1-EXP(-LN(2)/2))/(LN(2)/2)*AQ99*AT99*VLOOKUP('Données projet'!$B$10,Paramètres!$A$1:$I$89,3,0)*0.475*44/12</f>
        <v>2.0781020221348402E-9</v>
      </c>
      <c r="AX99" s="21">
        <f t="shared" si="60"/>
        <v>1.1673167388005241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4.4337866711430253E-14</v>
      </c>
      <c r="BF99" s="13">
        <f t="shared" si="91"/>
        <v>7.3222115536967035E-13</v>
      </c>
      <c r="BG99" s="20">
        <f t="shared" si="61"/>
        <v>1.3525069634579169E-12</v>
      </c>
      <c r="BH99" s="59">
        <f t="shared" si="62"/>
        <v>293.33333333333468</v>
      </c>
      <c r="BI99" s="59">
        <f ca="1">AVERAGE(OFFSET($BH$3,0,0,'Données projet'!$E$11+1,1))-AVERAGE(OFFSET($H$3,0,0,'Données projet'!$E$11+1,1))</f>
        <v>219.22204054948094</v>
      </c>
      <c r="BJ99" s="59">
        <f t="shared" si="92"/>
        <v>222.41711966122034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0.50303573746589902</v>
      </c>
      <c r="BR99" s="21">
        <f>EXP(-LN(2)/2)*BR98+(1-EXP(-LN(2)/2))/(LN(2)/2)*BL99*BO99*VLOOKUP('Données projet'!$B$11,Paramètres!$A$1:$I$89,3,0)*0.475*44/12</f>
        <v>3.8069060960931033E-10</v>
      </c>
      <c r="BS99" s="22">
        <f t="shared" si="63"/>
        <v>0.50303573784658961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-3.979039320256561E-13</v>
      </c>
      <c r="BZ99" s="13">
        <f>BY99*VLOOKUP('Données projet'!$B$12,Paramètres!$A$1:$I$89,3,0)*VLOOKUP('Données projet'!$B$12,Paramètres!$A$1:$I$89,5,0)</f>
        <v>-3.41401573678013E-13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237.27357081252273</v>
      </c>
      <c r="CE99" s="59">
        <f t="shared" si="94"/>
        <v>68.768479693848576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-3.4106051316484809E-13</v>
      </c>
      <c r="CU99" s="17">
        <f>CT99*VLOOKUP('Données projet'!$B$13,Paramètres!$A$1:$I$89,3,0)*VLOOKUP('Données projet'!$B$13,Paramètres!$A$1:$I$89,5,0)</f>
        <v>-1.9065282685915009E-13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474.03051418249999</v>
      </c>
      <c r="CZ99" s="59">
        <f t="shared" si="96"/>
        <v>649.52271992719091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1.478941817554752</v>
      </c>
      <c r="DG99" s="21">
        <f>EXP(-LN(2)/25)*DG98+(1-EXP(-LN(2)/25))/(LN(2)/25)*Calculateur!DB99*Calculateur!DD99*VLOOKUP('Données projet'!$B$13,Paramètres!$A$1:$I$89,3,0)*0.475*44/12</f>
        <v>3.8812517478511426</v>
      </c>
      <c r="DH99" s="21">
        <f>EXP(-LN(2)/2)*DH98+(1-EXP(-LN(2)/2))/(LN(2)/2)*DB99*DE99*VLOOKUP('Données projet'!$B$13,Paramètres!$A$1:$I$89,3,0)*0.475*44/12</f>
        <v>1.3620206215052291E-9</v>
      </c>
      <c r="DI99" s="22">
        <f t="shared" si="69"/>
        <v>5.360193566767915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-5.6843418860808015E-14</v>
      </c>
      <c r="DP99" s="17">
        <f>DO99*VLOOKUP('Données projet'!$B$14,Paramètres!$A$1:$I$89,3,0)*VLOOKUP('Données projet'!$B$14,Paramètres!$A$1:$I$89,5,0)</f>
        <v>-3.1036506698001178E-14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164.0740581424559</v>
      </c>
      <c r="DU99" s="59">
        <f t="shared" si="98"/>
        <v>280.99861170359793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1.7875544280589828</v>
      </c>
      <c r="EB99" s="21">
        <f>EXP(-LN(2)/25)*EB98+(1-EXP(-LN(2)/25))/(LN(2)/25)*Calculateur!DW99*Calculateur!DY99*VLOOKUP('Données projet'!$B$14,Paramètres!$A$1:$I$89,3,0)*0.475*44/12</f>
        <v>4.1545571948365119</v>
      </c>
      <c r="EC99" s="21">
        <f>EXP(-LN(2)/2)*EC98+(1-EXP(-LN(2)/2))/(LN(2)/2)*DW99*DZ99*VLOOKUP('Données projet'!$B$14,Paramètres!$A$1:$I$89,3,0)*0.475*44/12</f>
        <v>1.767034788743094E-9</v>
      </c>
      <c r="ED99" s="22">
        <f t="shared" si="72"/>
        <v>5.9421116246625294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1.1368683772161603E-13</v>
      </c>
      <c r="EK99" s="17">
        <f>EJ99*VLOOKUP('Données projet'!$B$15,Paramètres!$A$1:$I$89,3,0)*VLOOKUP('Données projet'!$B$15,Paramètres!$A$1:$I$89,5,0)</f>
        <v>5.4683368944097308E-14</v>
      </c>
      <c r="EL99" s="13">
        <f t="shared" si="99"/>
        <v>8.8129432816788268E-13</v>
      </c>
      <c r="EM99" s="20">
        <f t="shared" si="73"/>
        <v>1.6301611558033651E-12</v>
      </c>
      <c r="EN99" s="59">
        <f t="shared" si="74"/>
        <v>293.33333333333496</v>
      </c>
      <c r="EO99" s="59">
        <f ca="1">AVERAGE(OFFSET($EN$3,0,0,'Données projet'!$E$15+1,1))-AVERAGE(OFFSET($H$3,0,0,'Données projet'!$E$15+1,1))</f>
        <v>312.1172301514103</v>
      </c>
      <c r="EP99" s="59">
        <f t="shared" si="100"/>
        <v>369.85500533493212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0.73125741725329529</v>
      </c>
      <c r="EW99" s="21">
        <f>EXP(-LN(2)/25)*EW98+(1-EXP(-LN(2)/25))/(LN(2)/25)*Calculateur!ER99*Calculateur!ET99*VLOOKUP('Données projet'!$B$15,Paramètres!$A$1:$I$89,3,0)*0.475*44/12</f>
        <v>2.4127646719922318</v>
      </c>
      <c r="EX99" s="21">
        <f>EXP(-LN(2)/2)*EX98+(1-EXP(-LN(2)/2))/(LN(2)/2)*ER99*EU99*VLOOKUP('Données projet'!$B$15,Paramètres!$A$1:$I$89,3,0)*0.475*44/12</f>
        <v>3.6876385201860883E-9</v>
      </c>
      <c r="EY99" s="22">
        <f t="shared" si="75"/>
        <v>3.1440220929331657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-1.7053025658242404E-13</v>
      </c>
      <c r="FF99" s="17">
        <f>FE99*VLOOKUP('Données projet'!$B$16,Paramètres!$A$1:$I$89,3,0)*VLOOKUP('Données projet'!$B$16,Paramètres!$A$1:$I$89,5,0)</f>
        <v>-7.9808160080574461E-14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87.187251664304199</v>
      </c>
      <c r="FK99" s="59">
        <f t="shared" si="102"/>
        <v>148.84938257884147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1.2936393304384399</v>
      </c>
      <c r="FS99" s="21">
        <f>EXP(-LN(2)/2)*FS98+(1-EXP(-LN(2)/2))/(LN(2)/2)*FM99*FP99*VLOOKUP('Données projet'!$B$16,Paramètres!$A$1:$I$89,3,0)*0.475*44/12</f>
        <v>7.0826211673696514E-10</v>
      </c>
      <c r="FT99" s="22">
        <f t="shared" si="78"/>
        <v>1.293639331146702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-1.1368683772161603E-13</v>
      </c>
      <c r="GA99" s="17">
        <f>FZ99*VLOOKUP('Données projet'!$B$17,Paramètres!$A$1:$I$89,3,0)*VLOOKUP('Données projet'!$B$17,Paramètres!$A$1:$I$89,5,0)</f>
        <v>-6.7984728957526396E-14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282.94722676586207</v>
      </c>
      <c r="GF99" s="59">
        <f t="shared" si="104"/>
        <v>310.63647941571298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1.71939210949472</v>
      </c>
      <c r="GN99" s="21">
        <f>EXP(-LN(2)/2)*GN98+(1-EXP(-LN(2)/2))/(LN(2)/2)*GH99*GK99*VLOOKUP('Données projet'!$B$17,Paramètres!$A$1:$I$89,3,0)*0.475*44/12</f>
        <v>2.9846831454649859E-9</v>
      </c>
      <c r="GO99" s="21">
        <f t="shared" si="81"/>
        <v>1.7193921124794032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-1.1368683772161603E-13</v>
      </c>
      <c r="GV99" s="17">
        <f>GU99*VLOOKUP('Données projet'!$B$18,Paramètres!$A$1:$I$89,3,0)*VLOOKUP('Données projet'!$B$18,Paramètres!$A$1:$I$89,5,0)</f>
        <v>-6.7984728957526396E-14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255.54398581450459</v>
      </c>
      <c r="HA99" s="59">
        <f t="shared" si="106"/>
        <v>276.52622328061204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</v>
      </c>
      <c r="HH99" s="21">
        <f>EXP(-LN(2)/25)*HH98+(1-EXP(-LN(2)/25))/(LN(2)/25)*Calculateur!HC99*Calculateur!HE99*VLOOKUP('Données projet'!$B$18,Paramètres!$A$1:$I$89,3,0)*0.475*44/12</f>
        <v>0.85792272620296584</v>
      </c>
      <c r="HI99" s="21">
        <f>EXP(-LN(2)/2)*HI98+(1-EXP(-LN(2)/2))/(LN(2)/2)*HC99*HF99*VLOOKUP('Données projet'!$B$18,Paramètres!$A$1:$I$89,3,0)*0.475*44/12</f>
        <v>1.7307563694574864E-9</v>
      </c>
      <c r="HJ99" s="22">
        <f t="shared" si="84"/>
        <v>0.85792272793372215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4.9658410716801891E-14</v>
      </c>
      <c r="P100" s="13">
        <f t="shared" si="87"/>
        <v>8.0934058173791862E-13</v>
      </c>
      <c r="Q100" s="20">
        <f t="shared" si="107"/>
        <v>1.4960899118586383E-12</v>
      </c>
      <c r="R100" s="59">
        <f t="shared" si="55"/>
        <v>293.33333333333479</v>
      </c>
      <c r="S100" s="59">
        <f ca="1">AVERAGE(OFFSET($R$3,0,0,'Données projet'!$E$9+1,1))-AVERAGE(OFFSET($H$3,0,0,'Données projet'!$E$9+1,1))</f>
        <v>248.50221719467663</v>
      </c>
      <c r="T100" s="59">
        <f t="shared" si="88"/>
        <v>366.09064580347183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2.0945261194363249</v>
      </c>
      <c r="AA100" s="21">
        <f>EXP(-LN(2)/25)*AA99+(1-EXP(-LN(2)/25))/(LN(2)/25)*Calculateur!V100*Calculateur!X100*VLOOKUP('Données projet'!$B$9,Paramètres!$A$1:$I$89,3,0)*0.475*44/12</f>
        <v>3.7558985232002944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5.8504246426366198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263.22346936777603</v>
      </c>
      <c r="AO100" s="59">
        <f t="shared" si="90"/>
        <v>217.14714468707939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1.1353963991702283</v>
      </c>
      <c r="AW100" s="21">
        <f>EXP(-LN(2)/2)*AW99+(1-EXP(-LN(2)/2))/(LN(2)/2)*AQ100*AT100*VLOOKUP('Données projet'!$B$10,Paramètres!$A$1:$I$89,3,0)*0.475*44/12</f>
        <v>1.4694400318490224E-9</v>
      </c>
      <c r="AX100" s="21">
        <f t="shared" si="60"/>
        <v>1.1353964006396684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4.4337866711430253E-14</v>
      </c>
      <c r="BF100" s="13">
        <f t="shared" si="91"/>
        <v>7.3222115536967035E-13</v>
      </c>
      <c r="BG100" s="20">
        <f t="shared" si="61"/>
        <v>1.3525069634579169E-12</v>
      </c>
      <c r="BH100" s="59">
        <f t="shared" si="62"/>
        <v>293.33333333333468</v>
      </c>
      <c r="BI100" s="59">
        <f ca="1">AVERAGE(OFFSET($BH$3,0,0,'Données projet'!$E$11+1,1))-AVERAGE(OFFSET($H$3,0,0,'Données projet'!$E$11+1,1))</f>
        <v>219.22204054948094</v>
      </c>
      <c r="BJ100" s="59">
        <f t="shared" si="92"/>
        <v>222.41711966122034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0.48928019877139428</v>
      </c>
      <c r="BR100" s="21">
        <f>EXP(-LN(2)/2)*BR99+(1-EXP(-LN(2)/2))/(LN(2)/2)*BL100*BO100*VLOOKUP('Données projet'!$B$11,Paramètres!$A$1:$I$89,3,0)*0.475*44/12</f>
        <v>2.6918891158878398E-10</v>
      </c>
      <c r="BS100" s="22">
        <f t="shared" si="63"/>
        <v>0.48928019904058317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-3.979039320256561E-13</v>
      </c>
      <c r="BZ100" s="13">
        <f>BY100*VLOOKUP('Données projet'!$B$12,Paramètres!$A$1:$I$89,3,0)*VLOOKUP('Données projet'!$B$12,Paramètres!$A$1:$I$89,5,0)</f>
        <v>-3.41401573678013E-13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237.27357081252273</v>
      </c>
      <c r="CE100" s="59">
        <f t="shared" si="94"/>
        <v>68.768479693848576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-3.4106051316484809E-13</v>
      </c>
      <c r="CU100" s="17">
        <f>CT100*VLOOKUP('Données projet'!$B$13,Paramètres!$A$1:$I$89,3,0)*VLOOKUP('Données projet'!$B$13,Paramètres!$A$1:$I$89,5,0)</f>
        <v>-1.9065282685915009E-13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474.03051418249999</v>
      </c>
      <c r="CZ100" s="59">
        <f t="shared" si="96"/>
        <v>649.52271992719091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1.4499406705779405</v>
      </c>
      <c r="DG100" s="21">
        <f>EXP(-LN(2)/25)*DG99+(1-EXP(-LN(2)/25))/(LN(2)/25)*Calculateur!DB100*Calculateur!DD100*VLOOKUP('Données projet'!$B$13,Paramètres!$A$1:$I$89,3,0)*0.475*44/12</f>
        <v>3.7751187146999943</v>
      </c>
      <c r="DH100" s="21">
        <f>EXP(-LN(2)/2)*DH99+(1-EXP(-LN(2)/2))/(LN(2)/2)*DB100*DE100*VLOOKUP('Données projet'!$B$13,Paramètres!$A$1:$I$89,3,0)*0.475*44/12</f>
        <v>9.6309401758226351E-10</v>
      </c>
      <c r="DI100" s="22">
        <f t="shared" si="69"/>
        <v>5.2250593862410284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-5.6843418860808015E-14</v>
      </c>
      <c r="DP100" s="17">
        <f>DO100*VLOOKUP('Données projet'!$B$14,Paramètres!$A$1:$I$89,3,0)*VLOOKUP('Données projet'!$B$14,Paramètres!$A$1:$I$89,5,0)</f>
        <v>-3.1036506698001178E-14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164.0740581424559</v>
      </c>
      <c r="DU100" s="59">
        <f t="shared" si="98"/>
        <v>280.99861170359793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1.7525015760252891</v>
      </c>
      <c r="EB100" s="21">
        <f>EXP(-LN(2)/25)*EB99+(1-EXP(-LN(2)/25))/(LN(2)/25)*Calculateur!DW100*Calculateur!DY100*VLOOKUP('Données projet'!$B$14,Paramètres!$A$1:$I$89,3,0)*0.475*44/12</f>
        <v>4.0409506098650398</v>
      </c>
      <c r="EC100" s="21">
        <f>EXP(-LN(2)/2)*EC99+(1-EXP(-LN(2)/2))/(LN(2)/2)*DW100*DZ100*VLOOKUP('Données projet'!$B$14,Paramètres!$A$1:$I$89,3,0)*0.475*44/12</f>
        <v>1.2494822817127802E-9</v>
      </c>
      <c r="ED100" s="22">
        <f t="shared" si="72"/>
        <v>5.7934521871398115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1.1368683772161603E-13</v>
      </c>
      <c r="EK100" s="17">
        <f>EJ100*VLOOKUP('Données projet'!$B$15,Paramètres!$A$1:$I$89,3,0)*VLOOKUP('Données projet'!$B$15,Paramètres!$A$1:$I$89,5,0)</f>
        <v>5.4683368944097308E-14</v>
      </c>
      <c r="EL100" s="13">
        <f t="shared" si="99"/>
        <v>8.8129432816788268E-13</v>
      </c>
      <c r="EM100" s="20">
        <f t="shared" si="73"/>
        <v>1.6301611558033651E-12</v>
      </c>
      <c r="EN100" s="59">
        <f t="shared" si="74"/>
        <v>293.33333333333496</v>
      </c>
      <c r="EO100" s="59">
        <f ca="1">AVERAGE(OFFSET($EN$3,0,0,'Données projet'!$E$15+1,1))-AVERAGE(OFFSET($H$3,0,0,'Données projet'!$E$15+1,1))</f>
        <v>312.1172301514103</v>
      </c>
      <c r="EP100" s="59">
        <f t="shared" si="100"/>
        <v>369.85500533493212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0.71691790532394162</v>
      </c>
      <c r="EW100" s="21">
        <f>EXP(-LN(2)/25)*EW99+(1-EXP(-LN(2)/25))/(LN(2)/25)*Calculateur!ER100*Calculateur!ET100*VLOOKUP('Données projet'!$B$15,Paramètres!$A$1:$I$89,3,0)*0.475*44/12</f>
        <v>2.3467874951548247</v>
      </c>
      <c r="EX100" s="21">
        <f>EXP(-LN(2)/2)*EX99+(1-EXP(-LN(2)/2))/(LN(2)/2)*ER100*EU100*VLOOKUP('Données projet'!$B$15,Paramètres!$A$1:$I$89,3,0)*0.475*44/12</f>
        <v>2.6075542041883085E-9</v>
      </c>
      <c r="EY100" s="22">
        <f t="shared" si="75"/>
        <v>3.0637054030863204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-1.7053025658242404E-13</v>
      </c>
      <c r="FF100" s="17">
        <f>FE100*VLOOKUP('Données projet'!$B$16,Paramètres!$A$1:$I$89,3,0)*VLOOKUP('Données projet'!$B$16,Paramètres!$A$1:$I$89,5,0)</f>
        <v>-7.9808160080574461E-14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87.187251664304199</v>
      </c>
      <c r="FK100" s="59">
        <f t="shared" si="102"/>
        <v>148.84938257884147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1.2582646949180651</v>
      </c>
      <c r="FS100" s="21">
        <f>EXP(-LN(2)/2)*FS99+(1-EXP(-LN(2)/2))/(LN(2)/2)*FM100*FP100*VLOOKUP('Données projet'!$B$16,Paramètres!$A$1:$I$89,3,0)*0.475*44/12</f>
        <v>5.0081694560224619E-10</v>
      </c>
      <c r="FT100" s="22">
        <f t="shared" si="78"/>
        <v>1.2582646954188821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-1.1368683772161603E-13</v>
      </c>
      <c r="GA100" s="17">
        <f>FZ100*VLOOKUP('Données projet'!$B$17,Paramètres!$A$1:$I$89,3,0)*VLOOKUP('Données projet'!$B$17,Paramètres!$A$1:$I$89,5,0)</f>
        <v>-6.7984728957526396E-14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282.94722676586207</v>
      </c>
      <c r="GF100" s="59">
        <f t="shared" si="104"/>
        <v>310.63647941571298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1.6723752418416855</v>
      </c>
      <c r="GN100" s="21">
        <f>EXP(-LN(2)/2)*GN99+(1-EXP(-LN(2)/2))/(LN(2)/2)*GH100*GK100*VLOOKUP('Données projet'!$B$17,Paramètres!$A$1:$I$89,3,0)*0.475*44/12</f>
        <v>2.1104896918514861E-9</v>
      </c>
      <c r="GO100" s="21">
        <f t="shared" si="81"/>
        <v>1.6723752439521753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-1.1368683772161603E-13</v>
      </c>
      <c r="GV100" s="17">
        <f>GU100*VLOOKUP('Données projet'!$B$18,Paramètres!$A$1:$I$89,3,0)*VLOOKUP('Données projet'!$B$18,Paramètres!$A$1:$I$89,5,0)</f>
        <v>-6.7984728957526396E-14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255.54398581450459</v>
      </c>
      <c r="HA100" s="59">
        <f t="shared" si="106"/>
        <v>276.52622328061204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</v>
      </c>
      <c r="HH100" s="21">
        <f>EXP(-LN(2)/25)*HH99+(1-EXP(-LN(2)/25))/(LN(2)/25)*Calculateur!HC100*Calculateur!HE100*VLOOKUP('Données projet'!$B$18,Paramètres!$A$1:$I$89,3,0)*0.475*44/12</f>
        <v>0.83446278413875041</v>
      </c>
      <c r="HI100" s="21">
        <f>EXP(-LN(2)/2)*HI99+(1-EXP(-LN(2)/2))/(LN(2)/2)*HC100*HF100*VLOOKUP('Données projet'!$B$18,Paramètres!$A$1:$I$89,3,0)*0.475*44/12</f>
        <v>1.2238295654251983E-9</v>
      </c>
      <c r="HJ100" s="22">
        <f t="shared" si="84"/>
        <v>0.83446278536258001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4.9658410716801891E-14</v>
      </c>
      <c r="P101" s="13">
        <f t="shared" si="87"/>
        <v>8.0934058173791862E-13</v>
      </c>
      <c r="Q101" s="20">
        <f t="shared" si="107"/>
        <v>1.4960899118586383E-12</v>
      </c>
      <c r="R101" s="59">
        <f t="shared" si="55"/>
        <v>293.33333333333479</v>
      </c>
      <c r="S101" s="59">
        <f ca="1">AVERAGE(OFFSET($R$3,0,0,'Données projet'!$E$9+1,1))-AVERAGE(OFFSET($H$3,0,0,'Données projet'!$E$9+1,1))</f>
        <v>248.50221719467663</v>
      </c>
      <c r="T101" s="59">
        <f t="shared" si="88"/>
        <v>366.09064580347183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2.0534537397689654</v>
      </c>
      <c r="AA101" s="21">
        <f>EXP(-LN(2)/25)*AA100+(1-EXP(-LN(2)/25))/(LN(2)/25)*Calculateur!V101*Calculateur!X101*VLOOKUP('Données projet'!$B$9,Paramètres!$A$1:$I$89,3,0)*0.475*44/12</f>
        <v>3.6531932805692633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5.7066470203382291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263.22346936777603</v>
      </c>
      <c r="AO101" s="59">
        <f t="shared" si="90"/>
        <v>217.14714468707939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1.1043489249270166</v>
      </c>
      <c r="AW101" s="21">
        <f>EXP(-LN(2)/2)*AW100+(1-EXP(-LN(2)/2))/(LN(2)/2)*AQ101*AT101*VLOOKUP('Données projet'!$B$10,Paramètres!$A$1:$I$89,3,0)*0.475*44/12</f>
        <v>1.0390510110674201E-9</v>
      </c>
      <c r="AX101" s="21">
        <f t="shared" si="60"/>
        <v>1.1043489259660677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4.4337866711430253E-14</v>
      </c>
      <c r="BF101" s="13">
        <f t="shared" si="91"/>
        <v>7.3222115536967035E-13</v>
      </c>
      <c r="BG101" s="20">
        <f t="shared" si="61"/>
        <v>1.3525069634579169E-12</v>
      </c>
      <c r="BH101" s="59">
        <f t="shared" si="62"/>
        <v>293.33333333333468</v>
      </c>
      <c r="BI101" s="59">
        <f ca="1">AVERAGE(OFFSET($BH$3,0,0,'Données projet'!$E$11+1,1))-AVERAGE(OFFSET($H$3,0,0,'Données projet'!$E$11+1,1))</f>
        <v>219.22204054948094</v>
      </c>
      <c r="BJ101" s="59">
        <f t="shared" si="92"/>
        <v>222.41711966122034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0.4759008060058631</v>
      </c>
      <c r="BR101" s="21">
        <f>EXP(-LN(2)/2)*BR100+(1-EXP(-LN(2)/2))/(LN(2)/2)*BL101*BO101*VLOOKUP('Données projet'!$B$11,Paramètres!$A$1:$I$89,3,0)*0.475*44/12</f>
        <v>1.9034530480465516E-10</v>
      </c>
      <c r="BS101" s="22">
        <f t="shared" si="63"/>
        <v>0.47590080619620839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-3.979039320256561E-13</v>
      </c>
      <c r="BZ101" s="13">
        <f>BY101*VLOOKUP('Données projet'!$B$12,Paramètres!$A$1:$I$89,3,0)*VLOOKUP('Données projet'!$B$12,Paramètres!$A$1:$I$89,5,0)</f>
        <v>-3.41401573678013E-13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237.27357081252273</v>
      </c>
      <c r="CE101" s="59">
        <f t="shared" si="94"/>
        <v>68.768479693848576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-3.4106051316484809E-13</v>
      </c>
      <c r="CU101" s="17">
        <f>CT101*VLOOKUP('Données projet'!$B$13,Paramètres!$A$1:$I$89,3,0)*VLOOKUP('Données projet'!$B$13,Paramètres!$A$1:$I$89,5,0)</f>
        <v>-1.9065282685915009E-13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474.03051418249999</v>
      </c>
      <c r="CZ101" s="59">
        <f t="shared" si="96"/>
        <v>649.52271992719091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1.4215082184043912</v>
      </c>
      <c r="DG101" s="21">
        <f>EXP(-LN(2)/25)*DG100+(1-EXP(-LN(2)/25))/(LN(2)/25)*Calculateur!DB101*Calculateur!DD101*VLOOKUP('Données projet'!$B$13,Paramètres!$A$1:$I$89,3,0)*0.475*44/12</f>
        <v>3.671887894921658</v>
      </c>
      <c r="DH101" s="21">
        <f>EXP(-LN(2)/2)*DH100+(1-EXP(-LN(2)/2))/(LN(2)/2)*DB101*DE101*VLOOKUP('Données projet'!$B$13,Paramètres!$A$1:$I$89,3,0)*0.475*44/12</f>
        <v>6.8101031075261457E-10</v>
      </c>
      <c r="DI101" s="22">
        <f t="shared" si="69"/>
        <v>5.0933961140070592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-5.6843418860808015E-14</v>
      </c>
      <c r="DP101" s="17">
        <f>DO101*VLOOKUP('Données projet'!$B$14,Paramètres!$A$1:$I$89,3,0)*VLOOKUP('Données projet'!$B$14,Paramètres!$A$1:$I$89,5,0)</f>
        <v>-3.1036506698001178E-14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164.0740581424559</v>
      </c>
      <c r="DU101" s="59">
        <f t="shared" si="98"/>
        <v>280.99861170359793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1.7181360890398474</v>
      </c>
      <c r="EB101" s="21">
        <f>EXP(-LN(2)/25)*EB100+(1-EXP(-LN(2)/25))/(LN(2)/25)*Calculateur!DW101*Calculateur!DY101*VLOOKUP('Données projet'!$B$14,Paramètres!$A$1:$I$89,3,0)*0.475*44/12</f>
        <v>3.9304506029339237</v>
      </c>
      <c r="EC101" s="21">
        <f>EXP(-LN(2)/2)*EC100+(1-EXP(-LN(2)/2))/(LN(2)/2)*DW101*DZ101*VLOOKUP('Données projet'!$B$14,Paramètres!$A$1:$I$89,3,0)*0.475*44/12</f>
        <v>8.8351739437154699E-10</v>
      </c>
      <c r="ED101" s="22">
        <f t="shared" si="72"/>
        <v>5.6485866928572879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1.1368683772161603E-13</v>
      </c>
      <c r="EK101" s="17">
        <f>EJ101*VLOOKUP('Données projet'!$B$15,Paramètres!$A$1:$I$89,3,0)*VLOOKUP('Données projet'!$B$15,Paramètres!$A$1:$I$89,5,0)</f>
        <v>5.4683368944097308E-14</v>
      </c>
      <c r="EL101" s="13">
        <f t="shared" si="99"/>
        <v>8.8129432816788268E-13</v>
      </c>
      <c r="EM101" s="20">
        <f t="shared" si="73"/>
        <v>1.6301611558033651E-12</v>
      </c>
      <c r="EN101" s="59">
        <f t="shared" si="74"/>
        <v>293.33333333333496</v>
      </c>
      <c r="EO101" s="59">
        <f ca="1">AVERAGE(OFFSET($EN$3,0,0,'Données projet'!$E$15+1,1))-AVERAGE(OFFSET($H$3,0,0,'Données projet'!$E$15+1,1))</f>
        <v>312.1172301514103</v>
      </c>
      <c r="EP101" s="59">
        <f t="shared" si="100"/>
        <v>369.85500533493212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0.70285958247728386</v>
      </c>
      <c r="EW101" s="21">
        <f>EXP(-LN(2)/25)*EW100+(1-EXP(-LN(2)/25))/(LN(2)/25)*Calculateur!ER101*Calculateur!ET101*VLOOKUP('Données projet'!$B$15,Paramètres!$A$1:$I$89,3,0)*0.475*44/12</f>
        <v>2.2826144676876252</v>
      </c>
      <c r="EX101" s="21">
        <f>EXP(-LN(2)/2)*EX100+(1-EXP(-LN(2)/2))/(LN(2)/2)*ER101*EU101*VLOOKUP('Données projet'!$B$15,Paramètres!$A$1:$I$89,3,0)*0.475*44/12</f>
        <v>1.8438192600930445E-9</v>
      </c>
      <c r="EY101" s="22">
        <f t="shared" si="75"/>
        <v>2.9854740520087284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-1.7053025658242404E-13</v>
      </c>
      <c r="FF101" s="17">
        <f>FE101*VLOOKUP('Données projet'!$B$16,Paramètres!$A$1:$I$89,3,0)*VLOOKUP('Données projet'!$B$16,Paramètres!$A$1:$I$89,5,0)</f>
        <v>-7.9808160080574461E-14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87.187251664304199</v>
      </c>
      <c r="FK101" s="59">
        <f t="shared" si="102"/>
        <v>148.84938257884147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1.223857380666266</v>
      </c>
      <c r="FS101" s="21">
        <f>EXP(-LN(2)/2)*FS100+(1-EXP(-LN(2)/2))/(LN(2)/2)*FM101*FP101*VLOOKUP('Données projet'!$B$16,Paramètres!$A$1:$I$89,3,0)*0.475*44/12</f>
        <v>3.5413105836848257E-10</v>
      </c>
      <c r="FT101" s="22">
        <f t="shared" si="78"/>
        <v>1.2238573810203972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-1.1368683772161603E-13</v>
      </c>
      <c r="GA101" s="17">
        <f>FZ101*VLOOKUP('Données projet'!$B$17,Paramètres!$A$1:$I$89,3,0)*VLOOKUP('Données projet'!$B$17,Paramètres!$A$1:$I$89,5,0)</f>
        <v>-6.7984728957526396E-14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282.94722676586207</v>
      </c>
      <c r="GF101" s="59">
        <f t="shared" si="104"/>
        <v>310.63647941571298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1.6266440529071329</v>
      </c>
      <c r="GN101" s="21">
        <f>EXP(-LN(2)/2)*GN100+(1-EXP(-LN(2)/2))/(LN(2)/2)*GH101*GK101*VLOOKUP('Données projet'!$B$17,Paramètres!$A$1:$I$89,3,0)*0.475*44/12</f>
        <v>1.4923415727324929E-9</v>
      </c>
      <c r="GO101" s="21">
        <f t="shared" si="81"/>
        <v>1.6266440543994745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-1.1368683772161603E-13</v>
      </c>
      <c r="GV101" s="17">
        <f>GU101*VLOOKUP('Données projet'!$B$18,Paramètres!$A$1:$I$89,3,0)*VLOOKUP('Données projet'!$B$18,Paramètres!$A$1:$I$89,5,0)</f>
        <v>-6.7984728957526396E-14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255.54398581450459</v>
      </c>
      <c r="HA101" s="59">
        <f t="shared" si="106"/>
        <v>276.52622328061204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</v>
      </c>
      <c r="HH101" s="21">
        <f>EXP(-LN(2)/25)*HH100+(1-EXP(-LN(2)/25))/(LN(2)/25)*Calculateur!HC101*Calculateur!HE101*VLOOKUP('Données projet'!$B$18,Paramètres!$A$1:$I$89,3,0)*0.475*44/12</f>
        <v>0.81164435542398561</v>
      </c>
      <c r="HI101" s="21">
        <f>EXP(-LN(2)/2)*HI100+(1-EXP(-LN(2)/2))/(LN(2)/2)*HC101*HF101*VLOOKUP('Données projet'!$B$18,Paramètres!$A$1:$I$89,3,0)*0.475*44/12</f>
        <v>8.6537818472874322E-10</v>
      </c>
      <c r="HJ101" s="22">
        <f t="shared" si="84"/>
        <v>0.81164435628936382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4.9658410716801891E-14</v>
      </c>
      <c r="P102" s="13">
        <f t="shared" si="87"/>
        <v>8.0934058173791862E-13</v>
      </c>
      <c r="Q102" s="20">
        <f t="shared" si="107"/>
        <v>1.4960899118586383E-12</v>
      </c>
      <c r="R102" s="59">
        <f t="shared" si="55"/>
        <v>293.33333333333479</v>
      </c>
      <c r="S102" s="59">
        <f ca="1">AVERAGE(OFFSET($R$3,0,0,'Données projet'!$E$9+1,1))-AVERAGE(OFFSET($H$3,0,0,'Données projet'!$E$9+1,1))</f>
        <v>248.50221719467663</v>
      </c>
      <c r="T102" s="59">
        <f t="shared" si="88"/>
        <v>366.09064580347183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2.0131867644152046</v>
      </c>
      <c r="AA102" s="21">
        <f>EXP(-LN(2)/25)*AA101+(1-EXP(-LN(2)/25))/(LN(2)/25)*Calculateur!V102*Calculateur!X102*VLOOKUP('Données projet'!$B$9,Paramètres!$A$1:$I$89,3,0)*0.475*44/12</f>
        <v>3.5532965181990117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5.5664832826142163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263.22346936777603</v>
      </c>
      <c r="AO102" s="59">
        <f t="shared" si="90"/>
        <v>217.14714468707939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1.0741504454997015</v>
      </c>
      <c r="AW102" s="21">
        <f>EXP(-LN(2)/2)*AW101+(1-EXP(-LN(2)/2))/(LN(2)/2)*AQ102*AT102*VLOOKUP('Données projet'!$B$10,Paramètres!$A$1:$I$89,3,0)*0.475*44/12</f>
        <v>7.3472001592451122E-10</v>
      </c>
      <c r="AX102" s="21">
        <f t="shared" si="60"/>
        <v>1.0741504462344216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4.4337866711430253E-14</v>
      </c>
      <c r="BF102" s="13">
        <f t="shared" si="91"/>
        <v>7.3222115536967035E-13</v>
      </c>
      <c r="BG102" s="20">
        <f t="shared" si="61"/>
        <v>1.3525069634579169E-12</v>
      </c>
      <c r="BH102" s="59">
        <f t="shared" si="62"/>
        <v>293.33333333333468</v>
      </c>
      <c r="BI102" s="59">
        <f ca="1">AVERAGE(OFFSET($BH$3,0,0,'Données projet'!$E$11+1,1))-AVERAGE(OFFSET($H$3,0,0,'Données projet'!$E$11+1,1))</f>
        <v>219.22204054948094</v>
      </c>
      <c r="BJ102" s="59">
        <f t="shared" si="92"/>
        <v>222.41711966122034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0.46288727343909708</v>
      </c>
      <c r="BR102" s="21">
        <f>EXP(-LN(2)/2)*BR101+(1-EXP(-LN(2)/2))/(LN(2)/2)*BL102*BO102*VLOOKUP('Données projet'!$B$11,Paramètres!$A$1:$I$89,3,0)*0.475*44/12</f>
        <v>1.3459445579439199E-10</v>
      </c>
      <c r="BS102" s="22">
        <f t="shared" si="63"/>
        <v>0.46288727357369153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-3.979039320256561E-13</v>
      </c>
      <c r="BZ102" s="13">
        <f>BY102*VLOOKUP('Données projet'!$B$12,Paramètres!$A$1:$I$89,3,0)*VLOOKUP('Données projet'!$B$12,Paramètres!$A$1:$I$89,5,0)</f>
        <v>-3.41401573678013E-13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237.27357081252273</v>
      </c>
      <c r="CE102" s="59">
        <f t="shared" si="94"/>
        <v>68.768479693848576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-3.4106051316484809E-13</v>
      </c>
      <c r="CU102" s="17">
        <f>CT102*VLOOKUP('Données projet'!$B$13,Paramètres!$A$1:$I$89,3,0)*VLOOKUP('Données projet'!$B$13,Paramètres!$A$1:$I$89,5,0)</f>
        <v>-1.9065282685915009E-13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474.03051418249999</v>
      </c>
      <c r="CZ102" s="59">
        <f t="shared" si="96"/>
        <v>649.52271992719091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1.3936333092758819</v>
      </c>
      <c r="DG102" s="21">
        <f>EXP(-LN(2)/25)*DG101+(1-EXP(-LN(2)/25))/(LN(2)/25)*Calculateur!DB102*Calculateur!DD102*VLOOKUP('Données projet'!$B$13,Paramètres!$A$1:$I$89,3,0)*0.475*44/12</f>
        <v>3.5714799273388329</v>
      </c>
      <c r="DH102" s="21">
        <f>EXP(-LN(2)/2)*DH101+(1-EXP(-LN(2)/2))/(LN(2)/2)*DB102*DE102*VLOOKUP('Données projet'!$B$13,Paramètres!$A$1:$I$89,3,0)*0.475*44/12</f>
        <v>4.8154700879113176E-10</v>
      </c>
      <c r="DI102" s="22">
        <f t="shared" si="69"/>
        <v>4.9651132370962623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-5.6843418860808015E-14</v>
      </c>
      <c r="DP102" s="17">
        <f>DO102*VLOOKUP('Données projet'!$B$14,Paramètres!$A$1:$I$89,3,0)*VLOOKUP('Données projet'!$B$14,Paramètres!$A$1:$I$89,5,0)</f>
        <v>-3.1036506698001178E-14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164.0740581424559</v>
      </c>
      <c r="DU102" s="59">
        <f t="shared" si="98"/>
        <v>280.99861170359793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1.6844444882933129</v>
      </c>
      <c r="EB102" s="21">
        <f>EXP(-LN(2)/25)*EB101+(1-EXP(-LN(2)/25))/(LN(2)/25)*Calculateur!DW102*Calculateur!DY102*VLOOKUP('Données projet'!$B$14,Paramètres!$A$1:$I$89,3,0)*0.475*44/12</f>
        <v>3.8229722245032813</v>
      </c>
      <c r="EC102" s="21">
        <f>EXP(-LN(2)/2)*EC101+(1-EXP(-LN(2)/2))/(LN(2)/2)*DW102*DZ102*VLOOKUP('Données projet'!$B$14,Paramètres!$A$1:$I$89,3,0)*0.475*44/12</f>
        <v>6.2474114085639008E-10</v>
      </c>
      <c r="ED102" s="22">
        <f t="shared" si="72"/>
        <v>5.5074167134213354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1.1368683772161603E-13</v>
      </c>
      <c r="EK102" s="17">
        <f>EJ102*VLOOKUP('Données projet'!$B$15,Paramètres!$A$1:$I$89,3,0)*VLOOKUP('Données projet'!$B$15,Paramètres!$A$1:$I$89,5,0)</f>
        <v>5.4683368944097308E-14</v>
      </c>
      <c r="EL102" s="13">
        <f t="shared" si="99"/>
        <v>8.8129432816788268E-13</v>
      </c>
      <c r="EM102" s="20">
        <f t="shared" si="73"/>
        <v>1.6301611558033651E-12</v>
      </c>
      <c r="EN102" s="59">
        <f t="shared" si="74"/>
        <v>293.33333333333496</v>
      </c>
      <c r="EO102" s="59">
        <f ca="1">AVERAGE(OFFSET($EN$3,0,0,'Données projet'!$E$15+1,1))-AVERAGE(OFFSET($H$3,0,0,'Données projet'!$E$15+1,1))</f>
        <v>312.1172301514103</v>
      </c>
      <c r="EP102" s="59">
        <f t="shared" si="100"/>
        <v>369.85500533493212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0.68907693476691878</v>
      </c>
      <c r="EW102" s="21">
        <f>EXP(-LN(2)/25)*EW101+(1-EXP(-LN(2)/25))/(LN(2)/25)*Calculateur!ER102*Calculateur!ET102*VLOOKUP('Données projet'!$B$15,Paramètres!$A$1:$I$89,3,0)*0.475*44/12</f>
        <v>2.2201962550312291</v>
      </c>
      <c r="EX102" s="21">
        <f>EXP(-LN(2)/2)*EX101+(1-EXP(-LN(2)/2))/(LN(2)/2)*ER102*EU102*VLOOKUP('Données projet'!$B$15,Paramètres!$A$1:$I$89,3,0)*0.475*44/12</f>
        <v>1.3037771020941545E-9</v>
      </c>
      <c r="EY102" s="22">
        <f t="shared" si="75"/>
        <v>2.9092731911019247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-1.7053025658242404E-13</v>
      </c>
      <c r="FF102" s="17">
        <f>FE102*VLOOKUP('Données projet'!$B$16,Paramètres!$A$1:$I$89,3,0)*VLOOKUP('Données projet'!$B$16,Paramètres!$A$1:$I$89,5,0)</f>
        <v>-7.9808160080574461E-14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87.187251664304199</v>
      </c>
      <c r="FK102" s="59">
        <f t="shared" si="102"/>
        <v>148.84938257884147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1.1903909362320846</v>
      </c>
      <c r="FS102" s="21">
        <f>EXP(-LN(2)/2)*FS101+(1-EXP(-LN(2)/2))/(LN(2)/2)*FM102*FP102*VLOOKUP('Données projet'!$B$16,Paramètres!$A$1:$I$89,3,0)*0.475*44/12</f>
        <v>2.5040847280112309E-10</v>
      </c>
      <c r="FT102" s="22">
        <f t="shared" si="78"/>
        <v>1.1903909364824932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-1.1368683772161603E-13</v>
      </c>
      <c r="GA102" s="17">
        <f>FZ102*VLOOKUP('Données projet'!$B$17,Paramètres!$A$1:$I$89,3,0)*VLOOKUP('Données projet'!$B$17,Paramètres!$A$1:$I$89,5,0)</f>
        <v>-6.7984728957526396E-14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282.94722676586207</v>
      </c>
      <c r="GF102" s="59">
        <f t="shared" si="104"/>
        <v>310.63647941571298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1.5821633857388944</v>
      </c>
      <c r="GN102" s="21">
        <f>EXP(-LN(2)/2)*GN101+(1-EXP(-LN(2)/2))/(LN(2)/2)*GH102*GK102*VLOOKUP('Données projet'!$B$17,Paramètres!$A$1:$I$89,3,0)*0.475*44/12</f>
        <v>1.0552448459257431E-9</v>
      </c>
      <c r="GO102" s="21">
        <f t="shared" si="81"/>
        <v>1.5821633867941391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-1.1368683772161603E-13</v>
      </c>
      <c r="GV102" s="17">
        <f>GU102*VLOOKUP('Données projet'!$B$18,Paramètres!$A$1:$I$89,3,0)*VLOOKUP('Données projet'!$B$18,Paramètres!$A$1:$I$89,5,0)</f>
        <v>-6.7984728957526396E-14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255.54398581450459</v>
      </c>
      <c r="HA102" s="59">
        <f t="shared" si="106"/>
        <v>276.52622328061204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</v>
      </c>
      <c r="HH102" s="21">
        <f>EXP(-LN(2)/25)*HH101+(1-EXP(-LN(2)/25))/(LN(2)/25)*Calculateur!HC102*Calculateur!HE102*VLOOKUP('Données projet'!$B$18,Paramètres!$A$1:$I$89,3,0)*0.475*44/12</f>
        <v>0.78944989784239505</v>
      </c>
      <c r="HI102" s="21">
        <f>EXP(-LN(2)/2)*HI101+(1-EXP(-LN(2)/2))/(LN(2)/2)*HC102*HF102*VLOOKUP('Données projet'!$B$18,Paramètres!$A$1:$I$89,3,0)*0.475*44/12</f>
        <v>6.1191478271259913E-10</v>
      </c>
      <c r="HJ102" s="22">
        <f t="shared" si="84"/>
        <v>0.7894498984543098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4.9658410716801891E-14</v>
      </c>
      <c r="P103" s="13">
        <f t="shared" si="87"/>
        <v>8.0934058173791862E-13</v>
      </c>
      <c r="Q103" s="20">
        <f t="shared" si="107"/>
        <v>1.4960899118586383E-12</v>
      </c>
      <c r="R103" s="59">
        <f t="shared" si="55"/>
        <v>293.33333333333479</v>
      </c>
      <c r="S103" s="59">
        <f ca="1">AVERAGE(OFFSET($R$3,0,0,'Données projet'!$E$9+1,1))-AVERAGE(OFFSET($H$3,0,0,'Données projet'!$E$9+1,1))</f>
        <v>248.50221719467663</v>
      </c>
      <c r="T103" s="59">
        <f t="shared" si="88"/>
        <v>366.09064580347183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1.9737093998877016</v>
      </c>
      <c r="AA103" s="21">
        <f>EXP(-LN(2)/25)*AA102+(1-EXP(-LN(2)/25))/(LN(2)/25)*Calculateur!V103*Calculateur!X103*VLOOKUP('Données projet'!$B$9,Paramètres!$A$1:$I$89,3,0)*0.475*44/12</f>
        <v>3.456131438049117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5.429840837936819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263.22346936777603</v>
      </c>
      <c r="AO103" s="59">
        <f t="shared" si="90"/>
        <v>217.14714468707939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1.0447777450803952</v>
      </c>
      <c r="AW103" s="21">
        <f>EXP(-LN(2)/2)*AW102+(1-EXP(-LN(2)/2))/(LN(2)/2)*AQ103*AT103*VLOOKUP('Données projet'!$B$10,Paramètres!$A$1:$I$89,3,0)*0.475*44/12</f>
        <v>5.1952550553371006E-10</v>
      </c>
      <c r="AX103" s="21">
        <f t="shared" si="60"/>
        <v>1.0447777455999208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4.4337866711430253E-14</v>
      </c>
      <c r="BF103" s="13">
        <f t="shared" si="91"/>
        <v>7.3222115536967035E-13</v>
      </c>
      <c r="BG103" s="20">
        <f t="shared" si="61"/>
        <v>1.3525069634579169E-12</v>
      </c>
      <c r="BH103" s="59">
        <f t="shared" si="62"/>
        <v>293.33333333333468</v>
      </c>
      <c r="BI103" s="59">
        <f ca="1">AVERAGE(OFFSET($BH$3,0,0,'Données projet'!$E$11+1,1))-AVERAGE(OFFSET($H$3,0,0,'Données projet'!$E$11+1,1))</f>
        <v>219.22204054948094</v>
      </c>
      <c r="BJ103" s="59">
        <f t="shared" si="92"/>
        <v>222.41711966122034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0.45022959660472123</v>
      </c>
      <c r="BR103" s="21">
        <f>EXP(-LN(2)/2)*BR102+(1-EXP(-LN(2)/2))/(LN(2)/2)*BL103*BO103*VLOOKUP('Données projet'!$B$11,Paramètres!$A$1:$I$89,3,0)*0.475*44/12</f>
        <v>9.5172652402327582E-11</v>
      </c>
      <c r="BS103" s="22">
        <f t="shared" si="63"/>
        <v>0.45022959669989387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-3.979039320256561E-13</v>
      </c>
      <c r="BZ103" s="13">
        <f>BY103*VLOOKUP('Données projet'!$B$12,Paramètres!$A$1:$I$89,3,0)*VLOOKUP('Données projet'!$B$12,Paramètres!$A$1:$I$89,5,0)</f>
        <v>-3.41401573678013E-13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237.27357081252273</v>
      </c>
      <c r="CE103" s="59">
        <f t="shared" si="94"/>
        <v>68.768479693848576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-3.4106051316484809E-13</v>
      </c>
      <c r="CU103" s="17">
        <f>CT103*VLOOKUP('Données projet'!$B$13,Paramètres!$A$1:$I$89,3,0)*VLOOKUP('Données projet'!$B$13,Paramètres!$A$1:$I$89,5,0)</f>
        <v>-1.9065282685915009E-13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474.03051418249999</v>
      </c>
      <c r="CZ103" s="59">
        <f t="shared" si="96"/>
        <v>649.52271992719091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1.3663050101133669</v>
      </c>
      <c r="DG103" s="21">
        <f>EXP(-LN(2)/25)*DG102+(1-EXP(-LN(2)/25))/(LN(2)/25)*Calculateur!DB103*Calculateur!DD103*VLOOKUP('Données projet'!$B$13,Paramètres!$A$1:$I$89,3,0)*0.475*44/12</f>
        <v>3.4738176209097857</v>
      </c>
      <c r="DH103" s="21">
        <f>EXP(-LN(2)/2)*DH102+(1-EXP(-LN(2)/2))/(LN(2)/2)*DB103*DE103*VLOOKUP('Données projet'!$B$13,Paramètres!$A$1:$I$89,3,0)*0.475*44/12</f>
        <v>3.4050515537630728E-10</v>
      </c>
      <c r="DI103" s="22">
        <f t="shared" si="69"/>
        <v>4.8401226313636583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-5.6843418860808015E-14</v>
      </c>
      <c r="DP103" s="17">
        <f>DO103*VLOOKUP('Données projet'!$B$14,Paramètres!$A$1:$I$89,3,0)*VLOOKUP('Données projet'!$B$14,Paramètres!$A$1:$I$89,5,0)</f>
        <v>-3.1036506698001178E-14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164.0740581424559</v>
      </c>
      <c r="DU103" s="59">
        <f t="shared" si="98"/>
        <v>280.99861170359793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1.6514135592875707</v>
      </c>
      <c r="EB103" s="21">
        <f>EXP(-LN(2)/25)*EB102+(1-EXP(-LN(2)/25))/(LN(2)/25)*Calculateur!DW103*Calculateur!DY103*VLOOKUP('Données projet'!$B$14,Paramètres!$A$1:$I$89,3,0)*0.475*44/12</f>
        <v>3.7184328479828674</v>
      </c>
      <c r="EC103" s="21">
        <f>EXP(-LN(2)/2)*EC102+(1-EXP(-LN(2)/2))/(LN(2)/2)*DW103*DZ103*VLOOKUP('Données projet'!$B$14,Paramètres!$A$1:$I$89,3,0)*0.475*44/12</f>
        <v>4.4175869718577349E-10</v>
      </c>
      <c r="ED103" s="22">
        <f t="shared" si="72"/>
        <v>5.3698464077121972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1.1368683772161603E-13</v>
      </c>
      <c r="EK103" s="17">
        <f>EJ103*VLOOKUP('Données projet'!$B$15,Paramètres!$A$1:$I$89,3,0)*VLOOKUP('Données projet'!$B$15,Paramètres!$A$1:$I$89,5,0)</f>
        <v>5.4683368944097308E-14</v>
      </c>
      <c r="EL103" s="13">
        <f t="shared" si="99"/>
        <v>8.8129432816788268E-13</v>
      </c>
      <c r="EM103" s="20">
        <f t="shared" si="73"/>
        <v>1.6301611558033651E-12</v>
      </c>
      <c r="EN103" s="59">
        <f t="shared" si="74"/>
        <v>293.33333333333496</v>
      </c>
      <c r="EO103" s="59">
        <f ca="1">AVERAGE(OFFSET($EN$3,0,0,'Données projet'!$E$15+1,1))-AVERAGE(OFFSET($H$3,0,0,'Données projet'!$E$15+1,1))</f>
        <v>312.1172301514103</v>
      </c>
      <c r="EP103" s="59">
        <f t="shared" si="100"/>
        <v>369.85500533493212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0.67556455637156898</v>
      </c>
      <c r="EW103" s="21">
        <f>EXP(-LN(2)/25)*EW102+(1-EXP(-LN(2)/25))/(LN(2)/25)*Calculateur!ER103*Calculateur!ET103*VLOOKUP('Données projet'!$B$15,Paramètres!$A$1:$I$89,3,0)*0.475*44/12</f>
        <v>2.1594848716823534</v>
      </c>
      <c r="EX103" s="21">
        <f>EXP(-LN(2)/2)*EX102+(1-EXP(-LN(2)/2))/(LN(2)/2)*ER103*EU103*VLOOKUP('Données projet'!$B$15,Paramètres!$A$1:$I$89,3,0)*0.475*44/12</f>
        <v>9.2190963004652237E-10</v>
      </c>
      <c r="EY103" s="22">
        <f t="shared" si="75"/>
        <v>2.8350494289758319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-1.7053025658242404E-13</v>
      </c>
      <c r="FF103" s="17">
        <f>FE103*VLOOKUP('Données projet'!$B$16,Paramètres!$A$1:$I$89,3,0)*VLOOKUP('Données projet'!$B$16,Paramètres!$A$1:$I$89,5,0)</f>
        <v>-7.9808160080574461E-14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87.187251664304199</v>
      </c>
      <c r="FK103" s="59">
        <f t="shared" si="102"/>
        <v>148.84938257884147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1.1578396334808796</v>
      </c>
      <c r="FS103" s="21">
        <f>EXP(-LN(2)/2)*FS102+(1-EXP(-LN(2)/2))/(LN(2)/2)*FM103*FP103*VLOOKUP('Données projet'!$B$16,Paramètres!$A$1:$I$89,3,0)*0.475*44/12</f>
        <v>1.7706552918424129E-10</v>
      </c>
      <c r="FT103" s="22">
        <f t="shared" si="78"/>
        <v>1.1578396336579451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-1.1368683772161603E-13</v>
      </c>
      <c r="GA103" s="17">
        <f>FZ103*VLOOKUP('Données projet'!$B$17,Paramètres!$A$1:$I$89,3,0)*VLOOKUP('Données projet'!$B$17,Paramètres!$A$1:$I$89,5,0)</f>
        <v>-6.7984728957526396E-14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282.94722676586207</v>
      </c>
      <c r="GF103" s="59">
        <f t="shared" si="104"/>
        <v>310.63647941571298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1.538899044753508</v>
      </c>
      <c r="GN103" s="21">
        <f>EXP(-LN(2)/2)*GN102+(1-EXP(-LN(2)/2))/(LN(2)/2)*GH103*GK103*VLOOKUP('Données projet'!$B$17,Paramètres!$A$1:$I$89,3,0)*0.475*44/12</f>
        <v>7.4617078636624646E-10</v>
      </c>
      <c r="GO103" s="21">
        <f t="shared" si="81"/>
        <v>1.5388990454996787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-1.1368683772161603E-13</v>
      </c>
      <c r="GV103" s="17">
        <f>GU103*VLOOKUP('Données projet'!$B$18,Paramètres!$A$1:$I$89,3,0)*VLOOKUP('Données projet'!$B$18,Paramètres!$A$1:$I$89,5,0)</f>
        <v>-6.7984728957526396E-14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255.54398581450459</v>
      </c>
      <c r="HA103" s="59">
        <f t="shared" si="106"/>
        <v>276.52622328061204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</v>
      </c>
      <c r="HH103" s="21">
        <f>EXP(-LN(2)/25)*HH102+(1-EXP(-LN(2)/25))/(LN(2)/25)*Calculateur!HC103*Calculateur!HE103*VLOOKUP('Données projet'!$B$18,Paramètres!$A$1:$I$89,3,0)*0.475*44/12</f>
        <v>0.76786234887052895</v>
      </c>
      <c r="HI103" s="21">
        <f>EXP(-LN(2)/2)*HI102+(1-EXP(-LN(2)/2))/(LN(2)/2)*HC103*HF103*VLOOKUP('Données projet'!$B$18,Paramètres!$A$1:$I$89,3,0)*0.475*44/12</f>
        <v>4.3268909236437161E-10</v>
      </c>
      <c r="HJ103" s="22">
        <f t="shared" si="84"/>
        <v>0.76786234930321806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4.9658410716801891E-14</v>
      </c>
      <c r="P104" s="13">
        <f t="shared" si="87"/>
        <v>8.0934058173791862E-13</v>
      </c>
      <c r="Q104" s="20">
        <f t="shared" si="107"/>
        <v>1.4960899118586383E-12</v>
      </c>
      <c r="R104" s="59">
        <f t="shared" si="55"/>
        <v>293.33333333333479</v>
      </c>
      <c r="S104" s="59">
        <f ca="1">AVERAGE(OFFSET($R$3,0,0,'Données projet'!$E$9+1,1))-AVERAGE(OFFSET($H$3,0,0,'Données projet'!$E$9+1,1))</f>
        <v>248.50221719467663</v>
      </c>
      <c r="T104" s="59">
        <f t="shared" si="88"/>
        <v>366.09064580347183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1.9350061623997679</v>
      </c>
      <c r="AA104" s="21">
        <f>EXP(-LN(2)/25)*AA103+(1-EXP(-LN(2)/25))/(LN(2)/25)*Calculateur!V104*Calculateur!X104*VLOOKUP('Données projet'!$B$9,Paramètres!$A$1:$I$89,3,0)*0.475*44/12</f>
        <v>3.3616233421256108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5.2966295045253791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263.22346936777603</v>
      </c>
      <c r="AO104" s="59">
        <f t="shared" si="90"/>
        <v>217.14714468707939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1.016208242698698</v>
      </c>
      <c r="AW104" s="21">
        <f>EXP(-LN(2)/2)*AW103+(1-EXP(-LN(2)/2))/(LN(2)/2)*AQ104*AT104*VLOOKUP('Données projet'!$B$10,Paramètres!$A$1:$I$89,3,0)*0.475*44/12</f>
        <v>3.6736000796225561E-10</v>
      </c>
      <c r="AX104" s="21">
        <f t="shared" si="60"/>
        <v>1.0162082430660579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4.4337866711430253E-14</v>
      </c>
      <c r="BF104" s="13">
        <f t="shared" si="91"/>
        <v>7.3222115536967035E-13</v>
      </c>
      <c r="BG104" s="20">
        <f t="shared" si="61"/>
        <v>1.3525069634579169E-12</v>
      </c>
      <c r="BH104" s="59">
        <f t="shared" si="62"/>
        <v>293.33333333333468</v>
      </c>
      <c r="BI104" s="59">
        <f ca="1">AVERAGE(OFFSET($BH$3,0,0,'Données projet'!$E$11+1,1))-AVERAGE(OFFSET($H$3,0,0,'Données projet'!$E$11+1,1))</f>
        <v>219.22204054948094</v>
      </c>
      <c r="BJ104" s="59">
        <f t="shared" si="92"/>
        <v>222.41711966122034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0.43791804460901967</v>
      </c>
      <c r="BR104" s="21">
        <f>EXP(-LN(2)/2)*BR103+(1-EXP(-LN(2)/2))/(LN(2)/2)*BL104*BO104*VLOOKUP('Données projet'!$B$11,Paramètres!$A$1:$I$89,3,0)*0.475*44/12</f>
        <v>6.7297227897195995E-11</v>
      </c>
      <c r="BS104" s="22">
        <f t="shared" si="63"/>
        <v>0.4379180446763169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-3.979039320256561E-13</v>
      </c>
      <c r="BZ104" s="13">
        <f>BY104*VLOOKUP('Données projet'!$B$12,Paramètres!$A$1:$I$89,3,0)*VLOOKUP('Données projet'!$B$12,Paramètres!$A$1:$I$89,5,0)</f>
        <v>-3.41401573678013E-13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237.27357081252273</v>
      </c>
      <c r="CE104" s="59">
        <f t="shared" si="94"/>
        <v>68.768479693848576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-3.4106051316484809E-13</v>
      </c>
      <c r="CU104" s="17">
        <f>CT104*VLOOKUP('Données projet'!$B$13,Paramètres!$A$1:$I$89,3,0)*VLOOKUP('Données projet'!$B$13,Paramètres!$A$1:$I$89,5,0)</f>
        <v>-1.9065282685915009E-13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474.03051418249999</v>
      </c>
      <c r="CZ104" s="59">
        <f t="shared" si="96"/>
        <v>649.52271992719091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1.3395126022288122</v>
      </c>
      <c r="DG104" s="21">
        <f>EXP(-LN(2)/25)*DG103+(1-EXP(-LN(2)/25))/(LN(2)/25)*Calculateur!DB104*Calculateur!DD104*VLOOKUP('Données projet'!$B$13,Paramètres!$A$1:$I$89,3,0)*0.475*44/12</f>
        <v>3.3788258953858783</v>
      </c>
      <c r="DH104" s="21">
        <f>EXP(-LN(2)/2)*DH103+(1-EXP(-LN(2)/2))/(LN(2)/2)*DB104*DE104*VLOOKUP('Données projet'!$B$13,Paramètres!$A$1:$I$89,3,0)*0.475*44/12</f>
        <v>2.4077350439556588E-10</v>
      </c>
      <c r="DI104" s="22">
        <f t="shared" si="69"/>
        <v>4.7183384978554637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-5.6843418860808015E-14</v>
      </c>
      <c r="DP104" s="17">
        <f>DO104*VLOOKUP('Données projet'!$B$14,Paramètres!$A$1:$I$89,3,0)*VLOOKUP('Données projet'!$B$14,Paramètres!$A$1:$I$89,5,0)</f>
        <v>-3.1036506698001178E-14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164.0740581424559</v>
      </c>
      <c r="DU104" s="59">
        <f t="shared" si="98"/>
        <v>280.99861170359793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1.6190303466527536</v>
      </c>
      <c r="EB104" s="21">
        <f>EXP(-LN(2)/25)*EB103+(1-EXP(-LN(2)/25))/(LN(2)/25)*Calculateur!DW104*Calculateur!DY104*VLOOKUP('Données projet'!$B$14,Paramètres!$A$1:$I$89,3,0)*0.475*44/12</f>
        <v>3.6167521062108912</v>
      </c>
      <c r="EC104" s="21">
        <f>EXP(-LN(2)/2)*EC103+(1-EXP(-LN(2)/2))/(LN(2)/2)*DW104*DZ104*VLOOKUP('Données projet'!$B$14,Paramètres!$A$1:$I$89,3,0)*0.475*44/12</f>
        <v>3.1237057042819504E-10</v>
      </c>
      <c r="ED104" s="22">
        <f t="shared" si="72"/>
        <v>5.2357824531760153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1.1368683772161603E-13</v>
      </c>
      <c r="EK104" s="17">
        <f>EJ104*VLOOKUP('Données projet'!$B$15,Paramètres!$A$1:$I$89,3,0)*VLOOKUP('Données projet'!$B$15,Paramètres!$A$1:$I$89,5,0)</f>
        <v>5.4683368944097308E-14</v>
      </c>
      <c r="EL104" s="13">
        <f t="shared" si="99"/>
        <v>8.8129432816788268E-13</v>
      </c>
      <c r="EM104" s="20">
        <f t="shared" si="73"/>
        <v>1.6301611558033651E-12</v>
      </c>
      <c r="EN104" s="59">
        <f t="shared" si="74"/>
        <v>293.33333333333496</v>
      </c>
      <c r="EO104" s="59">
        <f ca="1">AVERAGE(OFFSET($EN$3,0,0,'Données projet'!$E$15+1,1))-AVERAGE(OFFSET($H$3,0,0,'Données projet'!$E$15+1,1))</f>
        <v>312.1172301514103</v>
      </c>
      <c r="EP104" s="59">
        <f t="shared" si="100"/>
        <v>369.85500533493212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0.66231714747481496</v>
      </c>
      <c r="EW104" s="21">
        <f>EXP(-LN(2)/25)*EW103+(1-EXP(-LN(2)/25))/(LN(2)/25)*Calculateur!ER104*Calculateur!ET104*VLOOKUP('Données projet'!$B$15,Paramètres!$A$1:$I$89,3,0)*0.475*44/12</f>
        <v>2.1004336443038256</v>
      </c>
      <c r="EX104" s="21">
        <f>EXP(-LN(2)/2)*EX103+(1-EXP(-LN(2)/2))/(LN(2)/2)*ER104*EU104*VLOOKUP('Données projet'!$B$15,Paramètres!$A$1:$I$89,3,0)*0.475*44/12</f>
        <v>6.5188855104707734E-10</v>
      </c>
      <c r="EY104" s="22">
        <f t="shared" si="75"/>
        <v>2.7627507924305292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-1.7053025658242404E-13</v>
      </c>
      <c r="FF104" s="17">
        <f>FE104*VLOOKUP('Données projet'!$B$16,Paramètres!$A$1:$I$89,3,0)*VLOOKUP('Données projet'!$B$16,Paramètres!$A$1:$I$89,5,0)</f>
        <v>-7.9808160080574461E-14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87.187251664304199</v>
      </c>
      <c r="FK104" s="59">
        <f t="shared" si="102"/>
        <v>148.84938257884147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1.1261784478152048</v>
      </c>
      <c r="FS104" s="21">
        <f>EXP(-LN(2)/2)*FS103+(1-EXP(-LN(2)/2))/(LN(2)/2)*FM104*FP104*VLOOKUP('Données projet'!$B$16,Paramètres!$A$1:$I$89,3,0)*0.475*44/12</f>
        <v>1.2520423640056155E-10</v>
      </c>
      <c r="FT104" s="22">
        <f t="shared" si="78"/>
        <v>1.1261784479404091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-1.1368683772161603E-13</v>
      </c>
      <c r="GA104" s="17">
        <f>FZ104*VLOOKUP('Données projet'!$B$17,Paramètres!$A$1:$I$89,3,0)*VLOOKUP('Données projet'!$B$17,Paramètres!$A$1:$I$89,5,0)</f>
        <v>-6.7984728957526396E-14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282.94722676586207</v>
      </c>
      <c r="GF104" s="59">
        <f t="shared" si="104"/>
        <v>310.63647941571298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1.4968177694475397</v>
      </c>
      <c r="GN104" s="21">
        <f>EXP(-LN(2)/2)*GN103+(1-EXP(-LN(2)/2))/(LN(2)/2)*GH104*GK104*VLOOKUP('Données projet'!$B$17,Paramètres!$A$1:$I$89,3,0)*0.475*44/12</f>
        <v>5.2762242296287153E-10</v>
      </c>
      <c r="GO104" s="21">
        <f t="shared" si="81"/>
        <v>1.4968177699751621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-1.1368683772161603E-13</v>
      </c>
      <c r="GV104" s="17">
        <f>GU104*VLOOKUP('Données projet'!$B$18,Paramètres!$A$1:$I$89,3,0)*VLOOKUP('Données projet'!$B$18,Paramètres!$A$1:$I$89,5,0)</f>
        <v>-6.7984728957526396E-14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255.54398581450459</v>
      </c>
      <c r="HA104" s="59">
        <f t="shared" si="106"/>
        <v>276.52622328061204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</v>
      </c>
      <c r="HH104" s="21">
        <f>EXP(-LN(2)/25)*HH103+(1-EXP(-LN(2)/25))/(LN(2)/25)*Calculateur!HC104*Calculateur!HE104*VLOOKUP('Données projet'!$B$18,Paramètres!$A$1:$I$89,3,0)*0.475*44/12</f>
        <v>0.74686511256053834</v>
      </c>
      <c r="HI104" s="21">
        <f>EXP(-LN(2)/2)*HI103+(1-EXP(-LN(2)/2))/(LN(2)/2)*HC104*HF104*VLOOKUP('Données projet'!$B$18,Paramètres!$A$1:$I$89,3,0)*0.475*44/12</f>
        <v>3.0595739135629957E-10</v>
      </c>
      <c r="HJ104" s="22">
        <f t="shared" si="84"/>
        <v>0.74686511286649571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4.9658410716801891E-14</v>
      </c>
      <c r="P105" s="13">
        <f t="shared" si="87"/>
        <v>8.0934058173791862E-13</v>
      </c>
      <c r="Q105" s="20">
        <f t="shared" si="107"/>
        <v>1.4960899118586383E-12</v>
      </c>
      <c r="R105" s="59">
        <f t="shared" si="55"/>
        <v>293.33333333333479</v>
      </c>
      <c r="S105" s="59">
        <f ca="1">AVERAGE(OFFSET($R$3,0,0,'Données projet'!$E$9+1,1))-AVERAGE(OFFSET($H$3,0,0,'Données projet'!$E$9+1,1))</f>
        <v>248.50221719467663</v>
      </c>
      <c r="T105" s="59">
        <f t="shared" si="88"/>
        <v>366.09064580347183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1.8970618717923287</v>
      </c>
      <c r="AA105" s="21">
        <f>EXP(-LN(2)/25)*AA104+(1-EXP(-LN(2)/25))/(LN(2)/25)*Calculateur!V105*Calculateur!X105*VLOOKUP('Données projet'!$B$9,Paramètres!$A$1:$I$89,3,0)*0.475*44/12</f>
        <v>3.2696995750550975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5.1667614468474259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263.22346936777603</v>
      </c>
      <c r="AO105" s="59">
        <f t="shared" si="90"/>
        <v>217.14714468707939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0.98841997486203326</v>
      </c>
      <c r="AW105" s="21">
        <f>EXP(-LN(2)/2)*AW104+(1-EXP(-LN(2)/2))/(LN(2)/2)*AQ105*AT105*VLOOKUP('Données projet'!$B$10,Paramètres!$A$1:$I$89,3,0)*0.475*44/12</f>
        <v>2.5976275276685503E-10</v>
      </c>
      <c r="AX105" s="21">
        <f t="shared" si="60"/>
        <v>0.98841997512179602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4.4337866711430253E-14</v>
      </c>
      <c r="BF105" s="13">
        <f t="shared" si="91"/>
        <v>7.3222115536967035E-13</v>
      </c>
      <c r="BG105" s="20">
        <f t="shared" si="61"/>
        <v>1.3525069634579169E-12</v>
      </c>
      <c r="BH105" s="59">
        <f t="shared" si="62"/>
        <v>293.33333333333468</v>
      </c>
      <c r="BI105" s="59">
        <f ca="1">AVERAGE(OFFSET($BH$3,0,0,'Données projet'!$E$11+1,1))-AVERAGE(OFFSET($H$3,0,0,'Données projet'!$E$11+1,1))</f>
        <v>219.22204054948094</v>
      </c>
      <c r="BJ105" s="59">
        <f t="shared" si="92"/>
        <v>222.41711966122034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0.42594315265007693</v>
      </c>
      <c r="BR105" s="21">
        <f>EXP(-LN(2)/2)*BR104+(1-EXP(-LN(2)/2))/(LN(2)/2)*BL105*BO105*VLOOKUP('Données projet'!$B$11,Paramètres!$A$1:$I$89,3,0)*0.475*44/12</f>
        <v>4.7586326201163791E-11</v>
      </c>
      <c r="BS105" s="22">
        <f t="shared" si="63"/>
        <v>0.42594315269766325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-3.979039320256561E-13</v>
      </c>
      <c r="BZ105" s="13">
        <f>BY105*VLOOKUP('Données projet'!$B$12,Paramètres!$A$1:$I$89,3,0)*VLOOKUP('Données projet'!$B$12,Paramètres!$A$1:$I$89,5,0)</f>
        <v>-3.41401573678013E-13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237.27357081252273</v>
      </c>
      <c r="CE105" s="59">
        <f t="shared" si="94"/>
        <v>68.768479693848576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-3.4106051316484809E-13</v>
      </c>
      <c r="CU105" s="17">
        <f>CT105*VLOOKUP('Données projet'!$B$13,Paramètres!$A$1:$I$89,3,0)*VLOOKUP('Données projet'!$B$13,Paramètres!$A$1:$I$89,5,0)</f>
        <v>-1.9065282685915009E-13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474.03051418249999</v>
      </c>
      <c r="CZ105" s="59">
        <f t="shared" si="96"/>
        <v>649.52271992719091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1.3132455771211182</v>
      </c>
      <c r="DG105" s="21">
        <f>EXP(-LN(2)/25)*DG104+(1-EXP(-LN(2)/25))/(LN(2)/25)*Calculateur!DB105*Calculateur!DD105*VLOOKUP('Données projet'!$B$13,Paramètres!$A$1:$I$89,3,0)*0.475*44/12</f>
        <v>3.2864317235918201</v>
      </c>
      <c r="DH105" s="21">
        <f>EXP(-LN(2)/2)*DH104+(1-EXP(-LN(2)/2))/(LN(2)/2)*DB105*DE105*VLOOKUP('Données projet'!$B$13,Paramètres!$A$1:$I$89,3,0)*0.475*44/12</f>
        <v>1.7025257768815364E-10</v>
      </c>
      <c r="DI105" s="22">
        <f t="shared" si="69"/>
        <v>4.599677300883191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-5.6843418860808015E-14</v>
      </c>
      <c r="DP105" s="17">
        <f>DO105*VLOOKUP('Données projet'!$B$14,Paramètres!$A$1:$I$89,3,0)*VLOOKUP('Données projet'!$B$14,Paramètres!$A$1:$I$89,5,0)</f>
        <v>-3.1036506698001178E-14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164.0740581424559</v>
      </c>
      <c r="DU105" s="59">
        <f t="shared" si="98"/>
        <v>280.99861170359793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1.5872821490658959</v>
      </c>
      <c r="EB105" s="21">
        <f>EXP(-LN(2)/25)*EB104+(1-EXP(-LN(2)/25))/(LN(2)/25)*Calculateur!DW105*Calculateur!DY105*VLOOKUP('Données projet'!$B$14,Paramètres!$A$1:$I$89,3,0)*0.475*44/12</f>
        <v>3.5178518296698273</v>
      </c>
      <c r="EC105" s="21">
        <f>EXP(-LN(2)/2)*EC104+(1-EXP(-LN(2)/2))/(LN(2)/2)*DW105*DZ105*VLOOKUP('Données projet'!$B$14,Paramètres!$A$1:$I$89,3,0)*0.475*44/12</f>
        <v>2.2087934859288675E-10</v>
      </c>
      <c r="ED105" s="22">
        <f t="shared" si="72"/>
        <v>5.1051339789566024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1.1368683772161603E-13</v>
      </c>
      <c r="EK105" s="17">
        <f>EJ105*VLOOKUP('Données projet'!$B$15,Paramètres!$A$1:$I$89,3,0)*VLOOKUP('Données projet'!$B$15,Paramètres!$A$1:$I$89,5,0)</f>
        <v>5.4683368944097308E-14</v>
      </c>
      <c r="EL105" s="13">
        <f t="shared" si="99"/>
        <v>8.8129432816788268E-13</v>
      </c>
      <c r="EM105" s="20">
        <f t="shared" si="73"/>
        <v>1.6301611558033651E-12</v>
      </c>
      <c r="EN105" s="59">
        <f t="shared" si="74"/>
        <v>293.33333333333496</v>
      </c>
      <c r="EO105" s="59">
        <f ca="1">AVERAGE(OFFSET($EN$3,0,0,'Données projet'!$E$15+1,1))-AVERAGE(OFFSET($H$3,0,0,'Données projet'!$E$15+1,1))</f>
        <v>312.1172301514103</v>
      </c>
      <c r="EP105" s="59">
        <f t="shared" si="100"/>
        <v>369.85500533493212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0.64932951218640467</v>
      </c>
      <c r="EW105" s="21">
        <f>EXP(-LN(2)/25)*EW104+(1-EXP(-LN(2)/25))/(LN(2)/25)*Calculateur!ER105*Calculateur!ET105*VLOOKUP('Données projet'!$B$15,Paramètres!$A$1:$I$89,3,0)*0.475*44/12</f>
        <v>2.042997175843333</v>
      </c>
      <c r="EX105" s="21">
        <f>EXP(-LN(2)/2)*EX104+(1-EXP(-LN(2)/2))/(LN(2)/2)*ER105*EU105*VLOOKUP('Données projet'!$B$15,Paramètres!$A$1:$I$89,3,0)*0.475*44/12</f>
        <v>4.6095481502326124E-10</v>
      </c>
      <c r="EY105" s="22">
        <f t="shared" si="75"/>
        <v>2.6923266884906925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-1.7053025658242404E-13</v>
      </c>
      <c r="FF105" s="17">
        <f>FE105*VLOOKUP('Données projet'!$B$16,Paramètres!$A$1:$I$89,3,0)*VLOOKUP('Données projet'!$B$16,Paramètres!$A$1:$I$89,5,0)</f>
        <v>-7.9808160080574461E-14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87.187251664304199</v>
      </c>
      <c r="FK105" s="59">
        <f t="shared" si="102"/>
        <v>148.84938257884147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1.0953830389365473</v>
      </c>
      <c r="FS105" s="21">
        <f>EXP(-LN(2)/2)*FS104+(1-EXP(-LN(2)/2))/(LN(2)/2)*FM105*FP105*VLOOKUP('Données projet'!$B$16,Paramètres!$A$1:$I$89,3,0)*0.475*44/12</f>
        <v>8.8532764592120643E-11</v>
      </c>
      <c r="FT105" s="22">
        <f t="shared" si="78"/>
        <v>1.0953830390250801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-1.1368683772161603E-13</v>
      </c>
      <c r="GA105" s="17">
        <f>FZ105*VLOOKUP('Données projet'!$B$17,Paramètres!$A$1:$I$89,3,0)*VLOOKUP('Données projet'!$B$17,Paramètres!$A$1:$I$89,5,0)</f>
        <v>-6.7984728957526396E-14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282.94722676586207</v>
      </c>
      <c r="GF105" s="59">
        <f t="shared" si="104"/>
        <v>310.63647941571298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1.4558872088277712</v>
      </c>
      <c r="GN105" s="21">
        <f>EXP(-LN(2)/2)*GN104+(1-EXP(-LN(2)/2))/(LN(2)/2)*GH105*GK105*VLOOKUP('Données projet'!$B$17,Paramètres!$A$1:$I$89,3,0)*0.475*44/12</f>
        <v>3.7308539318312323E-10</v>
      </c>
      <c r="GO105" s="21">
        <f t="shared" si="81"/>
        <v>1.4558872092008566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-1.1368683772161603E-13</v>
      </c>
      <c r="GV105" s="17">
        <f>GU105*VLOOKUP('Données projet'!$B$18,Paramètres!$A$1:$I$89,3,0)*VLOOKUP('Données projet'!$B$18,Paramètres!$A$1:$I$89,5,0)</f>
        <v>-6.7984728957526396E-14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255.54398581450459</v>
      </c>
      <c r="HA105" s="59">
        <f t="shared" si="106"/>
        <v>276.52622328061204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</v>
      </c>
      <c r="HH105" s="21">
        <f>EXP(-LN(2)/25)*HH104+(1-EXP(-LN(2)/25))/(LN(2)/25)*Calculateur!HC105*Calculateur!HE105*VLOOKUP('Données projet'!$B$18,Paramètres!$A$1:$I$89,3,0)*0.475*44/12</f>
        <v>0.72644204678164115</v>
      </c>
      <c r="HI105" s="21">
        <f>EXP(-LN(2)/2)*HI104+(1-EXP(-LN(2)/2))/(LN(2)/2)*HC105*HF105*VLOOKUP('Données projet'!$B$18,Paramètres!$A$1:$I$89,3,0)*0.475*44/12</f>
        <v>2.1634454618218581E-10</v>
      </c>
      <c r="HJ105" s="22">
        <f t="shared" si="84"/>
        <v>0.72644204699798565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4.9658410716801891E-14</v>
      </c>
      <c r="P106" s="13">
        <f t="shared" si="87"/>
        <v>8.0934058173791862E-13</v>
      </c>
      <c r="Q106" s="20">
        <f t="shared" si="107"/>
        <v>1.4960899118586383E-12</v>
      </c>
      <c r="R106" s="59">
        <f t="shared" si="55"/>
        <v>293.33333333333479</v>
      </c>
      <c r="S106" s="59">
        <f ca="1">AVERAGE(OFFSET($R$3,0,0,'Données projet'!$E$9+1,1))-AVERAGE(OFFSET($H$3,0,0,'Données projet'!$E$9+1,1))</f>
        <v>248.50221719467663</v>
      </c>
      <c r="T106" s="59">
        <f t="shared" si="88"/>
        <v>366.09064580347183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1.8598616455799695</v>
      </c>
      <c r="AA106" s="21">
        <f>EXP(-LN(2)/25)*AA105+(1-EXP(-LN(2)/25))/(LN(2)/25)*Calculateur!V106*Calculateur!X106*VLOOKUP('Données projet'!$B$9,Paramètres!$A$1:$I$89,3,0)*0.475*44/12</f>
        <v>3.180289468229188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5.0401511138091575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263.22346936777603</v>
      </c>
      <c r="AO106" s="59">
        <f t="shared" si="90"/>
        <v>217.14714468707939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0.96139157867068359</v>
      </c>
      <c r="AW106" s="21">
        <f>EXP(-LN(2)/2)*AW105+(1-EXP(-LN(2)/2))/(LN(2)/2)*AQ106*AT106*VLOOKUP('Données projet'!$B$10,Paramètres!$A$1:$I$89,3,0)*0.475*44/12</f>
        <v>1.836800039811278E-10</v>
      </c>
      <c r="AX106" s="21">
        <f t="shared" si="60"/>
        <v>0.96139157885436355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4.4337866711430253E-14</v>
      </c>
      <c r="BF106" s="13">
        <f t="shared" si="91"/>
        <v>7.3222115536967035E-13</v>
      </c>
      <c r="BG106" s="20">
        <f t="shared" si="61"/>
        <v>1.3525069634579169E-12</v>
      </c>
      <c r="BH106" s="59">
        <f t="shared" si="62"/>
        <v>293.33333333333468</v>
      </c>
      <c r="BI106" s="59">
        <f ca="1">AVERAGE(OFFSET($BH$3,0,0,'Données projet'!$E$11+1,1))-AVERAGE(OFFSET($H$3,0,0,'Données projet'!$E$11+1,1))</f>
        <v>219.22204054948094</v>
      </c>
      <c r="BJ106" s="59">
        <f t="shared" si="92"/>
        <v>222.41711966122034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0.41429571474148369</v>
      </c>
      <c r="BR106" s="21">
        <f>EXP(-LN(2)/2)*BR105+(1-EXP(-LN(2)/2))/(LN(2)/2)*BL106*BO106*VLOOKUP('Données projet'!$B$11,Paramètres!$A$1:$I$89,3,0)*0.475*44/12</f>
        <v>3.3648613948597998E-11</v>
      </c>
      <c r="BS106" s="22">
        <f t="shared" si="63"/>
        <v>0.41429571477513233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-3.979039320256561E-13</v>
      </c>
      <c r="BZ106" s="13">
        <f>BY106*VLOOKUP('Données projet'!$B$12,Paramètres!$A$1:$I$89,3,0)*VLOOKUP('Données projet'!$B$12,Paramètres!$A$1:$I$89,5,0)</f>
        <v>-3.41401573678013E-13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237.27357081252273</v>
      </c>
      <c r="CE106" s="59">
        <f t="shared" si="94"/>
        <v>68.768479693848576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-3.4106051316484809E-13</v>
      </c>
      <c r="CU106" s="17">
        <f>CT106*VLOOKUP('Données projet'!$B$13,Paramètres!$A$1:$I$89,3,0)*VLOOKUP('Données projet'!$B$13,Paramètres!$A$1:$I$89,5,0)</f>
        <v>-1.9065282685915009E-13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474.03051418249999</v>
      </c>
      <c r="CZ106" s="59">
        <f t="shared" si="96"/>
        <v>649.52271992719091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1.287493632354483</v>
      </c>
      <c r="DG106" s="21">
        <f>EXP(-LN(2)/25)*DG105+(1-EXP(-LN(2)/25))/(LN(2)/25)*Calculateur!DB106*Calculateur!DD106*VLOOKUP('Données projet'!$B$13,Paramètres!$A$1:$I$89,3,0)*0.475*44/12</f>
        <v>3.1965640752842686</v>
      </c>
      <c r="DH106" s="21">
        <f>EXP(-LN(2)/2)*DH105+(1-EXP(-LN(2)/2))/(LN(2)/2)*DB106*DE106*VLOOKUP('Données projet'!$B$13,Paramètres!$A$1:$I$89,3,0)*0.475*44/12</f>
        <v>1.2038675219778294E-10</v>
      </c>
      <c r="DI106" s="22">
        <f t="shared" si="69"/>
        <v>4.4840577077591375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-5.6843418860808015E-14</v>
      </c>
      <c r="DP106" s="17">
        <f>DO106*VLOOKUP('Données projet'!$B$14,Paramètres!$A$1:$I$89,3,0)*VLOOKUP('Données projet'!$B$14,Paramètres!$A$1:$I$89,5,0)</f>
        <v>-3.1036506698001178E-14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164.0740581424559</v>
      </c>
      <c r="DU106" s="59">
        <f t="shared" si="98"/>
        <v>280.99861170359793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1.5561565142692282</v>
      </c>
      <c r="EB106" s="21">
        <f>EXP(-LN(2)/25)*EB105+(1-EXP(-LN(2)/25))/(LN(2)/25)*Calculateur!DW106*Calculateur!DY106*VLOOKUP('Données projet'!$B$14,Paramètres!$A$1:$I$89,3,0)*0.475*44/12</f>
        <v>3.4216559863917184</v>
      </c>
      <c r="EC106" s="21">
        <f>EXP(-LN(2)/2)*EC105+(1-EXP(-LN(2)/2))/(LN(2)/2)*DW106*DZ106*VLOOKUP('Données projet'!$B$14,Paramètres!$A$1:$I$89,3,0)*0.475*44/12</f>
        <v>1.5618528521409752E-10</v>
      </c>
      <c r="ED106" s="22">
        <f t="shared" si="72"/>
        <v>4.9778125008171319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1.1368683772161603E-13</v>
      </c>
      <c r="EK106" s="17">
        <f>EJ106*VLOOKUP('Données projet'!$B$15,Paramètres!$A$1:$I$89,3,0)*VLOOKUP('Données projet'!$B$15,Paramètres!$A$1:$I$89,5,0)</f>
        <v>5.4683368944097308E-14</v>
      </c>
      <c r="EL106" s="13">
        <f t="shared" si="99"/>
        <v>8.8129432816788268E-13</v>
      </c>
      <c r="EM106" s="20">
        <f t="shared" si="73"/>
        <v>1.6301611558033651E-12</v>
      </c>
      <c r="EN106" s="59">
        <f t="shared" si="74"/>
        <v>293.33333333333496</v>
      </c>
      <c r="EO106" s="59">
        <f ca="1">AVERAGE(OFFSET($EN$3,0,0,'Données projet'!$E$15+1,1))-AVERAGE(OFFSET($H$3,0,0,'Données projet'!$E$15+1,1))</f>
        <v>312.1172301514103</v>
      </c>
      <c r="EP106" s="59">
        <f t="shared" si="100"/>
        <v>369.85500533493212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0.63659655650432478</v>
      </c>
      <c r="EW106" s="21">
        <f>EXP(-LN(2)/25)*EW105+(1-EXP(-LN(2)/25))/(LN(2)/25)*Calculateur!ER106*Calculateur!ET106*VLOOKUP('Données projet'!$B$15,Paramètres!$A$1:$I$89,3,0)*0.475*44/12</f>
        <v>1.9871313106333448</v>
      </c>
      <c r="EX106" s="21">
        <f>EXP(-LN(2)/2)*EX105+(1-EXP(-LN(2)/2))/(LN(2)/2)*ER106*EU106*VLOOKUP('Données projet'!$B$15,Paramètres!$A$1:$I$89,3,0)*0.475*44/12</f>
        <v>3.2594427552353872E-10</v>
      </c>
      <c r="EY106" s="22">
        <f t="shared" si="75"/>
        <v>2.623727867463614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-1.7053025658242404E-13</v>
      </c>
      <c r="FF106" s="17">
        <f>FE106*VLOOKUP('Données projet'!$B$16,Paramètres!$A$1:$I$89,3,0)*VLOOKUP('Données projet'!$B$16,Paramètres!$A$1:$I$89,5,0)</f>
        <v>-7.9808160080574461E-14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87.187251664304199</v>
      </c>
      <c r="FK106" s="59">
        <f t="shared" si="102"/>
        <v>148.84938257884147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1.065429732133137</v>
      </c>
      <c r="FS106" s="21">
        <f>EXP(-LN(2)/2)*FS105+(1-EXP(-LN(2)/2))/(LN(2)/2)*FM106*FP106*VLOOKUP('Données projet'!$B$16,Paramètres!$A$1:$I$89,3,0)*0.475*44/12</f>
        <v>6.2602118200280773E-11</v>
      </c>
      <c r="FT106" s="22">
        <f t="shared" si="78"/>
        <v>1.0654297321957391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-1.1368683772161603E-13</v>
      </c>
      <c r="GA106" s="17">
        <f>FZ106*VLOOKUP('Données projet'!$B$17,Paramètres!$A$1:$I$89,3,0)*VLOOKUP('Données projet'!$B$17,Paramètres!$A$1:$I$89,5,0)</f>
        <v>-6.7984728957526396E-14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282.94722676586207</v>
      </c>
      <c r="GF106" s="59">
        <f t="shared" si="104"/>
        <v>310.63647941571298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1.4160758965405951</v>
      </c>
      <c r="GN106" s="21">
        <f>EXP(-LN(2)/2)*GN105+(1-EXP(-LN(2)/2))/(LN(2)/2)*GH106*GK106*VLOOKUP('Données projet'!$B$17,Paramètres!$A$1:$I$89,3,0)*0.475*44/12</f>
        <v>2.6381121148143576E-10</v>
      </c>
      <c r="GO106" s="21">
        <f t="shared" si="81"/>
        <v>1.4160758968044063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-1.1368683772161603E-13</v>
      </c>
      <c r="GV106" s="17">
        <f>GU106*VLOOKUP('Données projet'!$B$18,Paramètres!$A$1:$I$89,3,0)*VLOOKUP('Données projet'!$B$18,Paramètres!$A$1:$I$89,5,0)</f>
        <v>-6.7984728957526396E-14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255.54398581450459</v>
      </c>
      <c r="HA106" s="59">
        <f t="shared" si="106"/>
        <v>276.52622328061204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</v>
      </c>
      <c r="HH106" s="21">
        <f>EXP(-LN(2)/25)*HH105+(1-EXP(-LN(2)/25))/(LN(2)/25)*Calculateur!HC106*Calculateur!HE106*VLOOKUP('Données projet'!$B$18,Paramètres!$A$1:$I$89,3,0)*0.475*44/12</f>
        <v>0.70657745081047019</v>
      </c>
      <c r="HI106" s="21">
        <f>EXP(-LN(2)/2)*HI105+(1-EXP(-LN(2)/2))/(LN(2)/2)*HC106*HF106*VLOOKUP('Données projet'!$B$18,Paramètres!$A$1:$I$89,3,0)*0.475*44/12</f>
        <v>1.5297869567814978E-10</v>
      </c>
      <c r="HJ106" s="22">
        <f t="shared" si="84"/>
        <v>0.70657745096344893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4.9658410716801891E-14</v>
      </c>
      <c r="P107" s="13">
        <f t="shared" si="87"/>
        <v>8.0934058173791862E-13</v>
      </c>
      <c r="Q107" s="20">
        <f t="shared" si="107"/>
        <v>1.4960899118586383E-12</v>
      </c>
      <c r="R107" s="59">
        <f t="shared" si="55"/>
        <v>293.33333333333479</v>
      </c>
      <c r="S107" s="59">
        <f ca="1">AVERAGE(OFFSET($R$3,0,0,'Données projet'!$E$9+1,1))-AVERAGE(OFFSET($H$3,0,0,'Données projet'!$E$9+1,1))</f>
        <v>248.50221719467663</v>
      </c>
      <c r="T107" s="59">
        <f t="shared" si="88"/>
        <v>366.09064580347183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1.823390893113737</v>
      </c>
      <c r="AA107" s="21">
        <f>EXP(-LN(2)/25)*AA106+(1-EXP(-LN(2)/25))/(LN(2)/25)*Calculateur!V107*Calculateur!X107*VLOOKUP('Données projet'!$B$9,Paramètres!$A$1:$I$89,3,0)*0.475*44/12</f>
        <v>3.0933242854763066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4.916715178590044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263.22346936777603</v>
      </c>
      <c r="AO107" s="59">
        <f t="shared" si="90"/>
        <v>217.14714468707939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0.93510227539454793</v>
      </c>
      <c r="AW107" s="21">
        <f>EXP(-LN(2)/2)*AW106+(1-EXP(-LN(2)/2))/(LN(2)/2)*AQ107*AT107*VLOOKUP('Données projet'!$B$10,Paramètres!$A$1:$I$89,3,0)*0.475*44/12</f>
        <v>1.2988137638342752E-10</v>
      </c>
      <c r="AX107" s="21">
        <f t="shared" si="60"/>
        <v>0.93510227552442926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4.4337866711430253E-14</v>
      </c>
      <c r="BF107" s="13">
        <f t="shared" si="91"/>
        <v>7.3222115536967035E-13</v>
      </c>
      <c r="BG107" s="20">
        <f t="shared" si="61"/>
        <v>1.3525069634579169E-12</v>
      </c>
      <c r="BH107" s="59">
        <f t="shared" si="62"/>
        <v>293.33333333333468</v>
      </c>
      <c r="BI107" s="59">
        <f ca="1">AVERAGE(OFFSET($BH$3,0,0,'Données projet'!$E$11+1,1))-AVERAGE(OFFSET($H$3,0,0,'Données projet'!$E$11+1,1))</f>
        <v>219.22204054948094</v>
      </c>
      <c r="BJ107" s="59">
        <f t="shared" si="92"/>
        <v>222.41711966122034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0.40296677663501307</v>
      </c>
      <c r="BR107" s="21">
        <f>EXP(-LN(2)/2)*BR106+(1-EXP(-LN(2)/2))/(LN(2)/2)*BL107*BO107*VLOOKUP('Données projet'!$B$11,Paramètres!$A$1:$I$89,3,0)*0.475*44/12</f>
        <v>2.3793163100581895E-11</v>
      </c>
      <c r="BS107" s="22">
        <f t="shared" si="63"/>
        <v>0.40296677665880626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-3.979039320256561E-13</v>
      </c>
      <c r="BZ107" s="13">
        <f>BY107*VLOOKUP('Données projet'!$B$12,Paramètres!$A$1:$I$89,3,0)*VLOOKUP('Données projet'!$B$12,Paramètres!$A$1:$I$89,5,0)</f>
        <v>-3.41401573678013E-13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237.27357081252273</v>
      </c>
      <c r="CE107" s="59">
        <f t="shared" si="94"/>
        <v>68.768479693848576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-3.4106051316484809E-13</v>
      </c>
      <c r="CU107" s="17">
        <f>CT107*VLOOKUP('Données projet'!$B$13,Paramètres!$A$1:$I$89,3,0)*VLOOKUP('Données projet'!$B$13,Paramètres!$A$1:$I$89,5,0)</f>
        <v>-1.9065282685915009E-13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474.03051418249999</v>
      </c>
      <c r="CZ107" s="59">
        <f t="shared" si="96"/>
        <v>649.52271992719091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1.2622466675175861</v>
      </c>
      <c r="DG107" s="21">
        <f>EXP(-LN(2)/25)*DG106+(1-EXP(-LN(2)/25))/(LN(2)/25)*Calculateur!DB107*Calculateur!DD107*VLOOKUP('Données projet'!$B$13,Paramètres!$A$1:$I$89,3,0)*0.475*44/12</f>
        <v>3.1091538625456212</v>
      </c>
      <c r="DH107" s="21">
        <f>EXP(-LN(2)/2)*DH106+(1-EXP(-LN(2)/2))/(LN(2)/2)*DB107*DE107*VLOOKUP('Données projet'!$B$13,Paramètres!$A$1:$I$89,3,0)*0.475*44/12</f>
        <v>8.5126288844076821E-11</v>
      </c>
      <c r="DI107" s="22">
        <f t="shared" si="69"/>
        <v>4.3714005301483336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-5.6843418860808015E-14</v>
      </c>
      <c r="DP107" s="17">
        <f>DO107*VLOOKUP('Données projet'!$B$14,Paramètres!$A$1:$I$89,3,0)*VLOOKUP('Données projet'!$B$14,Paramètres!$A$1:$I$89,5,0)</f>
        <v>-3.1036506698001178E-14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164.0740581424559</v>
      </c>
      <c r="DU107" s="59">
        <f t="shared" si="98"/>
        <v>280.99861170359793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1.5256412341861605</v>
      </c>
      <c r="EB107" s="21">
        <f>EXP(-LN(2)/25)*EB106+(1-EXP(-LN(2)/25))/(LN(2)/25)*Calculateur!DW107*Calculateur!DY107*VLOOKUP('Données projet'!$B$14,Paramètres!$A$1:$I$89,3,0)*0.475*44/12</f>
        <v>3.3280906235067689</v>
      </c>
      <c r="EC107" s="21">
        <f>EXP(-LN(2)/2)*EC106+(1-EXP(-LN(2)/2))/(LN(2)/2)*DW107*DZ107*VLOOKUP('Données projet'!$B$14,Paramètres!$A$1:$I$89,3,0)*0.475*44/12</f>
        <v>1.1043967429644337E-10</v>
      </c>
      <c r="ED107" s="22">
        <f t="shared" si="72"/>
        <v>4.8537318578033695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1.1368683772161603E-13</v>
      </c>
      <c r="EK107" s="17">
        <f>EJ107*VLOOKUP('Données projet'!$B$15,Paramètres!$A$1:$I$89,3,0)*VLOOKUP('Données projet'!$B$15,Paramètres!$A$1:$I$89,5,0)</f>
        <v>5.4683368944097308E-14</v>
      </c>
      <c r="EL107" s="13">
        <f t="shared" si="99"/>
        <v>8.8129432816788268E-13</v>
      </c>
      <c r="EM107" s="20">
        <f t="shared" si="73"/>
        <v>1.6301611558033651E-12</v>
      </c>
      <c r="EN107" s="59">
        <f t="shared" si="74"/>
        <v>293.33333333333496</v>
      </c>
      <c r="EO107" s="59">
        <f ca="1">AVERAGE(OFFSET($EN$3,0,0,'Données projet'!$E$15+1,1))-AVERAGE(OFFSET($H$3,0,0,'Données projet'!$E$15+1,1))</f>
        <v>312.1172301514103</v>
      </c>
      <c r="EP107" s="59">
        <f t="shared" si="100"/>
        <v>369.85500533493212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0.62411328631683438</v>
      </c>
      <c r="EW107" s="21">
        <f>EXP(-LN(2)/25)*EW106+(1-EXP(-LN(2)/25))/(LN(2)/25)*Calculateur!ER107*Calculateur!ET107*VLOOKUP('Données projet'!$B$15,Paramètres!$A$1:$I$89,3,0)*0.475*44/12</f>
        <v>1.932793100445382</v>
      </c>
      <c r="EX107" s="21">
        <f>EXP(-LN(2)/2)*EX106+(1-EXP(-LN(2)/2))/(LN(2)/2)*ER107*EU107*VLOOKUP('Données projet'!$B$15,Paramètres!$A$1:$I$89,3,0)*0.475*44/12</f>
        <v>2.3047740751163067E-10</v>
      </c>
      <c r="EY107" s="22">
        <f t="shared" si="75"/>
        <v>2.556906386992694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-1.7053025658242404E-13</v>
      </c>
      <c r="FF107" s="17">
        <f>FE107*VLOOKUP('Données projet'!$B$16,Paramètres!$A$1:$I$89,3,0)*VLOOKUP('Données projet'!$B$16,Paramètres!$A$1:$I$89,5,0)</f>
        <v>-7.9808160080574461E-14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87.187251664304199</v>
      </c>
      <c r="FK107" s="59">
        <f t="shared" si="102"/>
        <v>148.84938257884147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1.0362955000794418</v>
      </c>
      <c r="FS107" s="21">
        <f>EXP(-LN(2)/2)*FS106+(1-EXP(-LN(2)/2))/(LN(2)/2)*FM107*FP107*VLOOKUP('Données projet'!$B$16,Paramètres!$A$1:$I$89,3,0)*0.475*44/12</f>
        <v>4.4266382296060321E-11</v>
      </c>
      <c r="FT107" s="22">
        <f t="shared" si="78"/>
        <v>1.0362955001237082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-1.1368683772161603E-13</v>
      </c>
      <c r="GA107" s="17">
        <f>FZ107*VLOOKUP('Données projet'!$B$17,Paramètres!$A$1:$I$89,3,0)*VLOOKUP('Données projet'!$B$17,Paramètres!$A$1:$I$89,5,0)</f>
        <v>-6.7984728957526396E-14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282.94722676586207</v>
      </c>
      <c r="GF107" s="59">
        <f t="shared" si="104"/>
        <v>310.63647941571298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1.3773532266814976</v>
      </c>
      <c r="GN107" s="21">
        <f>EXP(-LN(2)/2)*GN106+(1-EXP(-LN(2)/2))/(LN(2)/2)*GH107*GK107*VLOOKUP('Données projet'!$B$17,Paramètres!$A$1:$I$89,3,0)*0.475*44/12</f>
        <v>1.8654269659156162E-10</v>
      </c>
      <c r="GO107" s="21">
        <f t="shared" si="81"/>
        <v>1.3773532268680404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-1.1368683772161603E-13</v>
      </c>
      <c r="GV107" s="17">
        <f>GU107*VLOOKUP('Données projet'!$B$18,Paramètres!$A$1:$I$89,3,0)*VLOOKUP('Données projet'!$B$18,Paramètres!$A$1:$I$89,5,0)</f>
        <v>-6.7984728957526396E-14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255.54398581450459</v>
      </c>
      <c r="HA107" s="59">
        <f t="shared" si="106"/>
        <v>276.52622328061204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</v>
      </c>
      <c r="HH107" s="21">
        <f>EXP(-LN(2)/25)*HH106+(1-EXP(-LN(2)/25))/(LN(2)/25)*Calculateur!HC107*Calculateur!HE107*VLOOKUP('Données projet'!$B$18,Paramètres!$A$1:$I$89,3,0)*0.475*44/12</f>
        <v>0.68725605326076467</v>
      </c>
      <c r="HI107" s="21">
        <f>EXP(-LN(2)/2)*HI106+(1-EXP(-LN(2)/2))/(LN(2)/2)*HC107*HF107*VLOOKUP('Données projet'!$B$18,Paramètres!$A$1:$I$89,3,0)*0.475*44/12</f>
        <v>1.081722730910929E-10</v>
      </c>
      <c r="HJ107" s="22">
        <f t="shared" si="84"/>
        <v>0.68725605336893691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4.9658410716801891E-14</v>
      </c>
      <c r="P108" s="13">
        <f t="shared" si="87"/>
        <v>8.0934058173791862E-13</v>
      </c>
      <c r="Q108" s="20">
        <f t="shared" si="107"/>
        <v>1.4960899118586383E-12</v>
      </c>
      <c r="R108" s="59">
        <f t="shared" si="55"/>
        <v>293.33333333333479</v>
      </c>
      <c r="S108" s="59">
        <f ca="1">AVERAGE(OFFSET($R$3,0,0,'Données projet'!$E$9+1,1))-AVERAGE(OFFSET($H$3,0,0,'Données projet'!$E$9+1,1))</f>
        <v>248.50221719467663</v>
      </c>
      <c r="T108" s="59">
        <f t="shared" si="88"/>
        <v>366.09064580347183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1.7876353098584048</v>
      </c>
      <c r="AA108" s="21">
        <f>EXP(-LN(2)/25)*AA107+(1-EXP(-LN(2)/25))/(LN(2)/25)*Calculateur!V108*Calculateur!X108*VLOOKUP('Données projet'!$B$9,Paramètres!$A$1:$I$89,3,0)*0.475*44/12</f>
        <v>3.0087371702191028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4.7963724800775074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263.22346936777603</v>
      </c>
      <c r="AO108" s="59">
        <f t="shared" si="90"/>
        <v>217.14714468707939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0.90953185449899254</v>
      </c>
      <c r="AW108" s="21">
        <f>EXP(-LN(2)/2)*AW107+(1-EXP(-LN(2)/2))/(LN(2)/2)*AQ108*AT108*VLOOKUP('Données projet'!$B$10,Paramètres!$A$1:$I$89,3,0)*0.475*44/12</f>
        <v>9.1840001990563902E-11</v>
      </c>
      <c r="AX108" s="21">
        <f t="shared" si="60"/>
        <v>0.90953185459083252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4.4337866711430253E-14</v>
      </c>
      <c r="BF108" s="13">
        <f t="shared" si="91"/>
        <v>7.3222115536967035E-13</v>
      </c>
      <c r="BG108" s="20">
        <f t="shared" si="61"/>
        <v>1.3525069634579169E-12</v>
      </c>
      <c r="BH108" s="59">
        <f t="shared" si="62"/>
        <v>293.33333333333468</v>
      </c>
      <c r="BI108" s="59">
        <f ca="1">AVERAGE(OFFSET($BH$3,0,0,'Données projet'!$E$11+1,1))-AVERAGE(OFFSET($H$3,0,0,'Données projet'!$E$11+1,1))</f>
        <v>219.22204054948094</v>
      </c>
      <c r="BJ108" s="59">
        <f t="shared" si="92"/>
        <v>222.41711966122034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0.39194762893682683</v>
      </c>
      <c r="BR108" s="21">
        <f>EXP(-LN(2)/2)*BR107+(1-EXP(-LN(2)/2))/(LN(2)/2)*BL108*BO108*VLOOKUP('Données projet'!$B$11,Paramètres!$A$1:$I$89,3,0)*0.475*44/12</f>
        <v>1.6824306974298999E-11</v>
      </c>
      <c r="BS108" s="22">
        <f t="shared" si="63"/>
        <v>0.39194762895365115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-3.979039320256561E-13</v>
      </c>
      <c r="BZ108" s="13">
        <f>BY108*VLOOKUP('Données projet'!$B$12,Paramètres!$A$1:$I$89,3,0)*VLOOKUP('Données projet'!$B$12,Paramètres!$A$1:$I$89,5,0)</f>
        <v>-3.41401573678013E-13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237.27357081252273</v>
      </c>
      <c r="CE108" s="59">
        <f t="shared" si="94"/>
        <v>68.768479693848576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-3.4106051316484809E-13</v>
      </c>
      <c r="CU108" s="17">
        <f>CT108*VLOOKUP('Données projet'!$B$13,Paramètres!$A$1:$I$89,3,0)*VLOOKUP('Données projet'!$B$13,Paramètres!$A$1:$I$89,5,0)</f>
        <v>-1.9065282685915009E-13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474.03051418249999</v>
      </c>
      <c r="CZ108" s="59">
        <f t="shared" si="96"/>
        <v>649.52271992719091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1.2374947802620127</v>
      </c>
      <c r="DG108" s="21">
        <f>EXP(-LN(2)/25)*DG107+(1-EXP(-LN(2)/25))/(LN(2)/25)*Calculateur!DB108*Calculateur!DD108*VLOOKUP('Données projet'!$B$13,Paramètres!$A$1:$I$89,3,0)*0.475*44/12</f>
        <v>3.0241338866710157</v>
      </c>
      <c r="DH108" s="21">
        <f>EXP(-LN(2)/2)*DH107+(1-EXP(-LN(2)/2))/(LN(2)/2)*DB108*DE108*VLOOKUP('Données projet'!$B$13,Paramètres!$A$1:$I$89,3,0)*0.475*44/12</f>
        <v>6.019337609889147E-11</v>
      </c>
      <c r="DI108" s="22">
        <f t="shared" si="69"/>
        <v>4.2616286669932215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-5.6843418860808015E-14</v>
      </c>
      <c r="DP108" s="17">
        <f>DO108*VLOOKUP('Données projet'!$B$14,Paramètres!$A$1:$I$89,3,0)*VLOOKUP('Données projet'!$B$14,Paramètres!$A$1:$I$89,5,0)</f>
        <v>-3.1036506698001178E-14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164.0740581424559</v>
      </c>
      <c r="DU108" s="59">
        <f t="shared" si="98"/>
        <v>280.99861170359793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1.4957243401330387</v>
      </c>
      <c r="EB108" s="21">
        <f>EXP(-LN(2)/25)*EB107+(1-EXP(-LN(2)/25))/(LN(2)/25)*Calculateur!DW108*Calculateur!DY108*VLOOKUP('Données projet'!$B$14,Paramètres!$A$1:$I$89,3,0)*0.475*44/12</f>
        <v>3.2370838103902968</v>
      </c>
      <c r="EC108" s="21">
        <f>EXP(-LN(2)/2)*EC107+(1-EXP(-LN(2)/2))/(LN(2)/2)*DW108*DZ108*VLOOKUP('Données projet'!$B$14,Paramètres!$A$1:$I$89,3,0)*0.475*44/12</f>
        <v>7.809264260704876E-11</v>
      </c>
      <c r="ED108" s="22">
        <f t="shared" si="72"/>
        <v>4.7328081506014277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1.1368683772161603E-13</v>
      </c>
      <c r="EK108" s="17">
        <f>EJ108*VLOOKUP('Données projet'!$B$15,Paramètres!$A$1:$I$89,3,0)*VLOOKUP('Données projet'!$B$15,Paramètres!$A$1:$I$89,5,0)</f>
        <v>5.4683368944097308E-14</v>
      </c>
      <c r="EL108" s="13">
        <f t="shared" si="99"/>
        <v>8.8129432816788268E-13</v>
      </c>
      <c r="EM108" s="20">
        <f t="shared" si="73"/>
        <v>1.6301611558033651E-12</v>
      </c>
      <c r="EN108" s="59">
        <f t="shared" si="74"/>
        <v>293.33333333333496</v>
      </c>
      <c r="EO108" s="59">
        <f ca="1">AVERAGE(OFFSET($EN$3,0,0,'Données projet'!$E$15+1,1))-AVERAGE(OFFSET($H$3,0,0,'Données projet'!$E$15+1,1))</f>
        <v>312.1172301514103</v>
      </c>
      <c r="EP108" s="59">
        <f t="shared" si="100"/>
        <v>369.85500533493212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0.61187480544367767</v>
      </c>
      <c r="EW108" s="21">
        <f>EXP(-LN(2)/25)*EW107+(1-EXP(-LN(2)/25))/(LN(2)/25)*Calculateur!ER108*Calculateur!ET108*VLOOKUP('Données projet'!$B$15,Paramètres!$A$1:$I$89,3,0)*0.475*44/12</f>
        <v>1.8799407714725314</v>
      </c>
      <c r="EX108" s="21">
        <f>EXP(-LN(2)/2)*EX107+(1-EXP(-LN(2)/2))/(LN(2)/2)*ER108*EU108*VLOOKUP('Données projet'!$B$15,Paramètres!$A$1:$I$89,3,0)*0.475*44/12</f>
        <v>1.6297213776176939E-10</v>
      </c>
      <c r="EY108" s="22">
        <f t="shared" si="75"/>
        <v>2.4918155770791812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-1.7053025658242404E-13</v>
      </c>
      <c r="FF108" s="17">
        <f>FE108*VLOOKUP('Données projet'!$B$16,Paramètres!$A$1:$I$89,3,0)*VLOOKUP('Données projet'!$B$16,Paramètres!$A$1:$I$89,5,0)</f>
        <v>-7.9808160080574461E-14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87.187251664304199</v>
      </c>
      <c r="FK108" s="59">
        <f t="shared" si="102"/>
        <v>148.84938257884147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1.0079579451333576</v>
      </c>
      <c r="FS108" s="21">
        <f>EXP(-LN(2)/2)*FS107+(1-EXP(-LN(2)/2))/(LN(2)/2)*FM108*FP108*VLOOKUP('Données projet'!$B$16,Paramètres!$A$1:$I$89,3,0)*0.475*44/12</f>
        <v>3.1301059100140387E-11</v>
      </c>
      <c r="FT108" s="22">
        <f t="shared" si="78"/>
        <v>1.0079579451646585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-1.1368683772161603E-13</v>
      </c>
      <c r="GA108" s="17">
        <f>FZ108*VLOOKUP('Données projet'!$B$17,Paramètres!$A$1:$I$89,3,0)*VLOOKUP('Données projet'!$B$17,Paramètres!$A$1:$I$89,5,0)</f>
        <v>-6.7984728957526396E-14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282.94722676586207</v>
      </c>
      <c r="GF108" s="59">
        <f t="shared" si="104"/>
        <v>310.63647941571298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1.3396894302660338</v>
      </c>
      <c r="GN108" s="21">
        <f>EXP(-LN(2)/2)*GN107+(1-EXP(-LN(2)/2))/(LN(2)/2)*GH108*GK108*VLOOKUP('Données projet'!$B$17,Paramètres!$A$1:$I$89,3,0)*0.475*44/12</f>
        <v>1.3190560574071788E-10</v>
      </c>
      <c r="GO108" s="21">
        <f t="shared" si="81"/>
        <v>1.3396894303979394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-1.1368683772161603E-13</v>
      </c>
      <c r="GV108" s="17">
        <f>GU108*VLOOKUP('Données projet'!$B$18,Paramètres!$A$1:$I$89,3,0)*VLOOKUP('Données projet'!$B$18,Paramètres!$A$1:$I$89,5,0)</f>
        <v>-6.7984728957526396E-14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255.54398581450459</v>
      </c>
      <c r="HA108" s="59">
        <f t="shared" si="106"/>
        <v>276.52622328061204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</v>
      </c>
      <c r="HH108" s="21">
        <f>EXP(-LN(2)/25)*HH107+(1-EXP(-LN(2)/25))/(LN(2)/25)*Calculateur!HC108*Calculateur!HE108*VLOOKUP('Données projet'!$B$18,Paramètres!$A$1:$I$89,3,0)*0.475*44/12</f>
        <v>0.668463000343124</v>
      </c>
      <c r="HI108" s="21">
        <f>EXP(-LN(2)/2)*HI107+(1-EXP(-LN(2)/2))/(LN(2)/2)*HC108*HF108*VLOOKUP('Données projet'!$B$18,Paramètres!$A$1:$I$89,3,0)*0.475*44/12</f>
        <v>7.6489347839074891E-11</v>
      </c>
      <c r="HJ108" s="22">
        <f t="shared" si="84"/>
        <v>0.66846300041961337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4.9658410716801891E-14</v>
      </c>
      <c r="P109" s="13">
        <f t="shared" si="87"/>
        <v>8.0934058173791862E-13</v>
      </c>
      <c r="Q109" s="20">
        <f t="shared" si="107"/>
        <v>1.4960899118586383E-12</v>
      </c>
      <c r="R109" s="59">
        <f t="shared" si="55"/>
        <v>293.33333333333479</v>
      </c>
      <c r="S109" s="59">
        <f ca="1">AVERAGE(OFFSET($R$3,0,0,'Données projet'!$E$9+1,1))-AVERAGE(OFFSET($H$3,0,0,'Données projet'!$E$9+1,1))</f>
        <v>248.50221719467663</v>
      </c>
      <c r="T109" s="59">
        <f t="shared" si="88"/>
        <v>366.09064580347183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1.7525808717819573</v>
      </c>
      <c r="AA109" s="21">
        <f>EXP(-LN(2)/25)*AA108+(1-EXP(-LN(2)/25))/(LN(2)/25)*Calculateur!V109*Calculateur!X109*VLOOKUP('Données projet'!$B$9,Paramètres!$A$1:$I$89,3,0)*0.475*44/12</f>
        <v>2.9264630940768503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4.6790439658588081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263.22346936777603</v>
      </c>
      <c r="AO109" s="59">
        <f t="shared" si="90"/>
        <v>217.14714468707939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0.88466065810751615</v>
      </c>
      <c r="AW109" s="21">
        <f>EXP(-LN(2)/2)*AW108+(1-EXP(-LN(2)/2))/(LN(2)/2)*AQ109*AT109*VLOOKUP('Données projet'!$B$10,Paramètres!$A$1:$I$89,3,0)*0.475*44/12</f>
        <v>6.4940688191713758E-11</v>
      </c>
      <c r="AX109" s="21">
        <f t="shared" si="60"/>
        <v>0.88466065817245687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4.4337866711430253E-14</v>
      </c>
      <c r="BF109" s="13">
        <f t="shared" si="91"/>
        <v>7.3222115536967035E-13</v>
      </c>
      <c r="BG109" s="20">
        <f t="shared" si="61"/>
        <v>1.3525069634579169E-12</v>
      </c>
      <c r="BH109" s="59">
        <f t="shared" si="62"/>
        <v>293.33333333333468</v>
      </c>
      <c r="BI109" s="59">
        <f ca="1">AVERAGE(OFFSET($BH$3,0,0,'Données projet'!$E$11+1,1))-AVERAGE(OFFSET($H$3,0,0,'Données projet'!$E$11+1,1))</f>
        <v>219.22204054948094</v>
      </c>
      <c r="BJ109" s="59">
        <f t="shared" si="92"/>
        <v>222.41711966122034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0.38122980041191928</v>
      </c>
      <c r="BR109" s="21">
        <f>EXP(-LN(2)/2)*BR108+(1-EXP(-LN(2)/2))/(LN(2)/2)*BL109*BO109*VLOOKUP('Données projet'!$B$11,Paramètres!$A$1:$I$89,3,0)*0.475*44/12</f>
        <v>1.1896581550290948E-11</v>
      </c>
      <c r="BS109" s="22">
        <f t="shared" si="63"/>
        <v>0.38122980042381588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-3.979039320256561E-13</v>
      </c>
      <c r="BZ109" s="13">
        <f>BY109*VLOOKUP('Données projet'!$B$12,Paramètres!$A$1:$I$89,3,0)*VLOOKUP('Données projet'!$B$12,Paramètres!$A$1:$I$89,5,0)</f>
        <v>-3.41401573678013E-13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237.27357081252273</v>
      </c>
      <c r="CE109" s="59">
        <f t="shared" si="94"/>
        <v>68.768479693848576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-3.4106051316484809E-13</v>
      </c>
      <c r="CU109" s="17">
        <f>CT109*VLOOKUP('Données projet'!$B$13,Paramètres!$A$1:$I$89,3,0)*VLOOKUP('Données projet'!$B$13,Paramètres!$A$1:$I$89,5,0)</f>
        <v>-1.9065282685915009E-13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474.03051418249999</v>
      </c>
      <c r="CZ109" s="59">
        <f t="shared" si="96"/>
        <v>649.52271992719091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1.2132282624183606</v>
      </c>
      <c r="DG109" s="21">
        <f>EXP(-LN(2)/25)*DG108+(1-EXP(-LN(2)/25))/(LN(2)/25)*Calculateur!DB109*Calculateur!DD109*VLOOKUP('Données projet'!$B$13,Paramètres!$A$1:$I$89,3,0)*0.475*44/12</f>
        <v>2.9414387865077076</v>
      </c>
      <c r="DH109" s="21">
        <f>EXP(-LN(2)/2)*DH108+(1-EXP(-LN(2)/2))/(LN(2)/2)*DB109*DE109*VLOOKUP('Données projet'!$B$13,Paramètres!$A$1:$I$89,3,0)*0.475*44/12</f>
        <v>4.256314442203841E-11</v>
      </c>
      <c r="DI109" s="22">
        <f t="shared" si="69"/>
        <v>4.1546670489686317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-5.6843418860808015E-14</v>
      </c>
      <c r="DP109" s="17">
        <f>DO109*VLOOKUP('Données projet'!$B$14,Paramètres!$A$1:$I$89,3,0)*VLOOKUP('Données projet'!$B$14,Paramètres!$A$1:$I$89,5,0)</f>
        <v>-3.1036506698001178E-14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164.0740581424559</v>
      </c>
      <c r="DU109" s="59">
        <f t="shared" si="98"/>
        <v>280.99861170359793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1.4663940981247949</v>
      </c>
      <c r="EB109" s="21">
        <f>EXP(-LN(2)/25)*EB108+(1-EXP(-LN(2)/25))/(LN(2)/25)*Calculateur!DW109*Calculateur!DY109*VLOOKUP('Données projet'!$B$14,Paramètres!$A$1:$I$89,3,0)*0.475*44/12</f>
        <v>3.1485655833643351</v>
      </c>
      <c r="EC109" s="21">
        <f>EXP(-LN(2)/2)*EC108+(1-EXP(-LN(2)/2))/(LN(2)/2)*DW109*DZ109*VLOOKUP('Données projet'!$B$14,Paramètres!$A$1:$I$89,3,0)*0.475*44/12</f>
        <v>5.5219837148221687E-11</v>
      </c>
      <c r="ED109" s="22">
        <f t="shared" si="72"/>
        <v>4.6149596815443497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1.1368683772161603E-13</v>
      </c>
      <c r="EK109" s="17">
        <f>EJ109*VLOOKUP('Données projet'!$B$15,Paramètres!$A$1:$I$89,3,0)*VLOOKUP('Données projet'!$B$15,Paramètres!$A$1:$I$89,5,0)</f>
        <v>5.4683368944097308E-14</v>
      </c>
      <c r="EL109" s="13">
        <f t="shared" si="99"/>
        <v>8.8129432816788268E-13</v>
      </c>
      <c r="EM109" s="20">
        <f t="shared" si="73"/>
        <v>1.6301611558033651E-12</v>
      </c>
      <c r="EN109" s="59">
        <f t="shared" si="74"/>
        <v>293.33333333333496</v>
      </c>
      <c r="EO109" s="59">
        <f ca="1">AVERAGE(OFFSET($EN$3,0,0,'Données projet'!$E$15+1,1))-AVERAGE(OFFSET($H$3,0,0,'Données projet'!$E$15+1,1))</f>
        <v>312.1172301514103</v>
      </c>
      <c r="EP109" s="59">
        <f t="shared" si="100"/>
        <v>369.85500533493212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0.59987631371570738</v>
      </c>
      <c r="EW109" s="21">
        <f>EXP(-LN(2)/25)*EW108+(1-EXP(-LN(2)/25))/(LN(2)/25)*Calculateur!ER109*Calculateur!ET109*VLOOKUP('Données projet'!$B$15,Paramètres!$A$1:$I$89,3,0)*0.475*44/12</f>
        <v>1.8285336922148265</v>
      </c>
      <c r="EX109" s="21">
        <f>EXP(-LN(2)/2)*EX108+(1-EXP(-LN(2)/2))/(LN(2)/2)*ER109*EU109*VLOOKUP('Données projet'!$B$15,Paramètres!$A$1:$I$89,3,0)*0.475*44/12</f>
        <v>1.1523870375581535E-10</v>
      </c>
      <c r="EY109" s="22">
        <f t="shared" si="75"/>
        <v>2.4284100060457723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-1.7053025658242404E-13</v>
      </c>
      <c r="FF109" s="17">
        <f>FE109*VLOOKUP('Données projet'!$B$16,Paramètres!$A$1:$I$89,3,0)*VLOOKUP('Données projet'!$B$16,Paramètres!$A$1:$I$89,5,0)</f>
        <v>-7.9808160080574461E-14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87.187251664304199</v>
      </c>
      <c r="FK109" s="59">
        <f t="shared" si="102"/>
        <v>148.84938257884147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0.98039528211748128</v>
      </c>
      <c r="FS109" s="21">
        <f>EXP(-LN(2)/2)*FS108+(1-EXP(-LN(2)/2))/(LN(2)/2)*FM109*FP109*VLOOKUP('Données projet'!$B$16,Paramètres!$A$1:$I$89,3,0)*0.475*44/12</f>
        <v>2.2133191148030161E-11</v>
      </c>
      <c r="FT109" s="22">
        <f t="shared" si="78"/>
        <v>0.98039528213961447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-1.1368683772161603E-13</v>
      </c>
      <c r="GA109" s="17">
        <f>FZ109*VLOOKUP('Données projet'!$B$17,Paramètres!$A$1:$I$89,3,0)*VLOOKUP('Données projet'!$B$17,Paramètres!$A$1:$I$89,5,0)</f>
        <v>-6.7984728957526396E-14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282.94722676586207</v>
      </c>
      <c r="GF109" s="59">
        <f t="shared" si="104"/>
        <v>310.63647941571298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1.3030555523442038</v>
      </c>
      <c r="GN109" s="21">
        <f>EXP(-LN(2)/2)*GN108+(1-EXP(-LN(2)/2))/(LN(2)/2)*GH109*GK109*VLOOKUP('Données projet'!$B$17,Paramètres!$A$1:$I$89,3,0)*0.475*44/12</f>
        <v>9.3271348295780808E-11</v>
      </c>
      <c r="GO109" s="21">
        <f t="shared" si="81"/>
        <v>1.3030555524374752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-1.1368683772161603E-13</v>
      </c>
      <c r="GV109" s="17">
        <f>GU109*VLOOKUP('Données projet'!$B$18,Paramètres!$A$1:$I$89,3,0)*VLOOKUP('Données projet'!$B$18,Paramètres!$A$1:$I$89,5,0)</f>
        <v>-6.7984728957526396E-14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255.54398581450459</v>
      </c>
      <c r="HA109" s="59">
        <f t="shared" si="106"/>
        <v>276.52622328061204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</v>
      </c>
      <c r="HH109" s="21">
        <f>EXP(-LN(2)/25)*HH108+(1-EXP(-LN(2)/25))/(LN(2)/25)*Calculateur!HC109*Calculateur!HE109*VLOOKUP('Données projet'!$B$18,Paramètres!$A$1:$I$89,3,0)*0.475*44/12</f>
        <v>0.65018384444579991</v>
      </c>
      <c r="HI109" s="21">
        <f>EXP(-LN(2)/2)*HI108+(1-EXP(-LN(2)/2))/(LN(2)/2)*HC109*HF109*VLOOKUP('Données projet'!$B$18,Paramètres!$A$1:$I$89,3,0)*0.475*44/12</f>
        <v>5.4086136545546452E-11</v>
      </c>
      <c r="HJ109" s="22">
        <f t="shared" si="84"/>
        <v>0.65018384449988609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4.9658410716801891E-14</v>
      </c>
      <c r="P110" s="13">
        <f t="shared" si="87"/>
        <v>8.0934058173791862E-13</v>
      </c>
      <c r="Q110" s="20">
        <f t="shared" si="107"/>
        <v>1.4960899118586383E-12</v>
      </c>
      <c r="R110" s="59">
        <f t="shared" si="55"/>
        <v>293.33333333333479</v>
      </c>
      <c r="S110" s="59">
        <f ca="1">AVERAGE(OFFSET($R$3,0,0,'Données projet'!$E$9+1,1))-AVERAGE(OFFSET($H$3,0,0,'Données projet'!$E$9+1,1))</f>
        <v>248.50221719467663</v>
      </c>
      <c r="T110" s="59">
        <f t="shared" si="88"/>
        <v>366.09064580347183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1.7182138298550931</v>
      </c>
      <c r="AA110" s="21">
        <f>EXP(-LN(2)/25)*AA109+(1-EXP(-LN(2)/25))/(LN(2)/25)*Calculateur!V110*Calculateur!X110*VLOOKUP('Données projet'!$B$9,Paramètres!$A$1:$I$89,3,0)*0.475*44/12</f>
        <v>2.8464388068733131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4.5646526367284057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263.22346936777603</v>
      </c>
      <c r="AO110" s="59">
        <f t="shared" si="90"/>
        <v>217.14714468707939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0.86046956588928403</v>
      </c>
      <c r="AW110" s="21">
        <f>EXP(-LN(2)/2)*AW109+(1-EXP(-LN(2)/2))/(LN(2)/2)*AQ110*AT110*VLOOKUP('Données projet'!$B$10,Paramètres!$A$1:$I$89,3,0)*0.475*44/12</f>
        <v>4.5920000995281951E-11</v>
      </c>
      <c r="AX110" s="21">
        <f t="shared" si="60"/>
        <v>0.86046956593520407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4.4337866711430253E-14</v>
      </c>
      <c r="BF110" s="13">
        <f t="shared" si="91"/>
        <v>7.3222115536967035E-13</v>
      </c>
      <c r="BG110" s="20">
        <f t="shared" si="61"/>
        <v>1.3525069634579169E-12</v>
      </c>
      <c r="BH110" s="59">
        <f t="shared" si="62"/>
        <v>293.33333333333468</v>
      </c>
      <c r="BI110" s="59">
        <f ca="1">AVERAGE(OFFSET($BH$3,0,0,'Données projet'!$E$11+1,1))-AVERAGE(OFFSET($H$3,0,0,'Données projet'!$E$11+1,1))</f>
        <v>219.22204054948094</v>
      </c>
      <c r="BJ110" s="59">
        <f t="shared" si="92"/>
        <v>222.41711966122034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0.37080505147165144</v>
      </c>
      <c r="BR110" s="21">
        <f>EXP(-LN(2)/2)*BR109+(1-EXP(-LN(2)/2))/(LN(2)/2)*BL110*BO110*VLOOKUP('Données projet'!$B$11,Paramètres!$A$1:$I$89,3,0)*0.475*44/12</f>
        <v>8.4121534871494994E-12</v>
      </c>
      <c r="BS110" s="22">
        <f t="shared" si="63"/>
        <v>0.3708050514800636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-3.979039320256561E-13</v>
      </c>
      <c r="BZ110" s="13">
        <f>BY110*VLOOKUP('Données projet'!$B$12,Paramètres!$A$1:$I$89,3,0)*VLOOKUP('Données projet'!$B$12,Paramètres!$A$1:$I$89,5,0)</f>
        <v>-3.41401573678013E-13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237.27357081252273</v>
      </c>
      <c r="CE110" s="59">
        <f t="shared" si="94"/>
        <v>68.768479693848576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-3.4106051316484809E-13</v>
      </c>
      <c r="CU110" s="17">
        <f>CT110*VLOOKUP('Données projet'!$B$13,Paramètres!$A$1:$I$89,3,0)*VLOOKUP('Données projet'!$B$13,Paramètres!$A$1:$I$89,5,0)</f>
        <v>-1.9065282685915009E-13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474.03051418249999</v>
      </c>
      <c r="CZ110" s="59">
        <f t="shared" si="96"/>
        <v>649.52271992719091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1.189437596188508</v>
      </c>
      <c r="DG110" s="21">
        <f>EXP(-LN(2)/25)*DG109+(1-EXP(-LN(2)/25))/(LN(2)/25)*Calculateur!DB110*Calculateur!DD110*VLOOKUP('Données projet'!$B$13,Paramètres!$A$1:$I$89,3,0)*0.475*44/12</f>
        <v>2.8610049882071111</v>
      </c>
      <c r="DH110" s="21">
        <f>EXP(-LN(2)/2)*DH109+(1-EXP(-LN(2)/2))/(LN(2)/2)*DB110*DE110*VLOOKUP('Données projet'!$B$13,Paramètres!$A$1:$I$89,3,0)*0.475*44/12</f>
        <v>3.0096688049445735E-11</v>
      </c>
      <c r="DI110" s="22">
        <f t="shared" si="69"/>
        <v>4.0504425844257161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-5.6843418860808015E-14</v>
      </c>
      <c r="DP110" s="17">
        <f>DO110*VLOOKUP('Données projet'!$B$14,Paramètres!$A$1:$I$89,3,0)*VLOOKUP('Données projet'!$B$14,Paramètres!$A$1:$I$89,5,0)</f>
        <v>-3.1036506698001178E-14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164.0740581424559</v>
      </c>
      <c r="DU110" s="59">
        <f t="shared" si="98"/>
        <v>280.99861170359793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1.4376390042726517</v>
      </c>
      <c r="EB110" s="21">
        <f>EXP(-LN(2)/25)*EB109+(1-EXP(-LN(2)/25))/(LN(2)/25)*Calculateur!DW110*Calculateur!DY110*VLOOKUP('Données projet'!$B$14,Paramètres!$A$1:$I$89,3,0)*0.475*44/12</f>
        <v>3.0624678919113695</v>
      </c>
      <c r="EC110" s="21">
        <f>EXP(-LN(2)/2)*EC109+(1-EXP(-LN(2)/2))/(LN(2)/2)*DW110*DZ110*VLOOKUP('Données projet'!$B$14,Paramètres!$A$1:$I$89,3,0)*0.475*44/12</f>
        <v>3.904632130352438E-11</v>
      </c>
      <c r="ED110" s="22">
        <f t="shared" si="72"/>
        <v>4.500106896223067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1.1368683772161603E-13</v>
      </c>
      <c r="EK110" s="17">
        <f>EJ110*VLOOKUP('Données projet'!$B$15,Paramètres!$A$1:$I$89,3,0)*VLOOKUP('Données projet'!$B$15,Paramètres!$A$1:$I$89,5,0)</f>
        <v>5.4683368944097308E-14</v>
      </c>
      <c r="EL110" s="13">
        <f t="shared" si="99"/>
        <v>8.8129432816788268E-13</v>
      </c>
      <c r="EM110" s="20">
        <f t="shared" si="73"/>
        <v>1.6301611558033651E-12</v>
      </c>
      <c r="EN110" s="59">
        <f t="shared" si="74"/>
        <v>293.33333333333496</v>
      </c>
      <c r="EO110" s="59">
        <f ca="1">AVERAGE(OFFSET($EN$3,0,0,'Données projet'!$E$15+1,1))-AVERAGE(OFFSET($H$3,0,0,'Données projet'!$E$15+1,1))</f>
        <v>312.1172301514103</v>
      </c>
      <c r="EP110" s="59">
        <f t="shared" si="100"/>
        <v>369.85500533493212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0.58811310509216519</v>
      </c>
      <c r="EW110" s="21">
        <f>EXP(-LN(2)/25)*EW109+(1-EXP(-LN(2)/25))/(LN(2)/25)*Calculateur!ER110*Calculateur!ET110*VLOOKUP('Données projet'!$B$15,Paramètres!$A$1:$I$89,3,0)*0.475*44/12</f>
        <v>1.7785323422428043</v>
      </c>
      <c r="EX110" s="21">
        <f>EXP(-LN(2)/2)*EX109+(1-EXP(-LN(2)/2))/(LN(2)/2)*ER110*EU110*VLOOKUP('Données projet'!$B$15,Paramètres!$A$1:$I$89,3,0)*0.475*44/12</f>
        <v>8.1486068880884706E-11</v>
      </c>
      <c r="EY110" s="22">
        <f t="shared" si="75"/>
        <v>2.3666454474164555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-1.7053025658242404E-13</v>
      </c>
      <c r="FF110" s="17">
        <f>FE110*VLOOKUP('Données projet'!$B$16,Paramètres!$A$1:$I$89,3,0)*VLOOKUP('Données projet'!$B$16,Paramètres!$A$1:$I$89,5,0)</f>
        <v>-7.9808160080574461E-14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87.187251664304199</v>
      </c>
      <c r="FK110" s="59">
        <f t="shared" si="102"/>
        <v>148.84938257884147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0.95358632157123158</v>
      </c>
      <c r="FS110" s="21">
        <f>EXP(-LN(2)/2)*FS109+(1-EXP(-LN(2)/2))/(LN(2)/2)*FM110*FP110*VLOOKUP('Données projet'!$B$16,Paramètres!$A$1:$I$89,3,0)*0.475*44/12</f>
        <v>1.5650529550070193E-11</v>
      </c>
      <c r="FT110" s="22">
        <f t="shared" si="78"/>
        <v>0.95358632158688206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-1.1368683772161603E-13</v>
      </c>
      <c r="GA110" s="17">
        <f>FZ110*VLOOKUP('Données projet'!$B$17,Paramètres!$A$1:$I$89,3,0)*VLOOKUP('Données projet'!$B$17,Paramètres!$A$1:$I$89,5,0)</f>
        <v>-6.7984728957526396E-14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282.94722676586207</v>
      </c>
      <c r="GF110" s="59">
        <f t="shared" si="104"/>
        <v>310.63647941571298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1.2674234297406382</v>
      </c>
      <c r="GN110" s="21">
        <f>EXP(-LN(2)/2)*GN109+(1-EXP(-LN(2)/2))/(LN(2)/2)*GH110*GK110*VLOOKUP('Données projet'!$B$17,Paramètres!$A$1:$I$89,3,0)*0.475*44/12</f>
        <v>6.5952802870358941E-11</v>
      </c>
      <c r="GO110" s="21">
        <f t="shared" si="81"/>
        <v>1.267423429806591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-1.1368683772161603E-13</v>
      </c>
      <c r="GV110" s="17">
        <f>GU110*VLOOKUP('Données projet'!$B$18,Paramètres!$A$1:$I$89,3,0)*VLOOKUP('Données projet'!$B$18,Paramètres!$A$1:$I$89,5,0)</f>
        <v>-6.7984728957526396E-14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255.54398581450459</v>
      </c>
      <c r="HA110" s="59">
        <f t="shared" si="106"/>
        <v>276.52622328061204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</v>
      </c>
      <c r="HH110" s="21">
        <f>EXP(-LN(2)/25)*HH109+(1-EXP(-LN(2)/25))/(LN(2)/25)*Calculateur!HC110*Calculateur!HE110*VLOOKUP('Données projet'!$B$18,Paramètres!$A$1:$I$89,3,0)*0.475*44/12</f>
        <v>0.63240453302774713</v>
      </c>
      <c r="HI110" s="21">
        <f>EXP(-LN(2)/2)*HI109+(1-EXP(-LN(2)/2))/(LN(2)/2)*HC110*HF110*VLOOKUP('Données projet'!$B$18,Paramètres!$A$1:$I$89,3,0)*0.475*44/12</f>
        <v>3.8244673919537446E-11</v>
      </c>
      <c r="HJ110" s="22">
        <f t="shared" si="84"/>
        <v>0.63240453306599176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4.9658410716801891E-14</v>
      </c>
      <c r="P111" s="13">
        <f t="shared" si="87"/>
        <v>8.0934058173791862E-13</v>
      </c>
      <c r="Q111" s="20">
        <f t="shared" si="107"/>
        <v>1.4960899118586383E-12</v>
      </c>
      <c r="R111" s="59">
        <f t="shared" si="55"/>
        <v>293.33333333333479</v>
      </c>
      <c r="S111" s="59">
        <f ca="1">AVERAGE(OFFSET($R$3,0,0,'Données projet'!$E$9+1,1))-AVERAGE(OFFSET($H$3,0,0,'Données projet'!$E$9+1,1))</f>
        <v>248.50221719467663</v>
      </c>
      <c r="T111" s="59">
        <f t="shared" si="88"/>
        <v>366.09064580347183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1.6845207046585888</v>
      </c>
      <c r="AA111" s="21">
        <f>EXP(-LN(2)/25)*AA110+(1-EXP(-LN(2)/25))/(LN(2)/25)*Calculateur!V111*Calculateur!X111*VLOOKUP('Données projet'!$B$9,Paramètres!$A$1:$I$89,3,0)*0.475*44/12</f>
        <v>2.7686027880116511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4.4531234926702403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263.22346936777603</v>
      </c>
      <c r="AO111" s="59">
        <f t="shared" si="90"/>
        <v>217.14714468707939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0.83693998035991368</v>
      </c>
      <c r="AW111" s="21">
        <f>EXP(-LN(2)/2)*AW110+(1-EXP(-LN(2)/2))/(LN(2)/2)*AQ111*AT111*VLOOKUP('Données projet'!$B$10,Paramètres!$A$1:$I$89,3,0)*0.475*44/12</f>
        <v>3.2470344095856879E-11</v>
      </c>
      <c r="AX111" s="21">
        <f t="shared" si="60"/>
        <v>0.83693998039238404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4.4337866711430253E-14</v>
      </c>
      <c r="BF111" s="13">
        <f t="shared" si="91"/>
        <v>7.3222115536967035E-13</v>
      </c>
      <c r="BG111" s="20">
        <f t="shared" si="61"/>
        <v>1.3525069634579169E-12</v>
      </c>
      <c r="BH111" s="59">
        <f t="shared" si="62"/>
        <v>293.33333333333468</v>
      </c>
      <c r="BI111" s="59">
        <f ca="1">AVERAGE(OFFSET($BH$3,0,0,'Données projet'!$E$11+1,1))-AVERAGE(OFFSET($H$3,0,0,'Données projet'!$E$11+1,1))</f>
        <v>219.22204054948094</v>
      </c>
      <c r="BJ111" s="59">
        <f t="shared" si="92"/>
        <v>222.41711966122034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0.36066536783936898</v>
      </c>
      <c r="BR111" s="21">
        <f>EXP(-LN(2)/2)*BR110+(1-EXP(-LN(2)/2))/(LN(2)/2)*BL111*BO111*VLOOKUP('Données projet'!$B$11,Paramètres!$A$1:$I$89,3,0)*0.475*44/12</f>
        <v>5.9482907751454739E-12</v>
      </c>
      <c r="BS111" s="22">
        <f t="shared" si="63"/>
        <v>0.36066536784531728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-3.979039320256561E-13</v>
      </c>
      <c r="BZ111" s="13">
        <f>BY111*VLOOKUP('Données projet'!$B$12,Paramètres!$A$1:$I$89,3,0)*VLOOKUP('Données projet'!$B$12,Paramètres!$A$1:$I$89,5,0)</f>
        <v>-3.41401573678013E-13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237.27357081252273</v>
      </c>
      <c r="CE111" s="59">
        <f t="shared" si="94"/>
        <v>68.768479693848576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-3.4106051316484809E-13</v>
      </c>
      <c r="CU111" s="17">
        <f>CT111*VLOOKUP('Données projet'!$B$13,Paramètres!$A$1:$I$89,3,0)*VLOOKUP('Données projet'!$B$13,Paramètres!$A$1:$I$89,5,0)</f>
        <v>-1.9065282685915009E-13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474.03051418249999</v>
      </c>
      <c r="CZ111" s="59">
        <f t="shared" si="96"/>
        <v>649.52271992719091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1.1661134504125492</v>
      </c>
      <c r="DG111" s="21">
        <f>EXP(-LN(2)/25)*DG110+(1-EXP(-LN(2)/25))/(LN(2)/25)*Calculateur!DB111*Calculateur!DD111*VLOOKUP('Données projet'!$B$13,Paramètres!$A$1:$I$89,3,0)*0.475*44/12</f>
        <v>2.7827706563508743</v>
      </c>
      <c r="DH111" s="21">
        <f>EXP(-LN(2)/2)*DH110+(1-EXP(-LN(2)/2))/(LN(2)/2)*DB111*DE111*VLOOKUP('Données projet'!$B$13,Paramètres!$A$1:$I$89,3,0)*0.475*44/12</f>
        <v>2.1281572211019205E-11</v>
      </c>
      <c r="DI111" s="22">
        <f t="shared" si="69"/>
        <v>3.9488841067847051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-5.6843418860808015E-14</v>
      </c>
      <c r="DP111" s="17">
        <f>DO111*VLOOKUP('Données projet'!$B$14,Paramètres!$A$1:$I$89,3,0)*VLOOKUP('Données projet'!$B$14,Paramètres!$A$1:$I$89,5,0)</f>
        <v>-3.1036506698001178E-14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164.0740581424559</v>
      </c>
      <c r="DU111" s="59">
        <f t="shared" si="98"/>
        <v>280.99861170359793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1.4094477802720735</v>
      </c>
      <c r="EB111" s="21">
        <f>EXP(-LN(2)/25)*EB110+(1-EXP(-LN(2)/25))/(LN(2)/25)*Calculateur!DW111*Calculateur!DY111*VLOOKUP('Données projet'!$B$14,Paramètres!$A$1:$I$89,3,0)*0.475*44/12</f>
        <v>2.9787245463588659</v>
      </c>
      <c r="EC111" s="21">
        <f>EXP(-LN(2)/2)*EC110+(1-EXP(-LN(2)/2))/(LN(2)/2)*DW111*DZ111*VLOOKUP('Données projet'!$B$14,Paramètres!$A$1:$I$89,3,0)*0.475*44/12</f>
        <v>2.7609918574110843E-11</v>
      </c>
      <c r="ED111" s="22">
        <f t="shared" si="72"/>
        <v>4.3881723266585491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1.1368683772161603E-13</v>
      </c>
      <c r="EK111" s="17">
        <f>EJ111*VLOOKUP('Données projet'!$B$15,Paramètres!$A$1:$I$89,3,0)*VLOOKUP('Données projet'!$B$15,Paramètres!$A$1:$I$89,5,0)</f>
        <v>5.4683368944097308E-14</v>
      </c>
      <c r="EL111" s="13">
        <f t="shared" si="99"/>
        <v>8.8129432816788268E-13</v>
      </c>
      <c r="EM111" s="20">
        <f t="shared" si="73"/>
        <v>1.6301611558033651E-12</v>
      </c>
      <c r="EN111" s="59">
        <f t="shared" si="74"/>
        <v>293.33333333333496</v>
      </c>
      <c r="EO111" s="59">
        <f ca="1">AVERAGE(OFFSET($EN$3,0,0,'Données projet'!$E$15+1,1))-AVERAGE(OFFSET($H$3,0,0,'Données projet'!$E$15+1,1))</f>
        <v>312.1172301514103</v>
      </c>
      <c r="EP111" s="59">
        <f t="shared" si="100"/>
        <v>369.85500533493212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0.57658056581488193</v>
      </c>
      <c r="EW111" s="21">
        <f>EXP(-LN(2)/25)*EW110+(1-EXP(-LN(2)/25))/(LN(2)/25)*Calculateur!ER111*Calculateur!ET111*VLOOKUP('Données projet'!$B$15,Paramètres!$A$1:$I$89,3,0)*0.475*44/12</f>
        <v>1.7298982818152238</v>
      </c>
      <c r="EX111" s="21">
        <f>EXP(-LN(2)/2)*EX110+(1-EXP(-LN(2)/2))/(LN(2)/2)*ER111*EU111*VLOOKUP('Données projet'!$B$15,Paramètres!$A$1:$I$89,3,0)*0.475*44/12</f>
        <v>5.7619351877907687E-11</v>
      </c>
      <c r="EY111" s="22">
        <f t="shared" si="75"/>
        <v>2.3064788476877252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-1.7053025658242404E-13</v>
      </c>
      <c r="FF111" s="17">
        <f>FE111*VLOOKUP('Données projet'!$B$16,Paramètres!$A$1:$I$89,3,0)*VLOOKUP('Données projet'!$B$16,Paramètres!$A$1:$I$89,5,0)</f>
        <v>-7.9808160080574461E-14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87.187251664304199</v>
      </c>
      <c r="FK111" s="59">
        <f t="shared" si="102"/>
        <v>148.84938257884147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0.92751045346094108</v>
      </c>
      <c r="FS111" s="21">
        <f>EXP(-LN(2)/2)*FS110+(1-EXP(-LN(2)/2))/(LN(2)/2)*FM111*FP111*VLOOKUP('Données projet'!$B$16,Paramètres!$A$1:$I$89,3,0)*0.475*44/12</f>
        <v>1.106659557401508E-11</v>
      </c>
      <c r="FT111" s="22">
        <f t="shared" si="78"/>
        <v>0.92751045347200767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-1.1368683772161603E-13</v>
      </c>
      <c r="GA111" s="17">
        <f>FZ111*VLOOKUP('Données projet'!$B$17,Paramètres!$A$1:$I$89,3,0)*VLOOKUP('Données projet'!$B$17,Paramètres!$A$1:$I$89,5,0)</f>
        <v>-6.7984728957526396E-14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282.94722676586207</v>
      </c>
      <c r="GF111" s="59">
        <f t="shared" si="104"/>
        <v>310.63647941571298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1.232765669403479</v>
      </c>
      <c r="GN111" s="21">
        <f>EXP(-LN(2)/2)*GN110+(1-EXP(-LN(2)/2))/(LN(2)/2)*GH111*GK111*VLOOKUP('Données projet'!$B$17,Paramètres!$A$1:$I$89,3,0)*0.475*44/12</f>
        <v>4.6635674147890404E-11</v>
      </c>
      <c r="GO111" s="21">
        <f t="shared" si="81"/>
        <v>1.2327656694501146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-1.1368683772161603E-13</v>
      </c>
      <c r="GV111" s="17">
        <f>GU111*VLOOKUP('Données projet'!$B$18,Paramètres!$A$1:$I$89,3,0)*VLOOKUP('Données projet'!$B$18,Paramètres!$A$1:$I$89,5,0)</f>
        <v>-6.7984728957526396E-14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255.54398581450459</v>
      </c>
      <c r="HA111" s="59">
        <f t="shared" si="106"/>
        <v>276.52622328061204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</v>
      </c>
      <c r="HH111" s="21">
        <f>EXP(-LN(2)/25)*HH110+(1-EXP(-LN(2)/25))/(LN(2)/25)*Calculateur!HC111*Calculateur!HE111*VLOOKUP('Données projet'!$B$18,Paramètres!$A$1:$I$89,3,0)*0.475*44/12</f>
        <v>0.61511139781539437</v>
      </c>
      <c r="HI111" s="21">
        <f>EXP(-LN(2)/2)*HI110+(1-EXP(-LN(2)/2))/(LN(2)/2)*HC111*HF111*VLOOKUP('Données projet'!$B$18,Paramètres!$A$1:$I$89,3,0)*0.475*44/12</f>
        <v>2.7043068272773226E-11</v>
      </c>
      <c r="HJ111" s="22">
        <f t="shared" si="84"/>
        <v>0.6151113978424374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4.9658410716801891E-14</v>
      </c>
      <c r="P112" s="13">
        <f t="shared" si="87"/>
        <v>8.0934058173791862E-13</v>
      </c>
      <c r="Q112" s="20">
        <f t="shared" si="107"/>
        <v>1.4960899118586383E-12</v>
      </c>
      <c r="R112" s="59">
        <f t="shared" si="55"/>
        <v>293.33333333333479</v>
      </c>
      <c r="S112" s="59">
        <f ca="1">AVERAGE(OFFSET($R$3,0,0,'Données projet'!$E$9+1,1))-AVERAGE(OFFSET($H$3,0,0,'Données projet'!$E$9+1,1))</f>
        <v>248.50221719467663</v>
      </c>
      <c r="T112" s="59">
        <f t="shared" si="88"/>
        <v>366.09064580347183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1.6514882810964109</v>
      </c>
      <c r="AA112" s="21">
        <f>EXP(-LN(2)/25)*AA111+(1-EXP(-LN(2)/25))/(LN(2)/25)*Calculateur!V112*Calculateur!X112*VLOOKUP('Données projet'!$B$9,Paramètres!$A$1:$I$89,3,0)*0.475*44/12</f>
        <v>2.6928951991789796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4.3443834802753907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263.22346936777603</v>
      </c>
      <c r="AO112" s="59">
        <f t="shared" si="90"/>
        <v>217.14714468707939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0.81405381258421117</v>
      </c>
      <c r="AW112" s="21">
        <f>EXP(-LN(2)/2)*AW111+(1-EXP(-LN(2)/2))/(LN(2)/2)*AQ112*AT112*VLOOKUP('Données projet'!$B$10,Paramètres!$A$1:$I$89,3,0)*0.475*44/12</f>
        <v>2.2960000497640976E-11</v>
      </c>
      <c r="AX112" s="21">
        <f t="shared" si="60"/>
        <v>0.81405381260717113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4.4337866711430253E-14</v>
      </c>
      <c r="BF112" s="13">
        <f t="shared" si="91"/>
        <v>7.3222115536967035E-13</v>
      </c>
      <c r="BG112" s="20">
        <f t="shared" si="61"/>
        <v>1.3525069634579169E-12</v>
      </c>
      <c r="BH112" s="59">
        <f t="shared" si="62"/>
        <v>293.33333333333468</v>
      </c>
      <c r="BI112" s="59">
        <f ca="1">AVERAGE(OFFSET($BH$3,0,0,'Données projet'!$E$11+1,1))-AVERAGE(OFFSET($H$3,0,0,'Données projet'!$E$11+1,1))</f>
        <v>219.22204054948094</v>
      </c>
      <c r="BJ112" s="59">
        <f t="shared" si="92"/>
        <v>222.41711966122034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0.35080295438923403</v>
      </c>
      <c r="BR112" s="21">
        <f>EXP(-LN(2)/2)*BR111+(1-EXP(-LN(2)/2))/(LN(2)/2)*BL112*BO112*VLOOKUP('Données projet'!$B$11,Paramètres!$A$1:$I$89,3,0)*0.475*44/12</f>
        <v>4.2060767435747497E-12</v>
      </c>
      <c r="BS112" s="22">
        <f t="shared" si="63"/>
        <v>0.35080295439344011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-3.979039320256561E-13</v>
      </c>
      <c r="BZ112" s="13">
        <f>BY112*VLOOKUP('Données projet'!$B$12,Paramètres!$A$1:$I$89,3,0)*VLOOKUP('Données projet'!$B$12,Paramètres!$A$1:$I$89,5,0)</f>
        <v>-3.41401573678013E-13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237.27357081252273</v>
      </c>
      <c r="CE112" s="59">
        <f t="shared" si="94"/>
        <v>68.768479693848576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-3.4106051316484809E-13</v>
      </c>
      <c r="CU112" s="17">
        <f>CT112*VLOOKUP('Données projet'!$B$13,Paramètres!$A$1:$I$89,3,0)*VLOOKUP('Données projet'!$B$13,Paramètres!$A$1:$I$89,5,0)</f>
        <v>-1.9065282685915009E-13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474.03051418249999</v>
      </c>
      <c r="CZ112" s="59">
        <f t="shared" si="96"/>
        <v>649.52271992719091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1.1432466769089329</v>
      </c>
      <c r="DG112" s="21">
        <f>EXP(-LN(2)/25)*DG111+(1-EXP(-LN(2)/25))/(LN(2)/25)*Calculateur!DB112*Calculateur!DD112*VLOOKUP('Données projet'!$B$13,Paramètres!$A$1:$I$89,3,0)*0.475*44/12</f>
        <v>2.706675646413411</v>
      </c>
      <c r="DH112" s="21">
        <f>EXP(-LN(2)/2)*DH111+(1-EXP(-LN(2)/2))/(LN(2)/2)*DB112*DE112*VLOOKUP('Données projet'!$B$13,Paramètres!$A$1:$I$89,3,0)*0.475*44/12</f>
        <v>1.5048344024722867E-11</v>
      </c>
      <c r="DI112" s="22">
        <f t="shared" si="69"/>
        <v>3.8499223233373923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-5.6843418860808015E-14</v>
      </c>
      <c r="DP112" s="17">
        <f>DO112*VLOOKUP('Données projet'!$B$14,Paramètres!$A$1:$I$89,3,0)*VLOOKUP('Données projet'!$B$14,Paramètres!$A$1:$I$89,5,0)</f>
        <v>-3.1036506698001178E-14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164.0740581424559</v>
      </c>
      <c r="DU112" s="59">
        <f t="shared" si="98"/>
        <v>280.99861170359793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1.3818093689791979</v>
      </c>
      <c r="EB112" s="21">
        <f>EXP(-LN(2)/25)*EB111+(1-EXP(-LN(2)/25))/(LN(2)/25)*Calculateur!DW112*Calculateur!DY112*VLOOKUP('Données projet'!$B$14,Paramètres!$A$1:$I$89,3,0)*0.475*44/12</f>
        <v>2.8972711669943667</v>
      </c>
      <c r="EC112" s="21">
        <f>EXP(-LN(2)/2)*EC111+(1-EXP(-LN(2)/2))/(LN(2)/2)*DW112*DZ112*VLOOKUP('Données projet'!$B$14,Paramètres!$A$1:$I$89,3,0)*0.475*44/12</f>
        <v>1.952316065176219E-11</v>
      </c>
      <c r="ED112" s="22">
        <f t="shared" si="72"/>
        <v>4.2790805359930877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1.1368683772161603E-13</v>
      </c>
      <c r="EK112" s="17">
        <f>EJ112*VLOOKUP('Données projet'!$B$15,Paramètres!$A$1:$I$89,3,0)*VLOOKUP('Données projet'!$B$15,Paramètres!$A$1:$I$89,5,0)</f>
        <v>5.4683368944097308E-14</v>
      </c>
      <c r="EL112" s="13">
        <f t="shared" si="99"/>
        <v>8.8129432816788268E-13</v>
      </c>
      <c r="EM112" s="20">
        <f t="shared" si="73"/>
        <v>1.6301611558033651E-12</v>
      </c>
      <c r="EN112" s="59">
        <f t="shared" si="74"/>
        <v>293.33333333333496</v>
      </c>
      <c r="EO112" s="59">
        <f ca="1">AVERAGE(OFFSET($EN$3,0,0,'Données projet'!$E$15+1,1))-AVERAGE(OFFSET($H$3,0,0,'Données projet'!$E$15+1,1))</f>
        <v>312.1172301514103</v>
      </c>
      <c r="EP112" s="59">
        <f t="shared" si="100"/>
        <v>369.85500533493212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0.56527417259867174</v>
      </c>
      <c r="EW112" s="21">
        <f>EXP(-LN(2)/25)*EW111+(1-EXP(-LN(2)/25))/(LN(2)/25)*Calculateur!ER112*Calculateur!ET112*VLOOKUP('Données projet'!$B$15,Paramètres!$A$1:$I$89,3,0)*0.475*44/12</f>
        <v>1.6825941223275895</v>
      </c>
      <c r="EX112" s="21">
        <f>EXP(-LN(2)/2)*EX111+(1-EXP(-LN(2)/2))/(LN(2)/2)*ER112*EU112*VLOOKUP('Données projet'!$B$15,Paramètres!$A$1:$I$89,3,0)*0.475*44/12</f>
        <v>4.0743034440442359E-11</v>
      </c>
      <c r="EY112" s="22">
        <f t="shared" si="75"/>
        <v>2.2478682949670041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-1.7053025658242404E-13</v>
      </c>
      <c r="FF112" s="17">
        <f>FE112*VLOOKUP('Données projet'!$B$16,Paramètres!$A$1:$I$89,3,0)*VLOOKUP('Données projet'!$B$16,Paramètres!$A$1:$I$89,5,0)</f>
        <v>-7.9808160080574461E-14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87.187251664304199</v>
      </c>
      <c r="FK112" s="59">
        <f t="shared" si="102"/>
        <v>148.84938257884147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0.90214763133539677</v>
      </c>
      <c r="FS112" s="21">
        <f>EXP(-LN(2)/2)*FS111+(1-EXP(-LN(2)/2))/(LN(2)/2)*FM112*FP112*VLOOKUP('Données projet'!$B$16,Paramètres!$A$1:$I$89,3,0)*0.475*44/12</f>
        <v>7.8252647750350967E-12</v>
      </c>
      <c r="FT112" s="22">
        <f t="shared" si="78"/>
        <v>0.90214763134322207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-1.1368683772161603E-13</v>
      </c>
      <c r="GA112" s="17">
        <f>FZ112*VLOOKUP('Données projet'!$B$17,Paramètres!$A$1:$I$89,3,0)*VLOOKUP('Données projet'!$B$17,Paramètres!$A$1:$I$89,5,0)</f>
        <v>-6.7984728957526396E-14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282.94722676586207</v>
      </c>
      <c r="GF112" s="59">
        <f t="shared" si="104"/>
        <v>310.63647941571298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1.1990556273453119</v>
      </c>
      <c r="GN112" s="21">
        <f>EXP(-LN(2)/2)*GN111+(1-EXP(-LN(2)/2))/(LN(2)/2)*GH112*GK112*VLOOKUP('Données projet'!$B$17,Paramètres!$A$1:$I$89,3,0)*0.475*44/12</f>
        <v>3.297640143517947E-11</v>
      </c>
      <c r="GO112" s="21">
        <f t="shared" si="81"/>
        <v>1.1990556273782884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-1.1368683772161603E-13</v>
      </c>
      <c r="GV112" s="17">
        <f>GU112*VLOOKUP('Données projet'!$B$18,Paramètres!$A$1:$I$89,3,0)*VLOOKUP('Données projet'!$B$18,Paramètres!$A$1:$I$89,5,0)</f>
        <v>-6.7984728957526396E-14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255.54398581450459</v>
      </c>
      <c r="HA112" s="59">
        <f t="shared" si="106"/>
        <v>276.52622328061204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</v>
      </c>
      <c r="HH112" s="21">
        <f>EXP(-LN(2)/25)*HH111+(1-EXP(-LN(2)/25))/(LN(2)/25)*Calculateur!HC112*Calculateur!HE112*VLOOKUP('Données projet'!$B$18,Paramètres!$A$1:$I$89,3,0)*0.475*44/12</f>
        <v>0.59829114429482988</v>
      </c>
      <c r="HI112" s="21">
        <f>EXP(-LN(2)/2)*HI111+(1-EXP(-LN(2)/2))/(LN(2)/2)*HC112*HF112*VLOOKUP('Données projet'!$B$18,Paramètres!$A$1:$I$89,3,0)*0.475*44/12</f>
        <v>1.9122336959768723E-11</v>
      </c>
      <c r="HJ112" s="22">
        <f t="shared" si="84"/>
        <v>0.59829114431395225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4.9658410716801891E-14</v>
      </c>
      <c r="P113" s="13">
        <f t="shared" si="87"/>
        <v>8.0934058173791862E-13</v>
      </c>
      <c r="Q113" s="20">
        <f t="shared" si="107"/>
        <v>1.4960899118586383E-12</v>
      </c>
      <c r="R113" s="59">
        <f t="shared" si="55"/>
        <v>293.33333333333479</v>
      </c>
      <c r="S113" s="59">
        <f ca="1">AVERAGE(OFFSET($R$3,0,0,'Données projet'!$E$9+1,1))-AVERAGE(OFFSET($H$3,0,0,'Données projet'!$E$9+1,1))</f>
        <v>248.50221719467663</v>
      </c>
      <c r="T113" s="59">
        <f t="shared" si="88"/>
        <v>366.09064580347183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1.6191036032124984</v>
      </c>
      <c r="AA113" s="21">
        <f>EXP(-LN(2)/25)*AA112+(1-EXP(-LN(2)/25))/(LN(2)/25)*Calculateur!V113*Calculateur!X113*VLOOKUP('Données projet'!$B$9,Paramètres!$A$1:$I$89,3,0)*0.475*44/12</f>
        <v>2.6192578383442267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4.2383614415567248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263.22346936777603</v>
      </c>
      <c r="AO113" s="59">
        <f t="shared" si="90"/>
        <v>217.14714468707939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0.79179346826986641</v>
      </c>
      <c r="AW113" s="21">
        <f>EXP(-LN(2)/2)*AW112+(1-EXP(-LN(2)/2))/(LN(2)/2)*AQ113*AT113*VLOOKUP('Données projet'!$B$10,Paramètres!$A$1:$I$89,3,0)*0.475*44/12</f>
        <v>1.6235172047928439E-11</v>
      </c>
      <c r="AX113" s="21">
        <f t="shared" si="60"/>
        <v>0.79179346828610153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4.4337866711430253E-14</v>
      </c>
      <c r="BF113" s="13">
        <f t="shared" si="91"/>
        <v>7.3222115536967035E-13</v>
      </c>
      <c r="BG113" s="20">
        <f t="shared" si="61"/>
        <v>1.3525069634579169E-12</v>
      </c>
      <c r="BH113" s="59">
        <f t="shared" si="62"/>
        <v>293.33333333333468</v>
      </c>
      <c r="BI113" s="59">
        <f ca="1">AVERAGE(OFFSET($BH$3,0,0,'Données projet'!$E$11+1,1))-AVERAGE(OFFSET($H$3,0,0,'Données projet'!$E$11+1,1))</f>
        <v>219.22204054948094</v>
      </c>
      <c r="BJ113" s="59">
        <f t="shared" si="92"/>
        <v>222.41711966122034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0.34121022915353483</v>
      </c>
      <c r="BR113" s="21">
        <f>EXP(-LN(2)/2)*BR112+(1-EXP(-LN(2)/2))/(LN(2)/2)*BL113*BO113*VLOOKUP('Données projet'!$B$11,Paramètres!$A$1:$I$89,3,0)*0.475*44/12</f>
        <v>2.9741453875727369E-12</v>
      </c>
      <c r="BS113" s="22">
        <f t="shared" si="63"/>
        <v>0.34121022915650895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-3.979039320256561E-13</v>
      </c>
      <c r="BZ113" s="13">
        <f>BY113*VLOOKUP('Données projet'!$B$12,Paramètres!$A$1:$I$89,3,0)*VLOOKUP('Données projet'!$B$12,Paramètres!$A$1:$I$89,5,0)</f>
        <v>-3.41401573678013E-13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237.27357081252273</v>
      </c>
      <c r="CE113" s="59">
        <f t="shared" si="94"/>
        <v>68.768479693848576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-3.4106051316484809E-13</v>
      </c>
      <c r="CU113" s="17">
        <f>CT113*VLOOKUP('Données projet'!$B$13,Paramètres!$A$1:$I$89,3,0)*VLOOKUP('Données projet'!$B$13,Paramètres!$A$1:$I$89,5,0)</f>
        <v>-1.9065282685915009E-13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474.03051418249999</v>
      </c>
      <c r="CZ113" s="59">
        <f t="shared" si="96"/>
        <v>649.52271992719091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1.1208283068863678</v>
      </c>
      <c r="DG113" s="21">
        <f>EXP(-LN(2)/25)*DG112+(1-EXP(-LN(2)/25))/(LN(2)/25)*Calculateur!DB113*Calculateur!DD113*VLOOKUP('Données projet'!$B$13,Paramètres!$A$1:$I$89,3,0)*0.475*44/12</f>
        <v>2.6326614585243502</v>
      </c>
      <c r="DH113" s="21">
        <f>EXP(-LN(2)/2)*DH112+(1-EXP(-LN(2)/2))/(LN(2)/2)*DB113*DE113*VLOOKUP('Données projet'!$B$13,Paramètres!$A$1:$I$89,3,0)*0.475*44/12</f>
        <v>1.0640786105509603E-11</v>
      </c>
      <c r="DI113" s="22">
        <f t="shared" si="69"/>
        <v>3.7534897654213588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-5.6843418860808015E-14</v>
      </c>
      <c r="DP113" s="17">
        <f>DO113*VLOOKUP('Données projet'!$B$14,Paramètres!$A$1:$I$89,3,0)*VLOOKUP('Données projet'!$B$14,Paramètres!$A$1:$I$89,5,0)</f>
        <v>-3.1036506698001178E-14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164.0740581424559</v>
      </c>
      <c r="DU113" s="59">
        <f t="shared" si="98"/>
        <v>280.99861170359793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1.3547129300740093</v>
      </c>
      <c r="EB113" s="21">
        <f>EXP(-LN(2)/25)*EB112+(1-EXP(-LN(2)/25))/(LN(2)/25)*Calculateur!DW113*Calculateur!DY113*VLOOKUP('Données projet'!$B$14,Paramètres!$A$1:$I$89,3,0)*0.475*44/12</f>
        <v>2.8180451345720368</v>
      </c>
      <c r="EC113" s="21">
        <f>EXP(-LN(2)/2)*EC112+(1-EXP(-LN(2)/2))/(LN(2)/2)*DW113*DZ113*VLOOKUP('Données projet'!$B$14,Paramètres!$A$1:$I$89,3,0)*0.475*44/12</f>
        <v>1.3804959287055422E-11</v>
      </c>
      <c r="ED113" s="22">
        <f t="shared" si="72"/>
        <v>4.1727580646598508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1.1368683772161603E-13</v>
      </c>
      <c r="EK113" s="17">
        <f>EJ113*VLOOKUP('Données projet'!$B$15,Paramètres!$A$1:$I$89,3,0)*VLOOKUP('Données projet'!$B$15,Paramètres!$A$1:$I$89,5,0)</f>
        <v>5.4683368944097308E-14</v>
      </c>
      <c r="EL113" s="13">
        <f t="shared" si="99"/>
        <v>8.8129432816788268E-13</v>
      </c>
      <c r="EM113" s="20">
        <f t="shared" si="73"/>
        <v>1.6301611558033651E-12</v>
      </c>
      <c r="EN113" s="59">
        <f t="shared" si="74"/>
        <v>293.33333333333496</v>
      </c>
      <c r="EO113" s="59">
        <f ca="1">AVERAGE(OFFSET($EN$3,0,0,'Données projet'!$E$15+1,1))-AVERAGE(OFFSET($H$3,0,0,'Données projet'!$E$15+1,1))</f>
        <v>312.1172301514103</v>
      </c>
      <c r="EP113" s="59">
        <f t="shared" si="100"/>
        <v>369.85500533493212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0.55418949085721259</v>
      </c>
      <c r="EW113" s="21">
        <f>EXP(-LN(2)/25)*EW112+(1-EXP(-LN(2)/25))/(LN(2)/25)*Calculateur!ER113*Calculateur!ET113*VLOOKUP('Données projet'!$B$15,Paramètres!$A$1:$I$89,3,0)*0.475*44/12</f>
        <v>1.6365834975687623</v>
      </c>
      <c r="EX113" s="21">
        <f>EXP(-LN(2)/2)*EX112+(1-EXP(-LN(2)/2))/(LN(2)/2)*ER113*EU113*VLOOKUP('Données projet'!$B$15,Paramètres!$A$1:$I$89,3,0)*0.475*44/12</f>
        <v>2.8809675938953847E-11</v>
      </c>
      <c r="EY113" s="22">
        <f t="shared" si="75"/>
        <v>2.1907729884547846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-1.7053025658242404E-13</v>
      </c>
      <c r="FF113" s="17">
        <f>FE113*VLOOKUP('Données projet'!$B$16,Paramètres!$A$1:$I$89,3,0)*VLOOKUP('Données projet'!$B$16,Paramètres!$A$1:$I$89,5,0)</f>
        <v>-7.9808160080574461E-14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87.187251664304199</v>
      </c>
      <c r="FK113" s="59">
        <f t="shared" si="102"/>
        <v>148.84938257884147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0.87747835691464826</v>
      </c>
      <c r="FS113" s="21">
        <f>EXP(-LN(2)/2)*FS112+(1-EXP(-LN(2)/2))/(LN(2)/2)*FM113*FP113*VLOOKUP('Données projet'!$B$16,Paramètres!$A$1:$I$89,3,0)*0.475*44/12</f>
        <v>5.5332977870075402E-12</v>
      </c>
      <c r="FT113" s="22">
        <f t="shared" si="78"/>
        <v>0.87747835692018161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-1.1368683772161603E-13</v>
      </c>
      <c r="GA113" s="17">
        <f>FZ113*VLOOKUP('Données projet'!$B$17,Paramètres!$A$1:$I$89,3,0)*VLOOKUP('Données projet'!$B$17,Paramètres!$A$1:$I$89,5,0)</f>
        <v>-6.7984728957526396E-14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282.94722676586207</v>
      </c>
      <c r="GF113" s="59">
        <f t="shared" si="104"/>
        <v>310.63647941571298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1.1662673881599595</v>
      </c>
      <c r="GN113" s="21">
        <f>EXP(-LN(2)/2)*GN112+(1-EXP(-LN(2)/2))/(LN(2)/2)*GH113*GK113*VLOOKUP('Données projet'!$B$17,Paramètres!$A$1:$I$89,3,0)*0.475*44/12</f>
        <v>2.3317837073945202E-11</v>
      </c>
      <c r="GO113" s="21">
        <f t="shared" si="81"/>
        <v>1.1662673881832772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-1.1368683772161603E-13</v>
      </c>
      <c r="GV113" s="17">
        <f>GU113*VLOOKUP('Données projet'!$B$18,Paramètres!$A$1:$I$89,3,0)*VLOOKUP('Données projet'!$B$18,Paramètres!$A$1:$I$89,5,0)</f>
        <v>-6.7984728957526396E-14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255.54398581450459</v>
      </c>
      <c r="HA113" s="59">
        <f t="shared" si="106"/>
        <v>276.52622328061204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</v>
      </c>
      <c r="HH113" s="21">
        <f>EXP(-LN(2)/25)*HH112+(1-EXP(-LN(2)/25))/(LN(2)/25)*Calculateur!HC113*Calculateur!HE113*VLOOKUP('Données projet'!$B$18,Paramètres!$A$1:$I$89,3,0)*0.475*44/12</f>
        <v>0.5819308414913239</v>
      </c>
      <c r="HI113" s="21">
        <f>EXP(-LN(2)/2)*HI112+(1-EXP(-LN(2)/2))/(LN(2)/2)*HC113*HF113*VLOOKUP('Données projet'!$B$18,Paramètres!$A$1:$I$89,3,0)*0.475*44/12</f>
        <v>1.3521534136386613E-11</v>
      </c>
      <c r="HJ113" s="22">
        <f t="shared" si="84"/>
        <v>0.58193084150484542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4.9658410716801891E-14</v>
      </c>
      <c r="P114" s="13">
        <f t="shared" si="87"/>
        <v>8.0934058173791862E-13</v>
      </c>
      <c r="Q114" s="20">
        <f t="shared" si="107"/>
        <v>1.4960899118586383E-12</v>
      </c>
      <c r="R114" s="59">
        <f t="shared" si="55"/>
        <v>293.33333333333479</v>
      </c>
      <c r="S114" s="59">
        <f ca="1">AVERAGE(OFFSET($R$3,0,0,'Données projet'!$E$9+1,1))-AVERAGE(OFFSET($H$3,0,0,'Données projet'!$E$9+1,1))</f>
        <v>248.50221719467663</v>
      </c>
      <c r="T114" s="59">
        <f t="shared" si="88"/>
        <v>366.09064580347183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1.5873539691091862</v>
      </c>
      <c r="AA114" s="21">
        <f>EXP(-LN(2)/25)*AA113+(1-EXP(-LN(2)/25))/(LN(2)/25)*Calculateur!V114*Calculateur!X114*VLOOKUP('Données projet'!$B$9,Paramètres!$A$1:$I$89,3,0)*0.475*44/12</f>
        <v>2.5476340950139202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4.1349880641231067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263.22346936777603</v>
      </c>
      <c r="AO114" s="59">
        <f t="shared" si="90"/>
        <v>217.14714468707939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0.77014183424141813</v>
      </c>
      <c r="AW114" s="21">
        <f>EXP(-LN(2)/2)*AW113+(1-EXP(-LN(2)/2))/(LN(2)/2)*AQ114*AT114*VLOOKUP('Données projet'!$B$10,Paramètres!$A$1:$I$89,3,0)*0.475*44/12</f>
        <v>1.1480000248820488E-11</v>
      </c>
      <c r="AX114" s="21">
        <f t="shared" si="60"/>
        <v>0.77014183425289817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4.4337866711430253E-14</v>
      </c>
      <c r="BF114" s="13">
        <f t="shared" si="91"/>
        <v>7.3222115536967035E-13</v>
      </c>
      <c r="BG114" s="20">
        <f t="shared" si="61"/>
        <v>1.3525069634579169E-12</v>
      </c>
      <c r="BH114" s="59">
        <f t="shared" si="62"/>
        <v>293.33333333333468</v>
      </c>
      <c r="BI114" s="59">
        <f ca="1">AVERAGE(OFFSET($BH$3,0,0,'Données projet'!$E$11+1,1))-AVERAGE(OFFSET($H$3,0,0,'Données projet'!$E$11+1,1))</f>
        <v>219.22204054948094</v>
      </c>
      <c r="BJ114" s="59">
        <f t="shared" si="92"/>
        <v>222.41711966122034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0.3318798174938653</v>
      </c>
      <c r="BR114" s="21">
        <f>EXP(-LN(2)/2)*BR113+(1-EXP(-LN(2)/2))/(LN(2)/2)*BL114*BO114*VLOOKUP('Données projet'!$B$11,Paramètres!$A$1:$I$89,3,0)*0.475*44/12</f>
        <v>2.1030383717873749E-12</v>
      </c>
      <c r="BS114" s="22">
        <f t="shared" si="63"/>
        <v>0.33187981749596834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-3.979039320256561E-13</v>
      </c>
      <c r="BZ114" s="13">
        <f>BY114*VLOOKUP('Données projet'!$B$12,Paramètres!$A$1:$I$89,3,0)*VLOOKUP('Données projet'!$B$12,Paramètres!$A$1:$I$89,5,0)</f>
        <v>-3.41401573678013E-13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237.27357081252273</v>
      </c>
      <c r="CE114" s="59">
        <f t="shared" si="94"/>
        <v>68.768479693848576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-3.4106051316484809E-13</v>
      </c>
      <c r="CU114" s="17">
        <f>CT114*VLOOKUP('Données projet'!$B$13,Paramètres!$A$1:$I$89,3,0)*VLOOKUP('Données projet'!$B$13,Paramètres!$A$1:$I$89,5,0)</f>
        <v>-1.9065282685915009E-13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474.03051418249999</v>
      </c>
      <c r="CZ114" s="59">
        <f t="shared" si="96"/>
        <v>649.52271992719091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1.0988495474260898</v>
      </c>
      <c r="DG114" s="21">
        <f>EXP(-LN(2)/25)*DG113+(1-EXP(-LN(2)/25))/(LN(2)/25)*Calculateur!DB114*Calculateur!DD114*VLOOKUP('Données projet'!$B$13,Paramètres!$A$1:$I$89,3,0)*0.475*44/12</f>
        <v>2.5606711924953527</v>
      </c>
      <c r="DH114" s="21">
        <f>EXP(-LN(2)/2)*DH113+(1-EXP(-LN(2)/2))/(LN(2)/2)*DB114*DE114*VLOOKUP('Données projet'!$B$13,Paramètres!$A$1:$I$89,3,0)*0.475*44/12</f>
        <v>7.5241720123614337E-12</v>
      </c>
      <c r="DI114" s="22">
        <f t="shared" si="69"/>
        <v>3.6595207399289666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-5.6843418860808015E-14</v>
      </c>
      <c r="DP114" s="17">
        <f>DO114*VLOOKUP('Données projet'!$B$14,Paramètres!$A$1:$I$89,3,0)*VLOOKUP('Données projet'!$B$14,Paramètres!$A$1:$I$89,5,0)</f>
        <v>-3.1036506698001178E-14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164.0740581424559</v>
      </c>
      <c r="DU114" s="59">
        <f t="shared" si="98"/>
        <v>280.99861170359793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1.3281478358085557</v>
      </c>
      <c r="EB114" s="21">
        <f>EXP(-LN(2)/25)*EB113+(1-EXP(-LN(2)/25))/(LN(2)/25)*Calculateur!DW114*Calculateur!DY114*VLOOKUP('Données projet'!$B$14,Paramètres!$A$1:$I$89,3,0)*0.475*44/12</f>
        <v>2.7409855421726115</v>
      </c>
      <c r="EC114" s="21">
        <f>EXP(-LN(2)/2)*EC113+(1-EXP(-LN(2)/2))/(LN(2)/2)*DW114*DZ114*VLOOKUP('Données projet'!$B$14,Paramètres!$A$1:$I$89,3,0)*0.475*44/12</f>
        <v>9.7615803258810951E-12</v>
      </c>
      <c r="ED114" s="22">
        <f t="shared" si="72"/>
        <v>4.0691333779909291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1.1368683772161603E-13</v>
      </c>
      <c r="EK114" s="17">
        <f>EJ114*VLOOKUP('Données projet'!$B$15,Paramètres!$A$1:$I$89,3,0)*VLOOKUP('Données projet'!$B$15,Paramètres!$A$1:$I$89,5,0)</f>
        <v>5.4683368944097308E-14</v>
      </c>
      <c r="EL114" s="13">
        <f t="shared" si="99"/>
        <v>8.8129432816788268E-13</v>
      </c>
      <c r="EM114" s="20">
        <f t="shared" si="73"/>
        <v>1.6301611558033651E-12</v>
      </c>
      <c r="EN114" s="59">
        <f t="shared" si="74"/>
        <v>293.33333333333496</v>
      </c>
      <c r="EO114" s="59">
        <f ca="1">AVERAGE(OFFSET($EN$3,0,0,'Données projet'!$E$15+1,1))-AVERAGE(OFFSET($H$3,0,0,'Données projet'!$E$15+1,1))</f>
        <v>312.1172301514103</v>
      </c>
      <c r="EP114" s="59">
        <f t="shared" si="100"/>
        <v>369.85500533493212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0.5433221729637151</v>
      </c>
      <c r="EW114" s="21">
        <f>EXP(-LN(2)/25)*EW113+(1-EXP(-LN(2)/25))/(LN(2)/25)*Calculateur!ER114*Calculateur!ET114*VLOOKUP('Données projet'!$B$15,Paramètres!$A$1:$I$89,3,0)*0.475*44/12</f>
        <v>1.5918310357635588</v>
      </c>
      <c r="EX114" s="21">
        <f>EXP(-LN(2)/2)*EX113+(1-EXP(-LN(2)/2))/(LN(2)/2)*ER114*EU114*VLOOKUP('Données projet'!$B$15,Paramètres!$A$1:$I$89,3,0)*0.475*44/12</f>
        <v>2.0371517220221183E-11</v>
      </c>
      <c r="EY114" s="22">
        <f t="shared" si="75"/>
        <v>2.1351532087476457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-1.7053025658242404E-13</v>
      </c>
      <c r="FF114" s="17">
        <f>FE114*VLOOKUP('Données projet'!$B$16,Paramètres!$A$1:$I$89,3,0)*VLOOKUP('Données projet'!$B$16,Paramètres!$A$1:$I$89,5,0)</f>
        <v>-7.9808160080574461E-14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87.187251664304199</v>
      </c>
      <c r="FK114" s="59">
        <f t="shared" si="102"/>
        <v>148.84938257884147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0.85348366510023588</v>
      </c>
      <c r="FS114" s="21">
        <f>EXP(-LN(2)/2)*FS113+(1-EXP(-LN(2)/2))/(LN(2)/2)*FM114*FP114*VLOOKUP('Données projet'!$B$16,Paramètres!$A$1:$I$89,3,0)*0.475*44/12</f>
        <v>3.9126323875175483E-12</v>
      </c>
      <c r="FT114" s="22">
        <f t="shared" si="78"/>
        <v>0.85348366510414853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-1.1368683772161603E-13</v>
      </c>
      <c r="GA114" s="17">
        <f>FZ114*VLOOKUP('Données projet'!$B$17,Paramètres!$A$1:$I$89,3,0)*VLOOKUP('Données projet'!$B$17,Paramètres!$A$1:$I$89,5,0)</f>
        <v>-6.7984728957526396E-14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282.94722676586207</v>
      </c>
      <c r="GF114" s="59">
        <f t="shared" si="104"/>
        <v>310.63647941571298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1.134375745099389</v>
      </c>
      <c r="GN114" s="21">
        <f>EXP(-LN(2)/2)*GN113+(1-EXP(-LN(2)/2))/(LN(2)/2)*GH114*GK114*VLOOKUP('Données projet'!$B$17,Paramètres!$A$1:$I$89,3,0)*0.475*44/12</f>
        <v>1.6488200717589735E-11</v>
      </c>
      <c r="GO114" s="21">
        <f t="shared" si="81"/>
        <v>1.1343757451158771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-1.1368683772161603E-13</v>
      </c>
      <c r="GV114" s="17">
        <f>GU114*VLOOKUP('Données projet'!$B$18,Paramètres!$A$1:$I$89,3,0)*VLOOKUP('Données projet'!$B$18,Paramètres!$A$1:$I$89,5,0)</f>
        <v>-6.7984728957526396E-14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255.54398581450459</v>
      </c>
      <c r="HA114" s="59">
        <f t="shared" si="106"/>
        <v>276.52622328061204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</v>
      </c>
      <c r="HH114" s="21">
        <f>EXP(-LN(2)/25)*HH113+(1-EXP(-LN(2)/25))/(LN(2)/25)*Calculateur!HC114*Calculateur!HE114*VLOOKUP('Données projet'!$B$18,Paramètres!$A$1:$I$89,3,0)*0.475*44/12</f>
        <v>0.56601791202833074</v>
      </c>
      <c r="HI114" s="21">
        <f>EXP(-LN(2)/2)*HI113+(1-EXP(-LN(2)/2))/(LN(2)/2)*HC114*HF114*VLOOKUP('Données projet'!$B$18,Paramètres!$A$1:$I$89,3,0)*0.475*44/12</f>
        <v>9.5611684798843614E-12</v>
      </c>
      <c r="HJ114" s="22">
        <f t="shared" si="84"/>
        <v>0.56601791203789187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4.9658410716801891E-14</v>
      </c>
      <c r="P115" s="13">
        <f t="shared" si="87"/>
        <v>8.0934058173791862E-13</v>
      </c>
      <c r="Q115" s="20">
        <f t="shared" si="107"/>
        <v>1.4960899118586383E-12</v>
      </c>
      <c r="R115" s="59">
        <f t="shared" si="55"/>
        <v>293.33333333333479</v>
      </c>
      <c r="S115" s="59">
        <f ca="1">AVERAGE(OFFSET($R$3,0,0,'Données projet'!$E$9+1,1))-AVERAGE(OFFSET($H$3,0,0,'Données projet'!$E$9+1,1))</f>
        <v>248.50221719467663</v>
      </c>
      <c r="T115" s="59">
        <f t="shared" si="88"/>
        <v>366.09064580347183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1.5562269259652755</v>
      </c>
      <c r="AA115" s="21">
        <f>EXP(-LN(2)/25)*AA114+(1-EXP(-LN(2)/25))/(LN(2)/25)*Calculateur!V115*Calculateur!X115*VLOOKUP('Données projet'!$B$9,Paramètres!$A$1:$I$89,3,0)*0.475*44/12</f>
        <v>2.47796890671151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4.0341958326767857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263.22346936777603</v>
      </c>
      <c r="AO115" s="59">
        <f t="shared" si="90"/>
        <v>217.14714468707939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0.74908226528408772</v>
      </c>
      <c r="AW115" s="21">
        <f>EXP(-LN(2)/2)*AW114+(1-EXP(-LN(2)/2))/(LN(2)/2)*AQ115*AT115*VLOOKUP('Données projet'!$B$10,Paramètres!$A$1:$I$89,3,0)*0.475*44/12</f>
        <v>8.1175860239642197E-12</v>
      </c>
      <c r="AX115" s="21">
        <f t="shared" si="60"/>
        <v>0.74908226529220534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4.4337866711430253E-14</v>
      </c>
      <c r="BF115" s="13">
        <f t="shared" si="91"/>
        <v>7.3222115536967035E-13</v>
      </c>
      <c r="BG115" s="20">
        <f t="shared" si="61"/>
        <v>1.3525069634579169E-12</v>
      </c>
      <c r="BH115" s="59">
        <f t="shared" si="62"/>
        <v>293.33333333333468</v>
      </c>
      <c r="BI115" s="59">
        <f ca="1">AVERAGE(OFFSET($BH$3,0,0,'Données projet'!$E$11+1,1))-AVERAGE(OFFSET($H$3,0,0,'Données projet'!$E$11+1,1))</f>
        <v>219.22204054948094</v>
      </c>
      <c r="BJ115" s="59">
        <f t="shared" si="92"/>
        <v>222.41711966122034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0.32280454643169448</v>
      </c>
      <c r="BR115" s="21">
        <f>EXP(-LN(2)/2)*BR114+(1-EXP(-LN(2)/2))/(LN(2)/2)*BL115*BO115*VLOOKUP('Données projet'!$B$11,Paramètres!$A$1:$I$89,3,0)*0.475*44/12</f>
        <v>1.4870726937863685E-12</v>
      </c>
      <c r="BS115" s="22">
        <f t="shared" si="63"/>
        <v>0.32280454643318157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-3.979039320256561E-13</v>
      </c>
      <c r="BZ115" s="13">
        <f>BY115*VLOOKUP('Données projet'!$B$12,Paramètres!$A$1:$I$89,3,0)*VLOOKUP('Données projet'!$B$12,Paramètres!$A$1:$I$89,5,0)</f>
        <v>-3.41401573678013E-13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237.27357081252273</v>
      </c>
      <c r="CE115" s="59">
        <f t="shared" si="94"/>
        <v>68.768479693848576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-3.4106051316484809E-13</v>
      </c>
      <c r="CU115" s="17">
        <f>CT115*VLOOKUP('Données projet'!$B$13,Paramètres!$A$1:$I$89,3,0)*VLOOKUP('Données projet'!$B$13,Paramètres!$A$1:$I$89,5,0)</f>
        <v>-1.9065282685915009E-13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474.03051418249999</v>
      </c>
      <c r="CZ115" s="59">
        <f t="shared" si="96"/>
        <v>649.52271992719091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1.0773017780331082</v>
      </c>
      <c r="DG115" s="21">
        <f>EXP(-LN(2)/25)*DG114+(1-EXP(-LN(2)/25))/(LN(2)/25)*Calculateur!DB115*Calculateur!DD115*VLOOKUP('Données projet'!$B$13,Paramètres!$A$1:$I$89,3,0)*0.475*44/12</f>
        <v>2.4906495040767216</v>
      </c>
      <c r="DH115" s="21">
        <f>EXP(-LN(2)/2)*DH114+(1-EXP(-LN(2)/2))/(LN(2)/2)*DB115*DE115*VLOOKUP('Données projet'!$B$13,Paramètres!$A$1:$I$89,3,0)*0.475*44/12</f>
        <v>5.3203930527548013E-12</v>
      </c>
      <c r="DI115" s="22">
        <f t="shared" si="69"/>
        <v>3.5679512821151498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-5.6843418860808015E-14</v>
      </c>
      <c r="DP115" s="17">
        <f>DO115*VLOOKUP('Données projet'!$B$14,Paramètres!$A$1:$I$89,3,0)*VLOOKUP('Données projet'!$B$14,Paramètres!$A$1:$I$89,5,0)</f>
        <v>-3.1036506698001178E-14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164.0740581424559</v>
      </c>
      <c r="DU115" s="59">
        <f t="shared" si="98"/>
        <v>280.99861170359793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1.30210366683854</v>
      </c>
      <c r="EB115" s="21">
        <f>EXP(-LN(2)/25)*EB114+(1-EXP(-LN(2)/25))/(LN(2)/25)*Calculateur!DW115*Calculateur!DY115*VLOOKUP('Données projet'!$B$14,Paramètres!$A$1:$I$89,3,0)*0.475*44/12</f>
        <v>2.6660331483797362</v>
      </c>
      <c r="EC115" s="21">
        <f>EXP(-LN(2)/2)*EC114+(1-EXP(-LN(2)/2))/(LN(2)/2)*DW115*DZ115*VLOOKUP('Données projet'!$B$14,Paramètres!$A$1:$I$89,3,0)*0.475*44/12</f>
        <v>6.9024796435277108E-12</v>
      </c>
      <c r="ED115" s="22">
        <f t="shared" si="72"/>
        <v>3.9681368152251788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1.1368683772161603E-13</v>
      </c>
      <c r="EK115" s="17">
        <f>EJ115*VLOOKUP('Données projet'!$B$15,Paramètres!$A$1:$I$89,3,0)*VLOOKUP('Données projet'!$B$15,Paramètres!$A$1:$I$89,5,0)</f>
        <v>5.4683368944097308E-14</v>
      </c>
      <c r="EL115" s="13">
        <f t="shared" si="99"/>
        <v>8.8129432816788268E-13</v>
      </c>
      <c r="EM115" s="20">
        <f t="shared" si="73"/>
        <v>1.6301611558033651E-12</v>
      </c>
      <c r="EN115" s="59">
        <f t="shared" si="74"/>
        <v>293.33333333333496</v>
      </c>
      <c r="EO115" s="59">
        <f ca="1">AVERAGE(OFFSET($EN$3,0,0,'Données projet'!$E$15+1,1))-AVERAGE(OFFSET($H$3,0,0,'Données projet'!$E$15+1,1))</f>
        <v>312.1172301514103</v>
      </c>
      <c r="EP115" s="59">
        <f t="shared" si="100"/>
        <v>369.85500533493212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0.53266795654569976</v>
      </c>
      <c r="EW115" s="21">
        <f>EXP(-LN(2)/25)*EW114+(1-EXP(-LN(2)/25))/(LN(2)/25)*Calculateur!ER115*Calculateur!ET115*VLOOKUP('Données projet'!$B$15,Paramètres!$A$1:$I$89,3,0)*0.475*44/12</f>
        <v>1.5483023323798484</v>
      </c>
      <c r="EX115" s="21">
        <f>EXP(-LN(2)/2)*EX114+(1-EXP(-LN(2)/2))/(LN(2)/2)*ER115*EU115*VLOOKUP('Données projet'!$B$15,Paramètres!$A$1:$I$89,3,0)*0.475*44/12</f>
        <v>1.4404837969476927E-11</v>
      </c>
      <c r="EY115" s="22">
        <f t="shared" si="75"/>
        <v>2.0809702889399531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-1.7053025658242404E-13</v>
      </c>
      <c r="FF115" s="17">
        <f>FE115*VLOOKUP('Données projet'!$B$16,Paramètres!$A$1:$I$89,3,0)*VLOOKUP('Données projet'!$B$16,Paramètres!$A$1:$I$89,5,0)</f>
        <v>-7.9808160080574461E-14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87.187251664304199</v>
      </c>
      <c r="FK115" s="59">
        <f t="shared" si="102"/>
        <v>148.84938257884147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0.83014510939531461</v>
      </c>
      <c r="FS115" s="21">
        <f>EXP(-LN(2)/2)*FS114+(1-EXP(-LN(2)/2))/(LN(2)/2)*FM115*FP115*VLOOKUP('Données projet'!$B$16,Paramètres!$A$1:$I$89,3,0)*0.475*44/12</f>
        <v>2.7666488935037701E-12</v>
      </c>
      <c r="FT115" s="22">
        <f t="shared" si="78"/>
        <v>0.83014510939808128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-1.1368683772161603E-13</v>
      </c>
      <c r="GA115" s="17">
        <f>FZ115*VLOOKUP('Données projet'!$B$17,Paramètres!$A$1:$I$89,3,0)*VLOOKUP('Données projet'!$B$17,Paramètres!$A$1:$I$89,5,0)</f>
        <v>-6.7984728957526396E-14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282.94722676586207</v>
      </c>
      <c r="GF115" s="59">
        <f t="shared" si="104"/>
        <v>310.63647941571298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1.1033561806954184</v>
      </c>
      <c r="GN115" s="21">
        <f>EXP(-LN(2)/2)*GN114+(1-EXP(-LN(2)/2))/(LN(2)/2)*GH115*GK115*VLOOKUP('Données projet'!$B$17,Paramètres!$A$1:$I$89,3,0)*0.475*44/12</f>
        <v>1.1658918536972601E-11</v>
      </c>
      <c r="GO115" s="21">
        <f t="shared" si="81"/>
        <v>1.1033561807070773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-1.1368683772161603E-13</v>
      </c>
      <c r="GV115" s="17">
        <f>GU115*VLOOKUP('Données projet'!$B$18,Paramètres!$A$1:$I$89,3,0)*VLOOKUP('Données projet'!$B$18,Paramètres!$A$1:$I$89,5,0)</f>
        <v>-6.7984728957526396E-14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255.54398581450459</v>
      </c>
      <c r="HA115" s="59">
        <f t="shared" si="106"/>
        <v>276.52622328061204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</v>
      </c>
      <c r="HH115" s="21">
        <f>EXP(-LN(2)/25)*HH114+(1-EXP(-LN(2)/25))/(LN(2)/25)*Calculateur!HC115*Calculateur!HE115*VLOOKUP('Données projet'!$B$18,Paramètres!$A$1:$I$89,3,0)*0.475*44/12</f>
        <v>0.55054012245832773</v>
      </c>
      <c r="HI115" s="21">
        <f>EXP(-LN(2)/2)*HI114+(1-EXP(-LN(2)/2))/(LN(2)/2)*HC115*HF115*VLOOKUP('Données projet'!$B$18,Paramètres!$A$1:$I$89,3,0)*0.475*44/12</f>
        <v>6.7607670681933064E-12</v>
      </c>
      <c r="HJ115" s="22">
        <f t="shared" si="84"/>
        <v>0.55054012246508854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4.9658410716801891E-14</v>
      </c>
      <c r="P116" s="13">
        <f t="shared" si="87"/>
        <v>8.0934058173791862E-13</v>
      </c>
      <c r="Q116" s="20">
        <f t="shared" si="107"/>
        <v>1.4960899118586383E-12</v>
      </c>
      <c r="R116" s="59">
        <f t="shared" si="55"/>
        <v>293.33333333333479</v>
      </c>
      <c r="S116" s="59">
        <f ca="1">AVERAGE(OFFSET($R$3,0,0,'Données projet'!$E$9+1,1))-AVERAGE(OFFSET($H$3,0,0,'Données projet'!$E$9+1,1))</f>
        <v>248.50221719467663</v>
      </c>
      <c r="T116" s="59">
        <f t="shared" si="88"/>
        <v>366.09064580347183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1.5257102651517951</v>
      </c>
      <c r="AA116" s="21">
        <f>EXP(-LN(2)/25)*AA115+(1-EXP(-LN(2)/25))/(LN(2)/25)*Calculateur!V116*Calculateur!X116*VLOOKUP('Données projet'!$B$9,Paramètres!$A$1:$I$89,3,0)*0.475*44/12</f>
        <v>2.4102087166467623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3.9359189817985571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263.22346936777603</v>
      </c>
      <c r="AO116" s="59">
        <f t="shared" si="90"/>
        <v>217.14714468707939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0.72859857134737005</v>
      </c>
      <c r="AW116" s="21">
        <f>EXP(-LN(2)/2)*AW115+(1-EXP(-LN(2)/2))/(LN(2)/2)*AQ116*AT116*VLOOKUP('Données projet'!$B$10,Paramètres!$A$1:$I$89,3,0)*0.475*44/12</f>
        <v>5.7400001244102439E-12</v>
      </c>
      <c r="AX116" s="21">
        <f t="shared" si="60"/>
        <v>0.72859857135311001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4.4337866711430253E-14</v>
      </c>
      <c r="BF116" s="13">
        <f t="shared" si="91"/>
        <v>7.3222115536967035E-13</v>
      </c>
      <c r="BG116" s="20">
        <f t="shared" si="61"/>
        <v>1.3525069634579169E-12</v>
      </c>
      <c r="BH116" s="59">
        <f t="shared" si="62"/>
        <v>293.33333333333468</v>
      </c>
      <c r="BI116" s="59">
        <f ca="1">AVERAGE(OFFSET($BH$3,0,0,'Données projet'!$E$11+1,1))-AVERAGE(OFFSET($H$3,0,0,'Données projet'!$E$11+1,1))</f>
        <v>219.22204054948094</v>
      </c>
      <c r="BJ116" s="59">
        <f t="shared" si="92"/>
        <v>222.41711966122034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0.31397743913396647</v>
      </c>
      <c r="BR116" s="21">
        <f>EXP(-LN(2)/2)*BR115+(1-EXP(-LN(2)/2))/(LN(2)/2)*BL116*BO116*VLOOKUP('Données projet'!$B$11,Paramètres!$A$1:$I$89,3,0)*0.475*44/12</f>
        <v>1.0515191858936874E-12</v>
      </c>
      <c r="BS116" s="22">
        <f t="shared" si="63"/>
        <v>0.31397743913501797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-3.979039320256561E-13</v>
      </c>
      <c r="BZ116" s="13">
        <f>BY116*VLOOKUP('Données projet'!$B$12,Paramètres!$A$1:$I$89,3,0)*VLOOKUP('Données projet'!$B$12,Paramètres!$A$1:$I$89,5,0)</f>
        <v>-3.41401573678013E-13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237.27357081252273</v>
      </c>
      <c r="CE116" s="59">
        <f t="shared" si="94"/>
        <v>68.768479693848576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-3.4106051316484809E-13</v>
      </c>
      <c r="CU116" s="17">
        <f>CT116*VLOOKUP('Données projet'!$B$13,Paramètres!$A$1:$I$89,3,0)*VLOOKUP('Données projet'!$B$13,Paramètres!$A$1:$I$89,5,0)</f>
        <v>-1.9065282685915009E-13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474.03051418249999</v>
      </c>
      <c r="CZ116" s="59">
        <f t="shared" si="96"/>
        <v>649.52271992719091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1.0561765472550815</v>
      </c>
      <c r="DG116" s="21">
        <f>EXP(-LN(2)/25)*DG115+(1-EXP(-LN(2)/25))/(LN(2)/25)*Calculateur!DB116*Calculateur!DD116*VLOOKUP('Données projet'!$B$13,Paramètres!$A$1:$I$89,3,0)*0.475*44/12</f>
        <v>2.4225425624101788</v>
      </c>
      <c r="DH116" s="21">
        <f>EXP(-LN(2)/2)*DH115+(1-EXP(-LN(2)/2))/(LN(2)/2)*DB116*DE116*VLOOKUP('Données projet'!$B$13,Paramètres!$A$1:$I$89,3,0)*0.475*44/12</f>
        <v>3.7620860061807169E-12</v>
      </c>
      <c r="DI116" s="22">
        <f t="shared" si="69"/>
        <v>3.4787191096690222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-5.6843418860808015E-14</v>
      </c>
      <c r="DP116" s="17">
        <f>DO116*VLOOKUP('Données projet'!$B$14,Paramètres!$A$1:$I$89,3,0)*VLOOKUP('Données projet'!$B$14,Paramètres!$A$1:$I$89,5,0)</f>
        <v>-3.1036506698001178E-14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164.0740581424559</v>
      </c>
      <c r="DU116" s="59">
        <f t="shared" si="98"/>
        <v>280.99861170359793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1.2765702081366517</v>
      </c>
      <c r="EB116" s="21">
        <f>EXP(-LN(2)/25)*EB115+(1-EXP(-LN(2)/25))/(LN(2)/25)*Calculateur!DW116*Calculateur!DY116*VLOOKUP('Données projet'!$B$14,Paramètres!$A$1:$I$89,3,0)*0.475*44/12</f>
        <v>2.5931303317367025</v>
      </c>
      <c r="EC116" s="21">
        <f>EXP(-LN(2)/2)*EC115+(1-EXP(-LN(2)/2))/(LN(2)/2)*DW116*DZ116*VLOOKUP('Données projet'!$B$14,Paramètres!$A$1:$I$89,3,0)*0.475*44/12</f>
        <v>4.8807901629405475E-12</v>
      </c>
      <c r="ED116" s="22">
        <f t="shared" si="72"/>
        <v>3.8697005398782349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1.1368683772161603E-13</v>
      </c>
      <c r="EK116" s="17">
        <f>EJ116*VLOOKUP('Données projet'!$B$15,Paramètres!$A$1:$I$89,3,0)*VLOOKUP('Données projet'!$B$15,Paramètres!$A$1:$I$89,5,0)</f>
        <v>5.4683368944097308E-14</v>
      </c>
      <c r="EL116" s="13">
        <f t="shared" si="99"/>
        <v>8.8129432816788268E-13</v>
      </c>
      <c r="EM116" s="20">
        <f t="shared" si="73"/>
        <v>1.6301611558033651E-12</v>
      </c>
      <c r="EN116" s="59">
        <f t="shared" si="74"/>
        <v>293.33333333333496</v>
      </c>
      <c r="EO116" s="59">
        <f ca="1">AVERAGE(OFFSET($EN$3,0,0,'Données projet'!$E$15+1,1))-AVERAGE(OFFSET($H$3,0,0,'Données projet'!$E$15+1,1))</f>
        <v>312.1172301514103</v>
      </c>
      <c r="EP116" s="59">
        <f t="shared" si="100"/>
        <v>369.85500533493212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0.52222266281321128</v>
      </c>
      <c r="EW116" s="21">
        <f>EXP(-LN(2)/25)*EW115+(1-EXP(-LN(2)/25))/(LN(2)/25)*Calculateur!ER116*Calculateur!ET116*VLOOKUP('Données projet'!$B$15,Paramètres!$A$1:$I$89,3,0)*0.475*44/12</f>
        <v>1.5059639236792404</v>
      </c>
      <c r="EX116" s="21">
        <f>EXP(-LN(2)/2)*EX115+(1-EXP(-LN(2)/2))/(LN(2)/2)*ER116*EU116*VLOOKUP('Données projet'!$B$15,Paramètres!$A$1:$I$89,3,0)*0.475*44/12</f>
        <v>1.0185758610110593E-11</v>
      </c>
      <c r="EY116" s="22">
        <f t="shared" si="75"/>
        <v>2.0281865865026374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-1.7053025658242404E-13</v>
      </c>
      <c r="FF116" s="17">
        <f>FE116*VLOOKUP('Données projet'!$B$16,Paramètres!$A$1:$I$89,3,0)*VLOOKUP('Données projet'!$B$16,Paramètres!$A$1:$I$89,5,0)</f>
        <v>-7.9808160080574461E-14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87.187251664304199</v>
      </c>
      <c r="FK116" s="59">
        <f t="shared" si="102"/>
        <v>148.84938257884147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0.80744474772346575</v>
      </c>
      <c r="FS116" s="21">
        <f>EXP(-LN(2)/2)*FS115+(1-EXP(-LN(2)/2))/(LN(2)/2)*FM116*FP116*VLOOKUP('Données projet'!$B$16,Paramètres!$A$1:$I$89,3,0)*0.475*44/12</f>
        <v>1.9563161937587742E-12</v>
      </c>
      <c r="FT116" s="22">
        <f t="shared" si="78"/>
        <v>0.80744474772542207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-1.1368683772161603E-13</v>
      </c>
      <c r="GA116" s="17">
        <f>FZ116*VLOOKUP('Données projet'!$B$17,Paramètres!$A$1:$I$89,3,0)*VLOOKUP('Données projet'!$B$17,Paramètres!$A$1:$I$89,5,0)</f>
        <v>-6.7984728957526396E-14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282.94722676586207</v>
      </c>
      <c r="GF116" s="59">
        <f t="shared" si="104"/>
        <v>310.63647941571298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1.0731848479113224</v>
      </c>
      <c r="GN116" s="21">
        <f>EXP(-LN(2)/2)*GN115+(1-EXP(-LN(2)/2))/(LN(2)/2)*GH116*GK116*VLOOKUP('Données projet'!$B$17,Paramètres!$A$1:$I$89,3,0)*0.475*44/12</f>
        <v>8.2441003587948676E-12</v>
      </c>
      <c r="GO116" s="21">
        <f t="shared" si="81"/>
        <v>1.0731848479195665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-1.1368683772161603E-13</v>
      </c>
      <c r="GV116" s="17">
        <f>GU116*VLOOKUP('Données projet'!$B$18,Paramètres!$A$1:$I$89,3,0)*VLOOKUP('Données projet'!$B$18,Paramètres!$A$1:$I$89,5,0)</f>
        <v>-6.7984728957526396E-14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255.54398581450459</v>
      </c>
      <c r="HA116" s="59">
        <f t="shared" si="106"/>
        <v>276.52622328061204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</v>
      </c>
      <c r="HH116" s="21">
        <f>EXP(-LN(2)/25)*HH115+(1-EXP(-LN(2)/25))/(LN(2)/25)*Calculateur!HC116*Calculateur!HE116*VLOOKUP('Données projet'!$B$18,Paramètres!$A$1:$I$89,3,0)*0.475*44/12</f>
        <v>0.53548557385805795</v>
      </c>
      <c r="HI116" s="21">
        <f>EXP(-LN(2)/2)*HI115+(1-EXP(-LN(2)/2))/(LN(2)/2)*HC116*HF116*VLOOKUP('Données projet'!$B$18,Paramètres!$A$1:$I$89,3,0)*0.475*44/12</f>
        <v>4.7805842399421807E-12</v>
      </c>
      <c r="HJ116" s="22">
        <f t="shared" si="84"/>
        <v>0.53548557386283857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4.9658410716801891E-14</v>
      </c>
      <c r="P117" s="13">
        <f t="shared" si="87"/>
        <v>8.0934058173791862E-13</v>
      </c>
      <c r="Q117" s="20">
        <f t="shared" si="107"/>
        <v>1.4960899118586383E-12</v>
      </c>
      <c r="R117" s="59">
        <f t="shared" si="55"/>
        <v>293.33333333333479</v>
      </c>
      <c r="S117" s="59">
        <f ca="1">AVERAGE(OFFSET($R$3,0,0,'Données projet'!$E$9+1,1))-AVERAGE(OFFSET($H$3,0,0,'Données projet'!$E$9+1,1))</f>
        <v>248.50221719467663</v>
      </c>
      <c r="T117" s="59">
        <f t="shared" si="88"/>
        <v>366.09064580347183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1.495792017443542</v>
      </c>
      <c r="AA117" s="21">
        <f>EXP(-LN(2)/25)*AA116+(1-EXP(-LN(2)/25))/(LN(2)/25)*Calculateur!V117*Calculateur!X117*VLOOKUP('Données projet'!$B$9,Paramètres!$A$1:$I$89,3,0)*0.475*44/12</f>
        <v>2.344301432542689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3.8400934499862309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263.22346936777603</v>
      </c>
      <c r="AO117" s="59">
        <f t="shared" si="90"/>
        <v>217.14714468707939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0.70867500509854253</v>
      </c>
      <c r="AW117" s="21">
        <f>EXP(-LN(2)/2)*AW116+(1-EXP(-LN(2)/2))/(LN(2)/2)*AQ117*AT117*VLOOKUP('Données projet'!$B$10,Paramètres!$A$1:$I$89,3,0)*0.475*44/12</f>
        <v>4.0587930119821098E-12</v>
      </c>
      <c r="AX117" s="21">
        <f t="shared" si="60"/>
        <v>0.70867500510260129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4.4337866711430253E-14</v>
      </c>
      <c r="BF117" s="13">
        <f t="shared" si="91"/>
        <v>7.3222115536967035E-13</v>
      </c>
      <c r="BG117" s="20">
        <f t="shared" si="61"/>
        <v>1.3525069634579169E-12</v>
      </c>
      <c r="BH117" s="59">
        <f t="shared" si="62"/>
        <v>293.33333333333468</v>
      </c>
      <c r="BI117" s="59">
        <f ca="1">AVERAGE(OFFSET($BH$3,0,0,'Données projet'!$E$11+1,1))-AVERAGE(OFFSET($H$3,0,0,'Données projet'!$E$11+1,1))</f>
        <v>219.22204054948094</v>
      </c>
      <c r="BJ117" s="59">
        <f t="shared" si="92"/>
        <v>222.41711966122034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0.30539170954949224</v>
      </c>
      <c r="BR117" s="21">
        <f>EXP(-LN(2)/2)*BR116+(1-EXP(-LN(2)/2))/(LN(2)/2)*BL117*BO117*VLOOKUP('Données projet'!$B$11,Paramètres!$A$1:$I$89,3,0)*0.475*44/12</f>
        <v>7.4353634689318423E-13</v>
      </c>
      <c r="BS117" s="22">
        <f t="shared" si="63"/>
        <v>0.30539170955023576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-3.979039320256561E-13</v>
      </c>
      <c r="BZ117" s="13">
        <f>BY117*VLOOKUP('Données projet'!$B$12,Paramètres!$A$1:$I$89,3,0)*VLOOKUP('Données projet'!$B$12,Paramètres!$A$1:$I$89,5,0)</f>
        <v>-3.41401573678013E-13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237.27357081252273</v>
      </c>
      <c r="CE117" s="59">
        <f t="shared" si="94"/>
        <v>68.768479693848576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-3.4106051316484809E-13</v>
      </c>
      <c r="CU117" s="17">
        <f>CT117*VLOOKUP('Données projet'!$B$13,Paramètres!$A$1:$I$89,3,0)*VLOOKUP('Données projet'!$B$13,Paramètres!$A$1:$I$89,5,0)</f>
        <v>-1.9065282685915009E-13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474.03051418249999</v>
      </c>
      <c r="CZ117" s="59">
        <f t="shared" si="96"/>
        <v>649.52271992719091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1.0354655693674932</v>
      </c>
      <c r="DG117" s="21">
        <f>EXP(-LN(2)/25)*DG116+(1-EXP(-LN(2)/25))/(LN(2)/25)*Calculateur!DB117*Calculateur!DD117*VLOOKUP('Données projet'!$B$13,Paramètres!$A$1:$I$89,3,0)*0.475*44/12</f>
        <v>2.356298008645096</v>
      </c>
      <c r="DH117" s="21">
        <f>EXP(-LN(2)/2)*DH116+(1-EXP(-LN(2)/2))/(LN(2)/2)*DB117*DE117*VLOOKUP('Données projet'!$B$13,Paramètres!$A$1:$I$89,3,0)*0.475*44/12</f>
        <v>2.6601965263774006E-12</v>
      </c>
      <c r="DI117" s="22">
        <f t="shared" si="69"/>
        <v>3.3917635780152491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-5.6843418860808015E-14</v>
      </c>
      <c r="DP117" s="17">
        <f>DO117*VLOOKUP('Données projet'!$B$14,Paramètres!$A$1:$I$89,3,0)*VLOOKUP('Données projet'!$B$14,Paramètres!$A$1:$I$89,5,0)</f>
        <v>-3.1036506698001178E-14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164.0740581424559</v>
      </c>
      <c r="DU117" s="59">
        <f t="shared" si="98"/>
        <v>280.99861170359793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1.2515374449860355</v>
      </c>
      <c r="EB117" s="21">
        <f>EXP(-LN(2)/25)*EB116+(1-EXP(-LN(2)/25))/(LN(2)/25)*Calculateur!DW117*Calculateur!DY117*VLOOKUP('Données projet'!$B$14,Paramètres!$A$1:$I$89,3,0)*0.475*44/12</f>
        <v>2.522221046448565</v>
      </c>
      <c r="EC117" s="21">
        <f>EXP(-LN(2)/2)*EC116+(1-EXP(-LN(2)/2))/(LN(2)/2)*DW117*DZ117*VLOOKUP('Données projet'!$B$14,Paramètres!$A$1:$I$89,3,0)*0.475*44/12</f>
        <v>3.4512398217638554E-12</v>
      </c>
      <c r="ED117" s="22">
        <f t="shared" si="72"/>
        <v>3.773758491438052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1.1368683772161603E-13</v>
      </c>
      <c r="EK117" s="17">
        <f>EJ117*VLOOKUP('Données projet'!$B$15,Paramètres!$A$1:$I$89,3,0)*VLOOKUP('Données projet'!$B$15,Paramètres!$A$1:$I$89,5,0)</f>
        <v>5.4683368944097308E-14</v>
      </c>
      <c r="EL117" s="13">
        <f t="shared" si="99"/>
        <v>8.8129432816788268E-13</v>
      </c>
      <c r="EM117" s="20">
        <f t="shared" si="73"/>
        <v>1.6301611558033651E-12</v>
      </c>
      <c r="EN117" s="59">
        <f t="shared" si="74"/>
        <v>293.33333333333496</v>
      </c>
      <c r="EO117" s="59">
        <f ca="1">AVERAGE(OFFSET($EN$3,0,0,'Données projet'!$E$15+1,1))-AVERAGE(OFFSET($H$3,0,0,'Données projet'!$E$15+1,1))</f>
        <v>312.1172301514103</v>
      </c>
      <c r="EP117" s="59">
        <f t="shared" si="100"/>
        <v>369.85500533493212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0.51198219491981689</v>
      </c>
      <c r="EW117" s="21">
        <f>EXP(-LN(2)/25)*EW116+(1-EXP(-LN(2)/25))/(LN(2)/25)*Calculateur!ER117*Calculateur!ET117*VLOOKUP('Données projet'!$B$15,Paramètres!$A$1:$I$89,3,0)*0.475*44/12</f>
        <v>1.4647832609910307</v>
      </c>
      <c r="EX117" s="21">
        <f>EXP(-LN(2)/2)*EX116+(1-EXP(-LN(2)/2))/(LN(2)/2)*ER117*EU117*VLOOKUP('Données projet'!$B$15,Paramètres!$A$1:$I$89,3,0)*0.475*44/12</f>
        <v>7.2024189847384641E-12</v>
      </c>
      <c r="EY117" s="22">
        <f t="shared" si="75"/>
        <v>1.9767654559180501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-1.7053025658242404E-13</v>
      </c>
      <c r="FF117" s="17">
        <f>FE117*VLOOKUP('Données projet'!$B$16,Paramètres!$A$1:$I$89,3,0)*VLOOKUP('Données projet'!$B$16,Paramètres!$A$1:$I$89,5,0)</f>
        <v>-7.9808160080574461E-14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87.187251664304199</v>
      </c>
      <c r="FK117" s="59">
        <f t="shared" si="102"/>
        <v>148.84938257884147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0.78536512863529373</v>
      </c>
      <c r="FS117" s="21">
        <f>EXP(-LN(2)/2)*FS116+(1-EXP(-LN(2)/2))/(LN(2)/2)*FM117*FP117*VLOOKUP('Données projet'!$B$16,Paramètres!$A$1:$I$89,3,0)*0.475*44/12</f>
        <v>1.383324446751885E-12</v>
      </c>
      <c r="FT117" s="22">
        <f t="shared" si="78"/>
        <v>0.78536512863667707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-1.1368683772161603E-13</v>
      </c>
      <c r="GA117" s="17">
        <f>FZ117*VLOOKUP('Données projet'!$B$17,Paramètres!$A$1:$I$89,3,0)*VLOOKUP('Données projet'!$B$17,Paramètres!$A$1:$I$89,5,0)</f>
        <v>-6.7984728957526396E-14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282.94722676586207</v>
      </c>
      <c r="GF117" s="59">
        <f t="shared" si="104"/>
        <v>310.63647941571298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1.0438385518088489</v>
      </c>
      <c r="GN117" s="21">
        <f>EXP(-LN(2)/2)*GN116+(1-EXP(-LN(2)/2))/(LN(2)/2)*GH117*GK117*VLOOKUP('Données projet'!$B$17,Paramètres!$A$1:$I$89,3,0)*0.475*44/12</f>
        <v>5.8294592684863005E-12</v>
      </c>
      <c r="GO117" s="21">
        <f t="shared" si="81"/>
        <v>1.0438385518146784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-1.1368683772161603E-13</v>
      </c>
      <c r="GV117" s="17">
        <f>GU117*VLOOKUP('Données projet'!$B$18,Paramètres!$A$1:$I$89,3,0)*VLOOKUP('Données projet'!$B$18,Paramètres!$A$1:$I$89,5,0)</f>
        <v>-6.7984728957526396E-14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255.54398581450459</v>
      </c>
      <c r="HA117" s="59">
        <f t="shared" si="106"/>
        <v>276.52622328061204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</v>
      </c>
      <c r="HH117" s="21">
        <f>EXP(-LN(2)/25)*HH116+(1-EXP(-LN(2)/25))/(LN(2)/25)*Calculateur!HC117*Calculateur!HE117*VLOOKUP('Données projet'!$B$18,Paramètres!$A$1:$I$89,3,0)*0.475*44/12</f>
        <v>0.52084269268094685</v>
      </c>
      <c r="HI117" s="21">
        <f>EXP(-LN(2)/2)*HI116+(1-EXP(-LN(2)/2))/(LN(2)/2)*HC117*HF117*VLOOKUP('Données projet'!$B$18,Paramètres!$A$1:$I$89,3,0)*0.475*44/12</f>
        <v>3.3803835340966532E-12</v>
      </c>
      <c r="HJ117" s="22">
        <f t="shared" si="84"/>
        <v>0.52084269268432726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4.9658410716801891E-14</v>
      </c>
      <c r="P118" s="13">
        <f t="shared" si="87"/>
        <v>8.0934058173791862E-13</v>
      </c>
      <c r="Q118" s="20">
        <f t="shared" si="107"/>
        <v>1.4960899118586383E-12</v>
      </c>
      <c r="R118" s="59">
        <f t="shared" si="55"/>
        <v>293.33333333333479</v>
      </c>
      <c r="S118" s="59">
        <f ca="1">AVERAGE(OFFSET($R$3,0,0,'Données projet'!$E$9+1,1))-AVERAGE(OFFSET($H$3,0,0,'Données projet'!$E$9+1,1))</f>
        <v>248.50221719467663</v>
      </c>
      <c r="T118" s="59">
        <f t="shared" si="88"/>
        <v>366.09064580347183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1.4664604483245183</v>
      </c>
      <c r="AA118" s="21">
        <f>EXP(-LN(2)/25)*AA117+(1-EXP(-LN(2)/25))/(LN(2)/25)*Calculateur!V118*Calculateur!X118*VLOOKUP('Données projet'!$B$9,Paramètres!$A$1:$I$89,3,0)*0.475*44/12</f>
        <v>2.2801963865883548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3.7466568349128728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263.22346936777603</v>
      </c>
      <c r="AO118" s="59">
        <f t="shared" si="90"/>
        <v>217.14714468707939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0.68929624981652404</v>
      </c>
      <c r="AW118" s="21">
        <f>EXP(-LN(2)/2)*AW117+(1-EXP(-LN(2)/2))/(LN(2)/2)*AQ118*AT118*VLOOKUP('Données projet'!$B$10,Paramètres!$A$1:$I$89,3,0)*0.475*44/12</f>
        <v>2.870000062205122E-12</v>
      </c>
      <c r="AX118" s="21">
        <f t="shared" si="60"/>
        <v>0.68929624981939408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4.4337866711430253E-14</v>
      </c>
      <c r="BF118" s="13">
        <f t="shared" si="91"/>
        <v>7.3222115536967035E-13</v>
      </c>
      <c r="BG118" s="20">
        <f t="shared" si="61"/>
        <v>1.3525069634579169E-12</v>
      </c>
      <c r="BH118" s="59">
        <f t="shared" si="62"/>
        <v>293.33333333333468</v>
      </c>
      <c r="BI118" s="59">
        <f ca="1">AVERAGE(OFFSET($BH$3,0,0,'Données projet'!$E$11+1,1))-AVERAGE(OFFSET($H$3,0,0,'Données projet'!$E$11+1,1))</f>
        <v>219.22204054948094</v>
      </c>
      <c r="BJ118" s="59">
        <f t="shared" si="92"/>
        <v>222.41711966122034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0.29704075719200934</v>
      </c>
      <c r="BR118" s="21">
        <f>EXP(-LN(2)/2)*BR117+(1-EXP(-LN(2)/2))/(LN(2)/2)*BL118*BO118*VLOOKUP('Données projet'!$B$11,Paramètres!$A$1:$I$89,3,0)*0.475*44/12</f>
        <v>5.2575959294684371E-13</v>
      </c>
      <c r="BS118" s="22">
        <f t="shared" si="63"/>
        <v>0.29704075719253509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-3.979039320256561E-13</v>
      </c>
      <c r="BZ118" s="13">
        <f>BY118*VLOOKUP('Données projet'!$B$12,Paramètres!$A$1:$I$89,3,0)*VLOOKUP('Données projet'!$B$12,Paramètres!$A$1:$I$89,5,0)</f>
        <v>-3.41401573678013E-13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237.27357081252273</v>
      </c>
      <c r="CE118" s="59">
        <f t="shared" si="94"/>
        <v>68.768479693848576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-3.4106051316484809E-13</v>
      </c>
      <c r="CU118" s="17">
        <f>CT118*VLOOKUP('Données projet'!$B$13,Paramètres!$A$1:$I$89,3,0)*VLOOKUP('Données projet'!$B$13,Paramètres!$A$1:$I$89,5,0)</f>
        <v>-1.9065282685915009E-13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474.03051418249999</v>
      </c>
      <c r="CZ118" s="59">
        <f t="shared" si="96"/>
        <v>649.52271992719091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1.0151607211238314</v>
      </c>
      <c r="DG118" s="21">
        <f>EXP(-LN(2)/25)*DG117+(1-EXP(-LN(2)/25))/(LN(2)/25)*Calculateur!DB118*Calculateur!DD118*VLOOKUP('Données projet'!$B$13,Paramètres!$A$1:$I$89,3,0)*0.475*44/12</f>
        <v>2.2918649156863689</v>
      </c>
      <c r="DH118" s="21">
        <f>EXP(-LN(2)/2)*DH117+(1-EXP(-LN(2)/2))/(LN(2)/2)*DB118*DE118*VLOOKUP('Données projet'!$B$13,Paramètres!$A$1:$I$89,3,0)*0.475*44/12</f>
        <v>1.8810430030903584E-12</v>
      </c>
      <c r="DI118" s="22">
        <f t="shared" si="69"/>
        <v>3.3070256368120816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-5.6843418860808015E-14</v>
      </c>
      <c r="DP118" s="17">
        <f>DO118*VLOOKUP('Données projet'!$B$14,Paramètres!$A$1:$I$89,3,0)*VLOOKUP('Données projet'!$B$14,Paramètres!$A$1:$I$89,5,0)</f>
        <v>-3.1036506698001178E-14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164.0740581424559</v>
      </c>
      <c r="DU118" s="59">
        <f t="shared" si="98"/>
        <v>280.99861170359793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1.2269955590523249</v>
      </c>
      <c r="EB118" s="21">
        <f>EXP(-LN(2)/25)*EB117+(1-EXP(-LN(2)/25))/(LN(2)/25)*Calculateur!DW118*Calculateur!DY118*VLOOKUP('Données projet'!$B$14,Paramètres!$A$1:$I$89,3,0)*0.475*44/12</f>
        <v>2.4532507792955887</v>
      </c>
      <c r="EC118" s="21">
        <f>EXP(-LN(2)/2)*EC117+(1-EXP(-LN(2)/2))/(LN(2)/2)*DW118*DZ118*VLOOKUP('Données projet'!$B$14,Paramètres!$A$1:$I$89,3,0)*0.475*44/12</f>
        <v>2.4403950814702738E-12</v>
      </c>
      <c r="ED118" s="22">
        <f t="shared" si="72"/>
        <v>3.6802463383503539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1.1368683772161603E-13</v>
      </c>
      <c r="EK118" s="17">
        <f>EJ118*VLOOKUP('Données projet'!$B$15,Paramètres!$A$1:$I$89,3,0)*VLOOKUP('Données projet'!$B$15,Paramètres!$A$1:$I$89,5,0)</f>
        <v>5.4683368944097308E-14</v>
      </c>
      <c r="EL118" s="13">
        <f t="shared" si="99"/>
        <v>8.8129432816788268E-13</v>
      </c>
      <c r="EM118" s="20">
        <f t="shared" si="73"/>
        <v>1.6301611558033651E-12</v>
      </c>
      <c r="EN118" s="59">
        <f t="shared" si="74"/>
        <v>293.33333333333496</v>
      </c>
      <c r="EO118" s="59">
        <f ca="1">AVERAGE(OFFSET($EN$3,0,0,'Données projet'!$E$15+1,1))-AVERAGE(OFFSET($H$3,0,0,'Données projet'!$E$15+1,1))</f>
        <v>312.1172301514103</v>
      </c>
      <c r="EP118" s="59">
        <f t="shared" si="100"/>
        <v>369.85500533493212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0.50194253635574326</v>
      </c>
      <c r="EW118" s="21">
        <f>EXP(-LN(2)/25)*EW117+(1-EXP(-LN(2)/25))/(LN(2)/25)*Calculateur!ER118*Calculateur!ET118*VLOOKUP('Données projet'!$B$15,Paramètres!$A$1:$I$89,3,0)*0.475*44/12</f>
        <v>1.4247286856896271</v>
      </c>
      <c r="EX118" s="21">
        <f>EXP(-LN(2)/2)*EX117+(1-EXP(-LN(2)/2))/(LN(2)/2)*ER118*EU118*VLOOKUP('Données projet'!$B$15,Paramètres!$A$1:$I$89,3,0)*0.475*44/12</f>
        <v>5.0928793050552974E-12</v>
      </c>
      <c r="EY118" s="22">
        <f t="shared" si="75"/>
        <v>1.9266712220504632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-1.7053025658242404E-13</v>
      </c>
      <c r="FF118" s="17">
        <f>FE118*VLOOKUP('Données projet'!$B$16,Paramètres!$A$1:$I$89,3,0)*VLOOKUP('Données projet'!$B$16,Paramètres!$A$1:$I$89,5,0)</f>
        <v>-7.9808160080574461E-14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87.187251664304199</v>
      </c>
      <c r="FK118" s="59">
        <f t="shared" si="102"/>
        <v>148.84938257884147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0.76388927789220451</v>
      </c>
      <c r="FS118" s="21">
        <f>EXP(-LN(2)/2)*FS117+(1-EXP(-LN(2)/2))/(LN(2)/2)*FM118*FP118*VLOOKUP('Données projet'!$B$16,Paramètres!$A$1:$I$89,3,0)*0.475*44/12</f>
        <v>9.7815809687938708E-13</v>
      </c>
      <c r="FT118" s="22">
        <f t="shared" si="78"/>
        <v>0.76388927789318262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-1.1368683772161603E-13</v>
      </c>
      <c r="GA118" s="17">
        <f>FZ118*VLOOKUP('Données projet'!$B$17,Paramètres!$A$1:$I$89,3,0)*VLOOKUP('Données projet'!$B$17,Paramètres!$A$1:$I$89,5,0)</f>
        <v>-6.7984728957526396E-14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282.94722676586207</v>
      </c>
      <c r="GF118" s="59">
        <f t="shared" si="104"/>
        <v>310.63647941571298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1.0152947317165522</v>
      </c>
      <c r="GN118" s="21">
        <f>EXP(-LN(2)/2)*GN117+(1-EXP(-LN(2)/2))/(LN(2)/2)*GH118*GK118*VLOOKUP('Données projet'!$B$17,Paramètres!$A$1:$I$89,3,0)*0.475*44/12</f>
        <v>4.1220501793974338E-12</v>
      </c>
      <c r="GO118" s="21">
        <f t="shared" si="81"/>
        <v>1.0152947317206742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-1.1368683772161603E-13</v>
      </c>
      <c r="GV118" s="17">
        <f>GU118*VLOOKUP('Données projet'!$B$18,Paramètres!$A$1:$I$89,3,0)*VLOOKUP('Données projet'!$B$18,Paramètres!$A$1:$I$89,5,0)</f>
        <v>-6.7984728957526396E-14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255.54398581450459</v>
      </c>
      <c r="HA118" s="59">
        <f t="shared" si="106"/>
        <v>276.52622328061204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</v>
      </c>
      <c r="HH118" s="21">
        <f>EXP(-LN(2)/25)*HH117+(1-EXP(-LN(2)/25))/(LN(2)/25)*Calculateur!HC118*Calculateur!HE118*VLOOKUP('Données projet'!$B$18,Paramètres!$A$1:$I$89,3,0)*0.475*44/12</f>
        <v>0.50660022185965958</v>
      </c>
      <c r="HI118" s="21">
        <f>EXP(-LN(2)/2)*HI117+(1-EXP(-LN(2)/2))/(LN(2)/2)*HC118*HF118*VLOOKUP('Données projet'!$B$18,Paramètres!$A$1:$I$89,3,0)*0.475*44/12</f>
        <v>2.3902921199710904E-12</v>
      </c>
      <c r="HJ118" s="22">
        <f t="shared" si="84"/>
        <v>0.50660022186204989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4.9658410716801891E-14</v>
      </c>
      <c r="P119" s="13">
        <f t="shared" si="87"/>
        <v>8.0934058173791862E-13</v>
      </c>
      <c r="Q119" s="20">
        <f t="shared" si="107"/>
        <v>1.4960899118586383E-12</v>
      </c>
      <c r="R119" s="59">
        <f t="shared" si="55"/>
        <v>293.33333333333479</v>
      </c>
      <c r="S119" s="59">
        <f ca="1">AVERAGE(OFFSET($R$3,0,0,'Données projet'!$E$9+1,1))-AVERAGE(OFFSET($H$3,0,0,'Données projet'!$E$9+1,1))</f>
        <v>248.50221719467663</v>
      </c>
      <c r="T119" s="59">
        <f t="shared" si="88"/>
        <v>366.09064580347183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1.4377040533854282</v>
      </c>
      <c r="AA119" s="21">
        <f>EXP(-LN(2)/25)*AA118+(1-EXP(-LN(2)/25))/(LN(2)/25)*Calculateur!V119*Calculateur!X119*VLOOKUP('Données projet'!$B$9,Paramètres!$A$1:$I$89,3,0)*0.475*44/12</f>
        <v>2.2178442964867795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3.6555483498722077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263.22346936777603</v>
      </c>
      <c r="AO119" s="59">
        <f t="shared" si="90"/>
        <v>217.14714468707939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0.67044740761677679</v>
      </c>
      <c r="AW119" s="21">
        <f>EXP(-LN(2)/2)*AW118+(1-EXP(-LN(2)/2))/(LN(2)/2)*AQ119*AT119*VLOOKUP('Données projet'!$B$10,Paramètres!$A$1:$I$89,3,0)*0.475*44/12</f>
        <v>2.0293965059910549E-12</v>
      </c>
      <c r="AX119" s="21">
        <f t="shared" si="60"/>
        <v>0.67044740761880617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4.4337866711430253E-14</v>
      </c>
      <c r="BF119" s="13">
        <f t="shared" si="91"/>
        <v>7.3222115536967035E-13</v>
      </c>
      <c r="BG119" s="20">
        <f t="shared" si="61"/>
        <v>1.3525069634579169E-12</v>
      </c>
      <c r="BH119" s="59">
        <f t="shared" si="62"/>
        <v>293.33333333333468</v>
      </c>
      <c r="BI119" s="59">
        <f ca="1">AVERAGE(OFFSET($BH$3,0,0,'Données projet'!$E$11+1,1))-AVERAGE(OFFSET($H$3,0,0,'Données projet'!$E$11+1,1))</f>
        <v>219.22204054948094</v>
      </c>
      <c r="BJ119" s="59">
        <f t="shared" si="92"/>
        <v>222.41711966122034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0.28891816206589932</v>
      </c>
      <c r="BR119" s="21">
        <f>EXP(-LN(2)/2)*BR118+(1-EXP(-LN(2)/2))/(LN(2)/2)*BL119*BO119*VLOOKUP('Données projet'!$B$11,Paramètres!$A$1:$I$89,3,0)*0.475*44/12</f>
        <v>3.7176817344659212E-13</v>
      </c>
      <c r="BS119" s="22">
        <f t="shared" si="63"/>
        <v>0.28891816206627108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-3.979039320256561E-13</v>
      </c>
      <c r="BZ119" s="13">
        <f>BY119*VLOOKUP('Données projet'!$B$12,Paramètres!$A$1:$I$89,3,0)*VLOOKUP('Données projet'!$B$12,Paramètres!$A$1:$I$89,5,0)</f>
        <v>-3.41401573678013E-13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237.27357081252273</v>
      </c>
      <c r="CE119" s="59">
        <f t="shared" si="94"/>
        <v>68.768479693848576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-3.4106051316484809E-13</v>
      </c>
      <c r="CU119" s="17">
        <f>CT119*VLOOKUP('Données projet'!$B$13,Paramètres!$A$1:$I$89,3,0)*VLOOKUP('Données projet'!$B$13,Paramètres!$A$1:$I$89,5,0)</f>
        <v>-1.9065282685915009E-13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474.03051418249999</v>
      </c>
      <c r="CZ119" s="59">
        <f t="shared" si="96"/>
        <v>649.52271992719091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0.99525403856949335</v>
      </c>
      <c r="DG119" s="21">
        <f>EXP(-LN(2)/25)*DG118+(1-EXP(-LN(2)/25))/(LN(2)/25)*Calculateur!DB119*Calculateur!DD119*VLOOKUP('Données projet'!$B$13,Paramètres!$A$1:$I$89,3,0)*0.475*44/12</f>
        <v>2.2291937490429872</v>
      </c>
      <c r="DH119" s="21">
        <f>EXP(-LN(2)/2)*DH118+(1-EXP(-LN(2)/2))/(LN(2)/2)*DB119*DE119*VLOOKUP('Données projet'!$B$13,Paramètres!$A$1:$I$89,3,0)*0.475*44/12</f>
        <v>1.3300982631887003E-12</v>
      </c>
      <c r="DI119" s="22">
        <f t="shared" si="69"/>
        <v>3.2244477876138107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-5.6843418860808015E-14</v>
      </c>
      <c r="DP119" s="17">
        <f>DO119*VLOOKUP('Données projet'!$B$14,Paramètres!$A$1:$I$89,3,0)*VLOOKUP('Données projet'!$B$14,Paramètres!$A$1:$I$89,5,0)</f>
        <v>-3.1036506698001178E-14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164.0740581424559</v>
      </c>
      <c r="DU119" s="59">
        <f t="shared" si="98"/>
        <v>280.99861170359793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1.2029349245327021</v>
      </c>
      <c r="EB119" s="21">
        <f>EXP(-LN(2)/25)*EB118+(1-EXP(-LN(2)/25))/(LN(2)/25)*Calculateur!DW119*Calculateur!DY119*VLOOKUP('Données projet'!$B$14,Paramètres!$A$1:$I$89,3,0)*0.475*44/12</f>
        <v>2.3861665077248992</v>
      </c>
      <c r="EC119" s="21">
        <f>EXP(-LN(2)/2)*EC118+(1-EXP(-LN(2)/2))/(LN(2)/2)*DW119*DZ119*VLOOKUP('Données projet'!$B$14,Paramètres!$A$1:$I$89,3,0)*0.475*44/12</f>
        <v>1.7256199108819277E-12</v>
      </c>
      <c r="ED119" s="22">
        <f t="shared" si="72"/>
        <v>3.5891014322593273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1.1368683772161603E-13</v>
      </c>
      <c r="EK119" s="17">
        <f>EJ119*VLOOKUP('Données projet'!$B$15,Paramètres!$A$1:$I$89,3,0)*VLOOKUP('Données projet'!$B$15,Paramètres!$A$1:$I$89,5,0)</f>
        <v>5.4683368944097308E-14</v>
      </c>
      <c r="EL119" s="13">
        <f t="shared" si="99"/>
        <v>8.8129432816788268E-13</v>
      </c>
      <c r="EM119" s="20">
        <f t="shared" si="73"/>
        <v>1.6301611558033651E-12</v>
      </c>
      <c r="EN119" s="59">
        <f t="shared" si="74"/>
        <v>293.33333333333496</v>
      </c>
      <c r="EO119" s="59">
        <f ca="1">AVERAGE(OFFSET($EN$3,0,0,'Données projet'!$E$15+1,1))-AVERAGE(OFFSET($H$3,0,0,'Données projet'!$E$15+1,1))</f>
        <v>312.1172301514103</v>
      </c>
      <c r="EP119" s="59">
        <f t="shared" si="100"/>
        <v>369.85500533493212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0.49209974937252404</v>
      </c>
      <c r="EW119" s="21">
        <f>EXP(-LN(2)/25)*EW118+(1-EXP(-LN(2)/25))/(LN(2)/25)*Calculateur!ER119*Calculateur!ET119*VLOOKUP('Données projet'!$B$15,Paramètres!$A$1:$I$89,3,0)*0.475*44/12</f>
        <v>1.3857694048562188</v>
      </c>
      <c r="EX119" s="21">
        <f>EXP(-LN(2)/2)*EX118+(1-EXP(-LN(2)/2))/(LN(2)/2)*ER119*EU119*VLOOKUP('Données projet'!$B$15,Paramètres!$A$1:$I$89,3,0)*0.475*44/12</f>
        <v>3.6012094923692325E-12</v>
      </c>
      <c r="EY119" s="22">
        <f t="shared" si="75"/>
        <v>1.877869154232344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-7.9808160080574461E-14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87.187251664304199</v>
      </c>
      <c r="FK119" s="59">
        <f t="shared" si="102"/>
        <v>148.84938257884147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0.743000685417051</v>
      </c>
      <c r="FS119" s="21">
        <f>EXP(-LN(2)/2)*FS118+(1-EXP(-LN(2)/2))/(LN(2)/2)*FM119*FP119*VLOOKUP('Données projet'!$B$16,Paramètres!$A$1:$I$89,3,0)*0.475*44/12</f>
        <v>6.9166222337594252E-13</v>
      </c>
      <c r="FT119" s="22">
        <f t="shared" si="78"/>
        <v>0.74300068541774267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-1.1368683772161603E-13</v>
      </c>
      <c r="GA119" s="17">
        <f>FZ119*VLOOKUP('Données projet'!$B$17,Paramètres!$A$1:$I$89,3,0)*VLOOKUP('Données projet'!$B$17,Paramètres!$A$1:$I$89,5,0)</f>
        <v>-6.7984728957526396E-14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282.94722676586207</v>
      </c>
      <c r="GF119" s="59">
        <f t="shared" si="104"/>
        <v>310.63647941571298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0.98753144388573355</v>
      </c>
      <c r="GN119" s="21">
        <f>EXP(-LN(2)/2)*GN118+(1-EXP(-LN(2)/2))/(LN(2)/2)*GH119*GK119*VLOOKUP('Données projet'!$B$17,Paramètres!$A$1:$I$89,3,0)*0.475*44/12</f>
        <v>2.9147296342431502E-12</v>
      </c>
      <c r="GO119" s="21">
        <f t="shared" si="81"/>
        <v>0.98753144388864833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-1.1368683772161603E-13</v>
      </c>
      <c r="GV119" s="17">
        <f>GU119*VLOOKUP('Données projet'!$B$18,Paramètres!$A$1:$I$89,3,0)*VLOOKUP('Données projet'!$B$18,Paramètres!$A$1:$I$89,5,0)</f>
        <v>-6.7984728957526396E-14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255.54398581450459</v>
      </c>
      <c r="HA119" s="59">
        <f t="shared" si="106"/>
        <v>276.52622328061204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</v>
      </c>
      <c r="HH119" s="21">
        <f>EXP(-LN(2)/25)*HH118+(1-EXP(-LN(2)/25))/(LN(2)/25)*Calculateur!HC119*Calculateur!HE119*VLOOKUP('Données projet'!$B$18,Paramètres!$A$1:$I$89,3,0)*0.475*44/12</f>
        <v>0.49274721215195938</v>
      </c>
      <c r="HI119" s="21">
        <f>EXP(-LN(2)/2)*HI118+(1-EXP(-LN(2)/2))/(LN(2)/2)*HC119*HF119*VLOOKUP('Données projet'!$B$18,Paramètres!$A$1:$I$89,3,0)*0.475*44/12</f>
        <v>1.6901917670483266E-12</v>
      </c>
      <c r="HJ119" s="22">
        <f t="shared" si="84"/>
        <v>0.49274721215364958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4.9658410716801891E-14</v>
      </c>
      <c r="P120" s="13">
        <f t="shared" si="87"/>
        <v>8.0934058173791862E-13</v>
      </c>
      <c r="Q120" s="20">
        <f t="shared" si="107"/>
        <v>1.4960899118586383E-12</v>
      </c>
      <c r="R120" s="59">
        <f t="shared" si="55"/>
        <v>293.33333333333479</v>
      </c>
      <c r="S120" s="59">
        <f ca="1">AVERAGE(OFFSET($R$3,0,0,'Données projet'!$E$9+1,1))-AVERAGE(OFFSET($H$3,0,0,'Données projet'!$E$9+1,1))</f>
        <v>248.50221719467663</v>
      </c>
      <c r="T120" s="59">
        <f t="shared" si="88"/>
        <v>366.09064580347183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1.4095115538114245</v>
      </c>
      <c r="AA120" s="21">
        <f>EXP(-LN(2)/25)*AA119+(1-EXP(-LN(2)/25))/(LN(2)/25)*Calculateur!V120*Calculateur!X120*VLOOKUP('Données projet'!$B$9,Paramètres!$A$1:$I$89,3,0)*0.475*44/12</f>
        <v>2.1571972275679858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3.5667087813794103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263.22346936777603</v>
      </c>
      <c r="AO120" s="59">
        <f t="shared" si="90"/>
        <v>217.14714468707939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0.6521139879981992</v>
      </c>
      <c r="AW120" s="21">
        <f>EXP(-LN(2)/2)*AW119+(1-EXP(-LN(2)/2))/(LN(2)/2)*AQ120*AT120*VLOOKUP('Données projet'!$B$10,Paramètres!$A$1:$I$89,3,0)*0.475*44/12</f>
        <v>1.435000031102561E-12</v>
      </c>
      <c r="AX120" s="21">
        <f t="shared" si="60"/>
        <v>0.65211398799963416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4.4337866711430253E-14</v>
      </c>
      <c r="BF120" s="13">
        <f t="shared" si="91"/>
        <v>7.3222115536967035E-13</v>
      </c>
      <c r="BG120" s="20">
        <f t="shared" si="61"/>
        <v>1.3525069634579169E-12</v>
      </c>
      <c r="BH120" s="59">
        <f t="shared" si="62"/>
        <v>293.33333333333468</v>
      </c>
      <c r="BI120" s="59">
        <f ca="1">AVERAGE(OFFSET($BH$3,0,0,'Données projet'!$E$11+1,1))-AVERAGE(OFFSET($H$3,0,0,'Données projet'!$E$11+1,1))</f>
        <v>219.22204054948094</v>
      </c>
      <c r="BJ120" s="59">
        <f t="shared" si="92"/>
        <v>222.41711966122034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0.2810176797306615</v>
      </c>
      <c r="BR120" s="21">
        <f>EXP(-LN(2)/2)*BR119+(1-EXP(-LN(2)/2))/(LN(2)/2)*BL120*BO120*VLOOKUP('Données projet'!$B$11,Paramètres!$A$1:$I$89,3,0)*0.475*44/12</f>
        <v>2.6287979647342186E-13</v>
      </c>
      <c r="BS120" s="22">
        <f t="shared" si="63"/>
        <v>0.2810176797309244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-3.979039320256561E-13</v>
      </c>
      <c r="BZ120" s="13">
        <f>BY120*VLOOKUP('Données projet'!$B$12,Paramètres!$A$1:$I$89,3,0)*VLOOKUP('Données projet'!$B$12,Paramètres!$A$1:$I$89,5,0)</f>
        <v>-3.41401573678013E-13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237.27357081252273</v>
      </c>
      <c r="CE120" s="59">
        <f t="shared" si="94"/>
        <v>68.768479693848576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-3.4106051316484809E-13</v>
      </c>
      <c r="CU120" s="17">
        <f>CT120*VLOOKUP('Données projet'!$B$13,Paramètres!$A$1:$I$89,3,0)*VLOOKUP('Données projet'!$B$13,Paramètres!$A$1:$I$89,5,0)</f>
        <v>-1.9065282685915009E-13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474.03051418249999</v>
      </c>
      <c r="CZ120" s="59">
        <f t="shared" si="96"/>
        <v>649.52271992719091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0.97573771391816844</v>
      </c>
      <c r="DG120" s="21">
        <f>EXP(-LN(2)/25)*DG119+(1-EXP(-LN(2)/25))/(LN(2)/25)*Calculateur!DB120*Calculateur!DD120*VLOOKUP('Données projet'!$B$13,Paramètres!$A$1:$I$89,3,0)*0.475*44/12</f>
        <v>2.1682363287472022</v>
      </c>
      <c r="DH120" s="21">
        <f>EXP(-LN(2)/2)*DH119+(1-EXP(-LN(2)/2))/(LN(2)/2)*DB120*DE120*VLOOKUP('Données projet'!$B$13,Paramètres!$A$1:$I$89,3,0)*0.475*44/12</f>
        <v>9.4052150154517921E-13</v>
      </c>
      <c r="DI120" s="22">
        <f t="shared" si="69"/>
        <v>3.1439740426663114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-5.6843418860808015E-14</v>
      </c>
      <c r="DP120" s="17">
        <f>DO120*VLOOKUP('Données projet'!$B$14,Paramètres!$A$1:$I$89,3,0)*VLOOKUP('Données projet'!$B$14,Paramètres!$A$1:$I$89,5,0)</f>
        <v>-3.1036506698001178E-14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164.0740581424559</v>
      </c>
      <c r="DU120" s="59">
        <f t="shared" si="98"/>
        <v>280.99861170359793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1.1793461043804712</v>
      </c>
      <c r="EB120" s="21">
        <f>EXP(-LN(2)/25)*EB119+(1-EXP(-LN(2)/25))/(LN(2)/25)*Calculateur!DW120*Calculateur!DY120*VLOOKUP('Données projet'!$B$14,Paramètres!$A$1:$I$89,3,0)*0.475*44/12</f>
        <v>2.3209166590881187</v>
      </c>
      <c r="EC120" s="21">
        <f>EXP(-LN(2)/2)*EC119+(1-EXP(-LN(2)/2))/(LN(2)/2)*DW120*DZ120*VLOOKUP('Données projet'!$B$14,Paramètres!$A$1:$I$89,3,0)*0.475*44/12</f>
        <v>1.2201975407351369E-12</v>
      </c>
      <c r="ED120" s="22">
        <f t="shared" si="72"/>
        <v>3.5002627634698102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1.1368683772161603E-13</v>
      </c>
      <c r="EK120" s="17">
        <f>EJ120*VLOOKUP('Données projet'!$B$15,Paramètres!$A$1:$I$89,3,0)*VLOOKUP('Données projet'!$B$15,Paramètres!$A$1:$I$89,5,0)</f>
        <v>5.4683368944097308E-14</v>
      </c>
      <c r="EL120" s="13">
        <f t="shared" si="99"/>
        <v>8.8129432816788268E-13</v>
      </c>
      <c r="EM120" s="20">
        <f t="shared" si="73"/>
        <v>1.6301611558033651E-12</v>
      </c>
      <c r="EN120" s="59">
        <f t="shared" si="74"/>
        <v>293.33333333333496</v>
      </c>
      <c r="EO120" s="59">
        <f ca="1">AVERAGE(OFFSET($EN$3,0,0,'Données projet'!$E$15+1,1))-AVERAGE(OFFSET($H$3,0,0,'Données projet'!$E$15+1,1))</f>
        <v>312.1172301514103</v>
      </c>
      <c r="EP120" s="59">
        <f t="shared" si="100"/>
        <v>369.85500533493212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0.48244997343853852</v>
      </c>
      <c r="EW120" s="21">
        <f>EXP(-LN(2)/25)*EW119+(1-EXP(-LN(2)/25))/(LN(2)/25)*Calculateur!ER120*Calculateur!ET120*VLOOKUP('Données projet'!$B$15,Paramètres!$A$1:$I$89,3,0)*0.475*44/12</f>
        <v>1.3478754676059796</v>
      </c>
      <c r="EX120" s="21">
        <f>EXP(-LN(2)/2)*EX119+(1-EXP(-LN(2)/2))/(LN(2)/2)*ER120*EU120*VLOOKUP('Données projet'!$B$15,Paramètres!$A$1:$I$89,3,0)*0.475*44/12</f>
        <v>2.5464396525276491E-12</v>
      </c>
      <c r="EY120" s="22">
        <f t="shared" si="75"/>
        <v>1.8303254410470646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-7.9808160080574461E-14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87.187251664304199</v>
      </c>
      <c r="FK120" s="59">
        <f t="shared" si="102"/>
        <v>148.84938257884147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0.72268329260161379</v>
      </c>
      <c r="FS120" s="21">
        <f>EXP(-LN(2)/2)*FS119+(1-EXP(-LN(2)/2))/(LN(2)/2)*FM120*FP120*VLOOKUP('Données projet'!$B$16,Paramètres!$A$1:$I$89,3,0)*0.475*44/12</f>
        <v>4.8907904843969354E-13</v>
      </c>
      <c r="FT120" s="22">
        <f t="shared" si="78"/>
        <v>0.72268329260210284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-1.1368683772161603E-13</v>
      </c>
      <c r="GA120" s="17">
        <f>FZ120*VLOOKUP('Données projet'!$B$17,Paramètres!$A$1:$I$89,3,0)*VLOOKUP('Données projet'!$B$17,Paramètres!$A$1:$I$89,5,0)</f>
        <v>-6.7984728957526396E-14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282.94722676586207</v>
      </c>
      <c r="GF120" s="59">
        <f t="shared" si="104"/>
        <v>310.63647941571298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0.96052734462065659</v>
      </c>
      <c r="GN120" s="21">
        <f>EXP(-LN(2)/2)*GN119+(1-EXP(-LN(2)/2))/(LN(2)/2)*GH120*GK120*VLOOKUP('Données projet'!$B$17,Paramètres!$A$1:$I$89,3,0)*0.475*44/12</f>
        <v>2.0610250896987169E-12</v>
      </c>
      <c r="GO120" s="21">
        <f t="shared" si="81"/>
        <v>0.9605273446227176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-1.1368683772161603E-13</v>
      </c>
      <c r="GV120" s="17">
        <f>GU120*VLOOKUP('Données projet'!$B$18,Paramètres!$A$1:$I$89,3,0)*VLOOKUP('Données projet'!$B$18,Paramètres!$A$1:$I$89,5,0)</f>
        <v>-6.7984728957526396E-14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255.54398581450459</v>
      </c>
      <c r="HA120" s="59">
        <f t="shared" si="106"/>
        <v>276.52622328061204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</v>
      </c>
      <c r="HH120" s="21">
        <f>EXP(-LN(2)/25)*HH119+(1-EXP(-LN(2)/25))/(LN(2)/25)*Calculateur!HC120*Calculateur!HE120*VLOOKUP('Données projet'!$B$18,Paramètres!$A$1:$I$89,3,0)*0.475*44/12</f>
        <v>0.47927301372321435</v>
      </c>
      <c r="HI120" s="21">
        <f>EXP(-LN(2)/2)*HI119+(1-EXP(-LN(2)/2))/(LN(2)/2)*HC120*HF120*VLOOKUP('Données projet'!$B$18,Paramètres!$A$1:$I$89,3,0)*0.475*44/12</f>
        <v>1.1951460599855452E-12</v>
      </c>
      <c r="HJ120" s="22">
        <f t="shared" si="84"/>
        <v>0.4792730137244095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4.9658410716801891E-14</v>
      </c>
      <c r="P121" s="13">
        <f t="shared" si="87"/>
        <v>8.0934058173791862E-13</v>
      </c>
      <c r="Q121" s="20">
        <f t="shared" si="107"/>
        <v>1.4960899118586383E-12</v>
      </c>
      <c r="R121" s="59">
        <f t="shared" si="55"/>
        <v>293.33333333333479</v>
      </c>
      <c r="S121" s="59">
        <f ca="1">AVERAGE(OFFSET($R$3,0,0,'Données projet'!$E$9+1,1))-AVERAGE(OFFSET($H$3,0,0,'Données projet'!$E$9+1,1))</f>
        <v>248.50221719467663</v>
      </c>
      <c r="T121" s="59">
        <f t="shared" si="88"/>
        <v>366.09064580347183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1.3818718919583401</v>
      </c>
      <c r="AA121" s="21">
        <f>EXP(-LN(2)/25)*AA120+(1-EXP(-LN(2)/25))/(LN(2)/25)*Calculateur!V121*Calculateur!X121*VLOOKUP('Données projet'!$B$9,Paramètres!$A$1:$I$89,3,0)*0.475*44/12</f>
        <v>2.0982085559380672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3.4800804478964071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263.22346936777603</v>
      </c>
      <c r="AO121" s="59">
        <f t="shared" si="90"/>
        <v>217.14714468707939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0.63428189670320423</v>
      </c>
      <c r="AW121" s="21">
        <f>EXP(-LN(2)/2)*AW120+(1-EXP(-LN(2)/2))/(LN(2)/2)*AQ121*AT121*VLOOKUP('Données projet'!$B$10,Paramètres!$A$1:$I$89,3,0)*0.475*44/12</f>
        <v>1.0146982529955275E-12</v>
      </c>
      <c r="AX121" s="21">
        <f t="shared" si="60"/>
        <v>0.63428189670421897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4.4337866711430253E-14</v>
      </c>
      <c r="BF121" s="13">
        <f t="shared" si="91"/>
        <v>7.3222115536967035E-13</v>
      </c>
      <c r="BG121" s="20">
        <f t="shared" si="61"/>
        <v>1.3525069634579169E-12</v>
      </c>
      <c r="BH121" s="59">
        <f t="shared" si="62"/>
        <v>293.33333333333468</v>
      </c>
      <c r="BI121" s="59">
        <f ca="1">AVERAGE(OFFSET($BH$3,0,0,'Données projet'!$E$11+1,1))-AVERAGE(OFFSET($H$3,0,0,'Données projet'!$E$11+1,1))</f>
        <v>219.22204054948094</v>
      </c>
      <c r="BJ121" s="59">
        <f t="shared" si="92"/>
        <v>222.41711966122034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0.27333323650034907</v>
      </c>
      <c r="BR121" s="21">
        <f>EXP(-LN(2)/2)*BR120+(1-EXP(-LN(2)/2))/(LN(2)/2)*BL121*BO121*VLOOKUP('Données projet'!$B$11,Paramètres!$A$1:$I$89,3,0)*0.475*44/12</f>
        <v>1.8588408672329606E-13</v>
      </c>
      <c r="BS121" s="22">
        <f t="shared" si="63"/>
        <v>0.27333323650053498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-3.979039320256561E-13</v>
      </c>
      <c r="BZ121" s="13">
        <f>BY121*VLOOKUP('Données projet'!$B$12,Paramètres!$A$1:$I$89,3,0)*VLOOKUP('Données projet'!$B$12,Paramètres!$A$1:$I$89,5,0)</f>
        <v>-3.41401573678013E-13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237.27357081252273</v>
      </c>
      <c r="CE121" s="59">
        <f t="shared" si="94"/>
        <v>68.768479693848576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-3.4106051316484809E-13</v>
      </c>
      <c r="CU121" s="17">
        <f>CT121*VLOOKUP('Données projet'!$B$13,Paramètres!$A$1:$I$89,3,0)*VLOOKUP('Données projet'!$B$13,Paramètres!$A$1:$I$89,5,0)</f>
        <v>-1.9065282685915009E-13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474.03051418249999</v>
      </c>
      <c r="CZ121" s="59">
        <f t="shared" si="96"/>
        <v>649.52271992719091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0.95660409248947331</v>
      </c>
      <c r="DG121" s="21">
        <f>EXP(-LN(2)/25)*DG120+(1-EXP(-LN(2)/25))/(LN(2)/25)*Calculateur!DB121*Calculateur!DD121*VLOOKUP('Données projet'!$B$13,Paramètres!$A$1:$I$89,3,0)*0.475*44/12</f>
        <v>2.108945792315017</v>
      </c>
      <c r="DH121" s="21">
        <f>EXP(-LN(2)/2)*DH120+(1-EXP(-LN(2)/2))/(LN(2)/2)*DB121*DE121*VLOOKUP('Données projet'!$B$13,Paramètres!$A$1:$I$89,3,0)*0.475*44/12</f>
        <v>6.6504913159435016E-13</v>
      </c>
      <c r="DI121" s="22">
        <f t="shared" si="69"/>
        <v>3.0655498848051557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-5.6843418860808015E-14</v>
      </c>
      <c r="DP121" s="17">
        <f>DO121*VLOOKUP('Données projet'!$B$14,Paramètres!$A$1:$I$89,3,0)*VLOOKUP('Données projet'!$B$14,Paramètres!$A$1:$I$89,5,0)</f>
        <v>-3.1036506698001178E-14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164.0740581424559</v>
      </c>
      <c r="DU121" s="59">
        <f t="shared" si="98"/>
        <v>280.99861170359793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1.1562198466036659</v>
      </c>
      <c r="EB121" s="21">
        <f>EXP(-LN(2)/25)*EB120+(1-EXP(-LN(2)/25))/(LN(2)/25)*Calculateur!DW121*Calculateur!DY121*VLOOKUP('Données projet'!$B$14,Paramètres!$A$1:$I$89,3,0)*0.475*44/12</f>
        <v>2.2574510709936515</v>
      </c>
      <c r="EC121" s="21">
        <f>EXP(-LN(2)/2)*EC120+(1-EXP(-LN(2)/2))/(LN(2)/2)*DW121*DZ121*VLOOKUP('Données projet'!$B$14,Paramètres!$A$1:$I$89,3,0)*0.475*44/12</f>
        <v>8.6280995544096386E-13</v>
      </c>
      <c r="ED121" s="22">
        <f t="shared" si="72"/>
        <v>3.4136709175981803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1.1368683772161603E-13</v>
      </c>
      <c r="EK121" s="17">
        <f>EJ121*VLOOKUP('Données projet'!$B$15,Paramètres!$A$1:$I$89,3,0)*VLOOKUP('Données projet'!$B$15,Paramètres!$A$1:$I$89,5,0)</f>
        <v>5.4683368944097308E-14</v>
      </c>
      <c r="EL121" s="13">
        <f t="shared" si="99"/>
        <v>8.8129432816788268E-13</v>
      </c>
      <c r="EM121" s="20">
        <f t="shared" si="73"/>
        <v>1.6301611558033651E-12</v>
      </c>
      <c r="EN121" s="59">
        <f t="shared" si="74"/>
        <v>293.33333333333496</v>
      </c>
      <c r="EO121" s="59">
        <f ca="1">AVERAGE(OFFSET($EN$3,0,0,'Données projet'!$E$15+1,1))-AVERAGE(OFFSET($H$3,0,0,'Données projet'!$E$15+1,1))</f>
        <v>312.1172301514103</v>
      </c>
      <c r="EP121" s="59">
        <f t="shared" si="100"/>
        <v>369.85500533493212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0.47298942372483627</v>
      </c>
      <c r="EW121" s="21">
        <f>EXP(-LN(2)/25)*EW120+(1-EXP(-LN(2)/25))/(LN(2)/25)*Calculateur!ER121*Calculateur!ET121*VLOOKUP('Données projet'!$B$15,Paramètres!$A$1:$I$89,3,0)*0.475*44/12</f>
        <v>1.3110177420626039</v>
      </c>
      <c r="EX121" s="21">
        <f>EXP(-LN(2)/2)*EX120+(1-EXP(-LN(2)/2))/(LN(2)/2)*ER121*EU121*VLOOKUP('Données projet'!$B$15,Paramètres!$A$1:$I$89,3,0)*0.475*44/12</f>
        <v>1.8006047461846166E-12</v>
      </c>
      <c r="EY121" s="22">
        <f t="shared" si="75"/>
        <v>1.7840071657892407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-7.9808160080574461E-14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87.187251664304199</v>
      </c>
      <c r="FK121" s="59">
        <f t="shared" si="102"/>
        <v>148.84938257884147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0.70292147996116006</v>
      </c>
      <c r="FS121" s="21">
        <f>EXP(-LN(2)/2)*FS120+(1-EXP(-LN(2)/2))/(LN(2)/2)*FM121*FP121*VLOOKUP('Données projet'!$B$16,Paramètres!$A$1:$I$89,3,0)*0.475*44/12</f>
        <v>3.4583111168797126E-13</v>
      </c>
      <c r="FT121" s="22">
        <f t="shared" si="78"/>
        <v>0.70292147996150589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-1.1368683772161603E-13</v>
      </c>
      <c r="GA121" s="17">
        <f>FZ121*VLOOKUP('Données projet'!$B$17,Paramètres!$A$1:$I$89,3,0)*VLOOKUP('Données projet'!$B$17,Paramètres!$A$1:$I$89,5,0)</f>
        <v>-6.7984728957526396E-14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282.94722676586207</v>
      </c>
      <c r="GF121" s="59">
        <f t="shared" si="104"/>
        <v>310.63647941571298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0.93426167387006698</v>
      </c>
      <c r="GN121" s="21">
        <f>EXP(-LN(2)/2)*GN120+(1-EXP(-LN(2)/2))/(LN(2)/2)*GH121*GK121*VLOOKUP('Données projet'!$B$17,Paramètres!$A$1:$I$89,3,0)*0.475*44/12</f>
        <v>1.4573648171215751E-12</v>
      </c>
      <c r="GO121" s="21">
        <f t="shared" si="81"/>
        <v>0.93426167387152437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-1.1368683772161603E-13</v>
      </c>
      <c r="GV121" s="17">
        <f>GU121*VLOOKUP('Données projet'!$B$18,Paramètres!$A$1:$I$89,3,0)*VLOOKUP('Données projet'!$B$18,Paramètres!$A$1:$I$89,5,0)</f>
        <v>-6.7984728957526396E-14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255.54398581450459</v>
      </c>
      <c r="HA121" s="59">
        <f t="shared" si="106"/>
        <v>276.52622328061204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</v>
      </c>
      <c r="HH121" s="21">
        <f>EXP(-LN(2)/25)*HH120+(1-EXP(-LN(2)/25))/(LN(2)/25)*Calculateur!HC121*Calculateur!HE121*VLOOKUP('Données projet'!$B$18,Paramètres!$A$1:$I$89,3,0)*0.475*44/12</f>
        <v>0.46616726795908064</v>
      </c>
      <c r="HI121" s="21">
        <f>EXP(-LN(2)/2)*HI120+(1-EXP(-LN(2)/2))/(LN(2)/2)*HC121*HF121*VLOOKUP('Données projet'!$B$18,Paramètres!$A$1:$I$89,3,0)*0.475*44/12</f>
        <v>8.4509588352416331E-13</v>
      </c>
      <c r="HJ121" s="22">
        <f t="shared" si="84"/>
        <v>0.46616726795992575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4.9658410716801891E-14</v>
      </c>
      <c r="P122" s="13">
        <f t="shared" si="87"/>
        <v>8.0934058173791862E-13</v>
      </c>
      <c r="Q122" s="20">
        <f t="shared" si="107"/>
        <v>1.4960899118586383E-12</v>
      </c>
      <c r="R122" s="59">
        <f t="shared" si="55"/>
        <v>293.33333333333479</v>
      </c>
      <c r="S122" s="59">
        <f ca="1">AVERAGE(OFFSET($R$3,0,0,'Données projet'!$E$9+1,1))-AVERAGE(OFFSET($H$3,0,0,'Données projet'!$E$9+1,1))</f>
        <v>248.50221719467663</v>
      </c>
      <c r="T122" s="59">
        <f t="shared" si="88"/>
        <v>366.09064580347183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1.3547742270156657</v>
      </c>
      <c r="AA122" s="21">
        <f>EXP(-LN(2)/25)*AA121+(1-EXP(-LN(2)/25))/(LN(2)/25)*Calculateur!V122*Calculateur!X122*VLOOKUP('Données projet'!$B$9,Paramètres!$A$1:$I$89,3,0)*0.475*44/12</f>
        <v>2.0408329326359484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3.3956071596516142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263.22346936777603</v>
      </c>
      <c r="AO122" s="59">
        <f t="shared" si="90"/>
        <v>217.14714468707939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0.61693742488241987</v>
      </c>
      <c r="AW122" s="21">
        <f>EXP(-LN(2)/2)*AW121+(1-EXP(-LN(2)/2))/(LN(2)/2)*AQ122*AT122*VLOOKUP('Données projet'!$B$10,Paramètres!$A$1:$I$89,3,0)*0.475*44/12</f>
        <v>7.1750001555128049E-13</v>
      </c>
      <c r="AX122" s="21">
        <f t="shared" si="60"/>
        <v>0.61693742488313741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4.4337866711430253E-14</v>
      </c>
      <c r="BF122" s="13">
        <f t="shared" si="91"/>
        <v>7.3222115536967035E-13</v>
      </c>
      <c r="BG122" s="20">
        <f t="shared" si="61"/>
        <v>1.3525069634579169E-12</v>
      </c>
      <c r="BH122" s="59">
        <f t="shared" si="62"/>
        <v>293.33333333333468</v>
      </c>
      <c r="BI122" s="59">
        <f ca="1">AVERAGE(OFFSET($BH$3,0,0,'Données projet'!$E$11+1,1))-AVERAGE(OFFSET($H$3,0,0,'Données projet'!$E$11+1,1))</f>
        <v>219.22204054948094</v>
      </c>
      <c r="BJ122" s="59">
        <f t="shared" si="92"/>
        <v>222.41711966122034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0.26585892477427681</v>
      </c>
      <c r="BR122" s="21">
        <f>EXP(-LN(2)/2)*BR121+(1-EXP(-LN(2)/2))/(LN(2)/2)*BL122*BO122*VLOOKUP('Données projet'!$B$11,Paramètres!$A$1:$I$89,3,0)*0.475*44/12</f>
        <v>1.3143989823671093E-13</v>
      </c>
      <c r="BS122" s="22">
        <f t="shared" si="63"/>
        <v>0.26585892477440826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-3.979039320256561E-13</v>
      </c>
      <c r="BZ122" s="13">
        <f>BY122*VLOOKUP('Données projet'!$B$12,Paramètres!$A$1:$I$89,3,0)*VLOOKUP('Données projet'!$B$12,Paramètres!$A$1:$I$89,5,0)</f>
        <v>-3.41401573678013E-13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237.27357081252273</v>
      </c>
      <c r="CE122" s="59">
        <f t="shared" si="94"/>
        <v>68.768479693848576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-3.4106051316484809E-13</v>
      </c>
      <c r="CU122" s="17">
        <f>CT122*VLOOKUP('Données projet'!$B$13,Paramètres!$A$1:$I$89,3,0)*VLOOKUP('Données projet'!$B$13,Paramètres!$A$1:$I$89,5,0)</f>
        <v>-1.9065282685915009E-13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474.03051418249999</v>
      </c>
      <c r="CZ122" s="59">
        <f t="shared" si="96"/>
        <v>649.52271992719091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0.93784566970663819</v>
      </c>
      <c r="DG122" s="21">
        <f>EXP(-LN(2)/25)*DG121+(1-EXP(-LN(2)/25))/(LN(2)/25)*Calculateur!DB122*Calculateur!DD122*VLOOKUP('Données projet'!$B$13,Paramètres!$A$1:$I$89,3,0)*0.475*44/12</f>
        <v>2.0512765587195236</v>
      </c>
      <c r="DH122" s="21">
        <f>EXP(-LN(2)/2)*DH121+(1-EXP(-LN(2)/2))/(LN(2)/2)*DB122*DE122*VLOOKUP('Données projet'!$B$13,Paramètres!$A$1:$I$89,3,0)*0.475*44/12</f>
        <v>4.7026075077258961E-13</v>
      </c>
      <c r="DI122" s="22">
        <f t="shared" si="69"/>
        <v>2.9891222284266319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-5.6843418860808015E-14</v>
      </c>
      <c r="DP122" s="17">
        <f>DO122*VLOOKUP('Données projet'!$B$14,Paramètres!$A$1:$I$89,3,0)*VLOOKUP('Données projet'!$B$14,Paramètres!$A$1:$I$89,5,0)</f>
        <v>-3.1036506698001178E-14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164.0740581424559</v>
      </c>
      <c r="DU122" s="59">
        <f t="shared" si="98"/>
        <v>280.99861170359793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1.1335470806362393</v>
      </c>
      <c r="EB122" s="21">
        <f>EXP(-LN(2)/25)*EB121+(1-EXP(-LN(2)/25))/(LN(2)/25)*Calculateur!DW122*Calculateur!DY122*VLOOKUP('Données projet'!$B$14,Paramètres!$A$1:$I$89,3,0)*0.475*44/12</f>
        <v>2.1957209527431378</v>
      </c>
      <c r="EC122" s="21">
        <f>EXP(-LN(2)/2)*EC121+(1-EXP(-LN(2)/2))/(LN(2)/2)*DW122*DZ122*VLOOKUP('Données projet'!$B$14,Paramètres!$A$1:$I$89,3,0)*0.475*44/12</f>
        <v>6.1009877036756844E-13</v>
      </c>
      <c r="ED122" s="22">
        <f t="shared" si="72"/>
        <v>3.3292680333799876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1.1368683772161603E-13</v>
      </c>
      <c r="EK122" s="17">
        <f>EJ122*VLOOKUP('Données projet'!$B$15,Paramètres!$A$1:$I$89,3,0)*VLOOKUP('Données projet'!$B$15,Paramètres!$A$1:$I$89,5,0)</f>
        <v>5.4683368944097308E-14</v>
      </c>
      <c r="EL122" s="13">
        <f t="shared" si="99"/>
        <v>8.8129432816788268E-13</v>
      </c>
      <c r="EM122" s="20">
        <f t="shared" si="73"/>
        <v>1.6301611558033651E-12</v>
      </c>
      <c r="EN122" s="59">
        <f t="shared" si="74"/>
        <v>293.33333333333496</v>
      </c>
      <c r="EO122" s="59">
        <f ca="1">AVERAGE(OFFSET($EN$3,0,0,'Données projet'!$E$15+1,1))-AVERAGE(OFFSET($H$3,0,0,'Données projet'!$E$15+1,1))</f>
        <v>312.1172301514103</v>
      </c>
      <c r="EP122" s="59">
        <f t="shared" si="100"/>
        <v>369.85500533493212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0.4637143896206542</v>
      </c>
      <c r="EW122" s="21">
        <f>EXP(-LN(2)/25)*EW121+(1-EXP(-LN(2)/25))/(LN(2)/25)*Calculateur!ER122*Calculateur!ET122*VLOOKUP('Données projet'!$B$15,Paramètres!$A$1:$I$89,3,0)*0.475*44/12</f>
        <v>1.2751678929624752</v>
      </c>
      <c r="EX122" s="21">
        <f>EXP(-LN(2)/2)*EX121+(1-EXP(-LN(2)/2))/(LN(2)/2)*ER122*EU122*VLOOKUP('Données projet'!$B$15,Paramètres!$A$1:$I$89,3,0)*0.475*44/12</f>
        <v>1.2732198262638247E-12</v>
      </c>
      <c r="EY122" s="22">
        <f t="shared" si="75"/>
        <v>1.7388822825844026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-7.9808160080574461E-14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87.187251664304199</v>
      </c>
      <c r="FK122" s="59">
        <f t="shared" si="102"/>
        <v>148.84938257884147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0.68370005512658805</v>
      </c>
      <c r="FS122" s="21">
        <f>EXP(-LN(2)/2)*FS121+(1-EXP(-LN(2)/2))/(LN(2)/2)*FM122*FP122*VLOOKUP('Données projet'!$B$16,Paramètres!$A$1:$I$89,3,0)*0.475*44/12</f>
        <v>2.4453952421984677E-13</v>
      </c>
      <c r="FT122" s="22">
        <f t="shared" si="78"/>
        <v>0.68370005512683263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-1.1368683772161603E-13</v>
      </c>
      <c r="GA122" s="17">
        <f>FZ122*VLOOKUP('Données projet'!$B$17,Paramètres!$A$1:$I$89,3,0)*VLOOKUP('Données projet'!$B$17,Paramètres!$A$1:$I$89,5,0)</f>
        <v>-6.7984728957526396E-14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282.94722676586207</v>
      </c>
      <c r="GF122" s="59">
        <f t="shared" si="104"/>
        <v>310.63647941571298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0.9087142392674038</v>
      </c>
      <c r="GN122" s="21">
        <f>EXP(-LN(2)/2)*GN121+(1-EXP(-LN(2)/2))/(LN(2)/2)*GH122*GK122*VLOOKUP('Données projet'!$B$17,Paramètres!$A$1:$I$89,3,0)*0.475*44/12</f>
        <v>1.0305125448493584E-12</v>
      </c>
      <c r="GO122" s="21">
        <f t="shared" si="81"/>
        <v>0.90871423926843431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-1.1368683772161603E-13</v>
      </c>
      <c r="GV122" s="17">
        <f>GU122*VLOOKUP('Données projet'!$B$18,Paramètres!$A$1:$I$89,3,0)*VLOOKUP('Données projet'!$B$18,Paramètres!$A$1:$I$89,5,0)</f>
        <v>-6.7984728957526396E-14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255.54398581450459</v>
      </c>
      <c r="HA122" s="59">
        <f t="shared" si="106"/>
        <v>276.52622328061204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</v>
      </c>
      <c r="HH122" s="21">
        <f>EXP(-LN(2)/25)*HH121+(1-EXP(-LN(2)/25))/(LN(2)/25)*Calculateur!HC122*Calculateur!HE122*VLOOKUP('Données projet'!$B$18,Paramètres!$A$1:$I$89,3,0)*0.475*44/12</f>
        <v>0.4534198995020684</v>
      </c>
      <c r="HI122" s="21">
        <f>EXP(-LN(2)/2)*HI121+(1-EXP(-LN(2)/2))/(LN(2)/2)*HC122*HF122*VLOOKUP('Données projet'!$B$18,Paramètres!$A$1:$I$89,3,0)*0.475*44/12</f>
        <v>5.9757302999277259E-13</v>
      </c>
      <c r="HJ122" s="22">
        <f t="shared" si="84"/>
        <v>0.45341989950266598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4.9658410716801891E-14</v>
      </c>
      <c r="P123" s="13">
        <f t="shared" si="87"/>
        <v>8.0934058173791862E-13</v>
      </c>
      <c r="Q123" s="20">
        <f t="shared" si="107"/>
        <v>1.4960899118586383E-12</v>
      </c>
      <c r="R123" s="59">
        <f t="shared" si="55"/>
        <v>293.33333333333479</v>
      </c>
      <c r="S123" s="59">
        <f ca="1">AVERAGE(OFFSET($R$3,0,0,'Données projet'!$E$9+1,1))-AVERAGE(OFFSET($H$3,0,0,'Données projet'!$E$9+1,1))</f>
        <v>248.50221719467663</v>
      </c>
      <c r="T123" s="59">
        <f t="shared" si="88"/>
        <v>366.09064580347183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1.3282079307545736</v>
      </c>
      <c r="AA123" s="21">
        <f>EXP(-LN(2)/25)*AA122+(1-EXP(-LN(2)/25))/(LN(2)/25)*Calculateur!V123*Calculateur!X123*VLOOKUP('Données projet'!$B$9,Paramètres!$A$1:$I$89,3,0)*0.475*44/12</f>
        <v>1.985026248770279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3.3132341795248523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263.22346936777603</v>
      </c>
      <c r="AO123" s="59">
        <f t="shared" si="90"/>
        <v>217.14714468707939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0.600067238555681</v>
      </c>
      <c r="AW123" s="21">
        <f>EXP(-LN(2)/2)*AW122+(1-EXP(-LN(2)/2))/(LN(2)/2)*AQ123*AT123*VLOOKUP('Données projet'!$B$10,Paramètres!$A$1:$I$89,3,0)*0.475*44/12</f>
        <v>5.0734912649776373E-13</v>
      </c>
      <c r="AX123" s="21">
        <f t="shared" si="60"/>
        <v>0.60006723855618838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4.4337866711430253E-14</v>
      </c>
      <c r="BF123" s="13">
        <f t="shared" si="91"/>
        <v>7.3222115536967035E-13</v>
      </c>
      <c r="BG123" s="20">
        <f t="shared" si="61"/>
        <v>1.3525069634579169E-12</v>
      </c>
      <c r="BH123" s="59">
        <f t="shared" si="62"/>
        <v>293.33333333333468</v>
      </c>
      <c r="BI123" s="59">
        <f ca="1">AVERAGE(OFFSET($BH$3,0,0,'Données projet'!$E$11+1,1))-AVERAGE(OFFSET($H$3,0,0,'Données projet'!$E$11+1,1))</f>
        <v>219.22204054948094</v>
      </c>
      <c r="BJ123" s="59">
        <f t="shared" si="92"/>
        <v>222.41711966122034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0.258588998495411</v>
      </c>
      <c r="BR123" s="21">
        <f>EXP(-LN(2)/2)*BR122+(1-EXP(-LN(2)/2))/(LN(2)/2)*BL123*BO123*VLOOKUP('Données projet'!$B$11,Paramètres!$A$1:$I$89,3,0)*0.475*44/12</f>
        <v>9.2942043361648029E-14</v>
      </c>
      <c r="BS123" s="22">
        <f t="shared" si="63"/>
        <v>0.25858899849550393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-3.979039320256561E-13</v>
      </c>
      <c r="BZ123" s="13">
        <f>BY123*VLOOKUP('Données projet'!$B$12,Paramètres!$A$1:$I$89,3,0)*VLOOKUP('Données projet'!$B$12,Paramètres!$A$1:$I$89,5,0)</f>
        <v>-3.41401573678013E-13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237.27357081252273</v>
      </c>
      <c r="CE123" s="59">
        <f t="shared" si="94"/>
        <v>68.768479693848576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-3.4106051316484809E-13</v>
      </c>
      <c r="CU123" s="17">
        <f>CT123*VLOOKUP('Données projet'!$B$13,Paramètres!$A$1:$I$89,3,0)*VLOOKUP('Données projet'!$B$13,Paramètres!$A$1:$I$89,5,0)</f>
        <v>-1.9065282685915009E-13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474.03051418249999</v>
      </c>
      <c r="CZ123" s="59">
        <f t="shared" si="96"/>
        <v>649.52271992719091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0.91945508815306631</v>
      </c>
      <c r="DG123" s="21">
        <f>EXP(-LN(2)/25)*DG122+(1-EXP(-LN(2)/25))/(LN(2)/25)*Calculateur!DB123*Calculateur!DD123*VLOOKUP('Données projet'!$B$13,Paramètres!$A$1:$I$89,3,0)*0.475*44/12</f>
        <v>1.9951842933493924</v>
      </c>
      <c r="DH123" s="21">
        <f>EXP(-LN(2)/2)*DH122+(1-EXP(-LN(2)/2))/(LN(2)/2)*DB123*DE123*VLOOKUP('Données projet'!$B$13,Paramètres!$A$1:$I$89,3,0)*0.475*44/12</f>
        <v>3.3252456579717508E-13</v>
      </c>
      <c r="DI123" s="22">
        <f t="shared" si="69"/>
        <v>2.9146393815027913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-5.6843418860808015E-14</v>
      </c>
      <c r="DP123" s="17">
        <f>DO123*VLOOKUP('Données projet'!$B$14,Paramètres!$A$1:$I$89,3,0)*VLOOKUP('Données projet'!$B$14,Paramètres!$A$1:$I$89,5,0)</f>
        <v>-3.1036506698001178E-14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164.0740581424559</v>
      </c>
      <c r="DU123" s="59">
        <f t="shared" si="98"/>
        <v>280.99861170359793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1.1113189137804123</v>
      </c>
      <c r="EB123" s="21">
        <f>EXP(-LN(2)/25)*EB122+(1-EXP(-LN(2)/25))/(LN(2)/25)*Calculateur!DW123*Calculateur!DY123*VLOOKUP('Données projet'!$B$14,Paramètres!$A$1:$I$89,3,0)*0.475*44/12</f>
        <v>2.13567884782243</v>
      </c>
      <c r="EC123" s="21">
        <f>EXP(-LN(2)/2)*EC122+(1-EXP(-LN(2)/2))/(LN(2)/2)*DW123*DZ123*VLOOKUP('Données projet'!$B$14,Paramètres!$A$1:$I$89,3,0)*0.475*44/12</f>
        <v>4.3140497772048193E-13</v>
      </c>
      <c r="ED123" s="22">
        <f t="shared" si="72"/>
        <v>3.2469977616032737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1.1368683772161603E-13</v>
      </c>
      <c r="EK123" s="17">
        <f>EJ123*VLOOKUP('Données projet'!$B$15,Paramètres!$A$1:$I$89,3,0)*VLOOKUP('Données projet'!$B$15,Paramètres!$A$1:$I$89,5,0)</f>
        <v>5.4683368944097308E-14</v>
      </c>
      <c r="EL123" s="13">
        <f t="shared" si="99"/>
        <v>8.8129432816788268E-13</v>
      </c>
      <c r="EM123" s="20">
        <f t="shared" si="73"/>
        <v>1.6301611558033651E-12</v>
      </c>
      <c r="EN123" s="59">
        <f t="shared" si="74"/>
        <v>293.33333333333496</v>
      </c>
      <c r="EO123" s="59">
        <f ca="1">AVERAGE(OFFSET($EN$3,0,0,'Données projet'!$E$15+1,1))-AVERAGE(OFFSET($H$3,0,0,'Données projet'!$E$15+1,1))</f>
        <v>312.1172301514103</v>
      </c>
      <c r="EP123" s="59">
        <f t="shared" si="100"/>
        <v>369.85500533493212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0.45462123327804294</v>
      </c>
      <c r="EW123" s="21">
        <f>EXP(-LN(2)/25)*EW122+(1-EXP(-LN(2)/25))/(LN(2)/25)*Calculateur!ER123*Calculateur!ET123*VLOOKUP('Données projet'!$B$15,Paramètres!$A$1:$I$89,3,0)*0.475*44/12</f>
        <v>1.2402983598712514</v>
      </c>
      <c r="EX123" s="21">
        <f>EXP(-LN(2)/2)*EX122+(1-EXP(-LN(2)/2))/(LN(2)/2)*ER123*EU123*VLOOKUP('Données projet'!$B$15,Paramètres!$A$1:$I$89,3,0)*0.475*44/12</f>
        <v>9.0030237309230842E-13</v>
      </c>
      <c r="EY123" s="22">
        <f t="shared" si="75"/>
        <v>1.6949195931501946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-7.9808160080574461E-14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87.187251664304199</v>
      </c>
      <c r="FK123" s="59">
        <f t="shared" si="102"/>
        <v>148.84938257884147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0.66500424116492818</v>
      </c>
      <c r="FS123" s="21">
        <f>EXP(-LN(2)/2)*FS122+(1-EXP(-LN(2)/2))/(LN(2)/2)*FM123*FP123*VLOOKUP('Données projet'!$B$16,Paramètres!$A$1:$I$89,3,0)*0.475*44/12</f>
        <v>1.7291555584398563E-13</v>
      </c>
      <c r="FT123" s="22">
        <f t="shared" si="78"/>
        <v>0.66500424116510104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-1.1368683772161603E-13</v>
      </c>
      <c r="GA123" s="17">
        <f>FZ123*VLOOKUP('Données projet'!$B$17,Paramètres!$A$1:$I$89,3,0)*VLOOKUP('Données projet'!$B$17,Paramètres!$A$1:$I$89,5,0)</f>
        <v>-6.7984728957526396E-14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282.94722676586207</v>
      </c>
      <c r="GF123" s="59">
        <f t="shared" si="104"/>
        <v>310.63647941571298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0.88386540060743168</v>
      </c>
      <c r="GN123" s="21">
        <f>EXP(-LN(2)/2)*GN122+(1-EXP(-LN(2)/2))/(LN(2)/2)*GH123*GK123*VLOOKUP('Données projet'!$B$17,Paramètres!$A$1:$I$89,3,0)*0.475*44/12</f>
        <v>7.2868240856078756E-13</v>
      </c>
      <c r="GO123" s="21">
        <f t="shared" si="81"/>
        <v>0.88386540060816032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-1.1368683772161603E-13</v>
      </c>
      <c r="GV123" s="17">
        <f>GU123*VLOOKUP('Données projet'!$B$18,Paramètres!$A$1:$I$89,3,0)*VLOOKUP('Données projet'!$B$18,Paramètres!$A$1:$I$89,5,0)</f>
        <v>-6.7984728957526396E-14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255.54398581450459</v>
      </c>
      <c r="HA123" s="59">
        <f t="shared" si="106"/>
        <v>276.52622328061204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</v>
      </c>
      <c r="HH123" s="21">
        <f>EXP(-LN(2)/25)*HH122+(1-EXP(-LN(2)/25))/(LN(2)/25)*Calculateur!HC123*Calculateur!HE123*VLOOKUP('Données projet'!$B$18,Paramètres!$A$1:$I$89,3,0)*0.475*44/12</f>
        <v>0.44102110850586812</v>
      </c>
      <c r="HI123" s="21">
        <f>EXP(-LN(2)/2)*HI122+(1-EXP(-LN(2)/2))/(LN(2)/2)*HC123*HF123*VLOOKUP('Données projet'!$B$18,Paramètres!$A$1:$I$89,3,0)*0.475*44/12</f>
        <v>4.2254794176208165E-13</v>
      </c>
      <c r="HJ123" s="22">
        <f t="shared" si="84"/>
        <v>0.44102110850629067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4.9658410716801891E-14</v>
      </c>
      <c r="P124" s="13">
        <f t="shared" si="87"/>
        <v>8.0934058173791862E-13</v>
      </c>
      <c r="Q124" s="20">
        <f t="shared" si="107"/>
        <v>1.4960899118586383E-12</v>
      </c>
      <c r="R124" s="59">
        <f t="shared" si="55"/>
        <v>293.33333333333479</v>
      </c>
      <c r="S124" s="59">
        <f ca="1">AVERAGE(OFFSET($R$3,0,0,'Données projet'!$E$9+1,1))-AVERAGE(OFFSET($H$3,0,0,'Données projet'!$E$9+1,1))</f>
        <v>248.50221719467663</v>
      </c>
      <c r="T124" s="59">
        <f t="shared" si="88"/>
        <v>366.09064580347183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1.3021625833593207</v>
      </c>
      <c r="AA124" s="21">
        <f>EXP(-LN(2)/25)*AA123+(1-EXP(-LN(2)/25))/(LN(2)/25)*Calculateur!V124*Calculateur!X124*VLOOKUP('Données projet'!$B$9,Paramètres!$A$1:$I$89,3,0)*0.475*44/12</f>
        <v>1.9307456016096622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3.2329081849689829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263.22346936777603</v>
      </c>
      <c r="AO124" s="59">
        <f t="shared" si="90"/>
        <v>217.14714468707939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0.58365836836121132</v>
      </c>
      <c r="AW124" s="21">
        <f>EXP(-LN(2)/2)*AW123+(1-EXP(-LN(2)/2))/(LN(2)/2)*AQ124*AT124*VLOOKUP('Données projet'!$B$10,Paramètres!$A$1:$I$89,3,0)*0.475*44/12</f>
        <v>3.5875000777564024E-13</v>
      </c>
      <c r="AX124" s="21">
        <f t="shared" si="60"/>
        <v>0.58365836836157003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4.4337866711430253E-14</v>
      </c>
      <c r="BF124" s="13">
        <f t="shared" si="91"/>
        <v>7.3222115536967035E-13</v>
      </c>
      <c r="BG124" s="20">
        <f t="shared" si="61"/>
        <v>1.3525069634579169E-12</v>
      </c>
      <c r="BH124" s="59">
        <f t="shared" si="62"/>
        <v>293.33333333333468</v>
      </c>
      <c r="BI124" s="59">
        <f ca="1">AVERAGE(OFFSET($BH$3,0,0,'Données projet'!$E$11+1,1))-AVERAGE(OFFSET($H$3,0,0,'Données projet'!$E$11+1,1))</f>
        <v>219.22204054948094</v>
      </c>
      <c r="BJ124" s="59">
        <f t="shared" si="92"/>
        <v>222.41711966122034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0.25151786873294957</v>
      </c>
      <c r="BR124" s="21">
        <f>EXP(-LN(2)/2)*BR123+(1-EXP(-LN(2)/2))/(LN(2)/2)*BL124*BO124*VLOOKUP('Données projet'!$B$11,Paramètres!$A$1:$I$89,3,0)*0.475*44/12</f>
        <v>6.5719949118355464E-14</v>
      </c>
      <c r="BS124" s="22">
        <f t="shared" si="63"/>
        <v>0.25151786873301529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-3.979039320256561E-13</v>
      </c>
      <c r="BZ124" s="13">
        <f>BY124*VLOOKUP('Données projet'!$B$12,Paramètres!$A$1:$I$89,3,0)*VLOOKUP('Données projet'!$B$12,Paramètres!$A$1:$I$89,5,0)</f>
        <v>-3.41401573678013E-13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237.27357081252273</v>
      </c>
      <c r="CE124" s="59">
        <f t="shared" si="94"/>
        <v>68.768479693848576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-3.4106051316484809E-13</v>
      </c>
      <c r="CU124" s="17">
        <f>CT124*VLOOKUP('Données projet'!$B$13,Paramètres!$A$1:$I$89,3,0)*VLOOKUP('Données projet'!$B$13,Paramètres!$A$1:$I$89,5,0)</f>
        <v>-1.9065282685915009E-13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474.03051418249999</v>
      </c>
      <c r="CZ124" s="59">
        <f t="shared" si="96"/>
        <v>649.52271992719091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0.90142513468661289</v>
      </c>
      <c r="DG124" s="21">
        <f>EXP(-LN(2)/25)*DG123+(1-EXP(-LN(2)/25))/(LN(2)/25)*Calculateur!DB124*Calculateur!DD124*VLOOKUP('Données projet'!$B$13,Paramètres!$A$1:$I$89,3,0)*0.475*44/12</f>
        <v>1.9406258739255713</v>
      </c>
      <c r="DH124" s="21">
        <f>EXP(-LN(2)/2)*DH123+(1-EXP(-LN(2)/2))/(LN(2)/2)*DB124*DE124*VLOOKUP('Données projet'!$B$13,Paramètres!$A$1:$I$89,3,0)*0.475*44/12</f>
        <v>2.351303753862948E-13</v>
      </c>
      <c r="DI124" s="22">
        <f t="shared" si="69"/>
        <v>2.8420510086124193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-5.6843418860808015E-14</v>
      </c>
      <c r="DP124" s="17">
        <f>DO124*VLOOKUP('Données projet'!$B$14,Paramètres!$A$1:$I$89,3,0)*VLOOKUP('Données projet'!$B$14,Paramètres!$A$1:$I$89,5,0)</f>
        <v>-3.1036506698001178E-14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164.0740581424559</v>
      </c>
      <c r="DU124" s="59">
        <f t="shared" si="98"/>
        <v>280.99861170359793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1.0895266277187849</v>
      </c>
      <c r="EB124" s="21">
        <f>EXP(-LN(2)/25)*EB123+(1-EXP(-LN(2)/25))/(LN(2)/25)*Calculateur!DW124*Calculateur!DY124*VLOOKUP('Données projet'!$B$14,Paramètres!$A$1:$I$89,3,0)*0.475*44/12</f>
        <v>2.0772785974182564</v>
      </c>
      <c r="EC124" s="21">
        <f>EXP(-LN(2)/2)*EC123+(1-EXP(-LN(2)/2))/(LN(2)/2)*DW124*DZ124*VLOOKUP('Données projet'!$B$14,Paramètres!$A$1:$I$89,3,0)*0.475*44/12</f>
        <v>3.0504938518378422E-13</v>
      </c>
      <c r="ED124" s="22">
        <f t="shared" si="72"/>
        <v>3.1668052251373466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1.1368683772161603E-13</v>
      </c>
      <c r="EK124" s="17">
        <f>EJ124*VLOOKUP('Données projet'!$B$15,Paramètres!$A$1:$I$89,3,0)*VLOOKUP('Données projet'!$B$15,Paramètres!$A$1:$I$89,5,0)</f>
        <v>5.4683368944097308E-14</v>
      </c>
      <c r="EL124" s="13">
        <f t="shared" si="99"/>
        <v>8.8129432816788268E-13</v>
      </c>
      <c r="EM124" s="20">
        <f t="shared" si="73"/>
        <v>1.6301611558033651E-12</v>
      </c>
      <c r="EN124" s="59">
        <f t="shared" si="74"/>
        <v>293.33333333333496</v>
      </c>
      <c r="EO124" s="59">
        <f ca="1">AVERAGE(OFFSET($EN$3,0,0,'Données projet'!$E$15+1,1))-AVERAGE(OFFSET($H$3,0,0,'Données projet'!$E$15+1,1))</f>
        <v>312.1172301514103</v>
      </c>
      <c r="EP124" s="59">
        <f t="shared" si="100"/>
        <v>369.85500533493212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0.44570638818503255</v>
      </c>
      <c r="EW124" s="21">
        <f>EXP(-LN(2)/25)*EW123+(1-EXP(-LN(2)/25))/(LN(2)/25)*Calculateur!ER124*Calculateur!ET124*VLOOKUP('Données projet'!$B$15,Paramètres!$A$1:$I$89,3,0)*0.475*44/12</f>
        <v>1.2063823359961159</v>
      </c>
      <c r="EX124" s="21">
        <f>EXP(-LN(2)/2)*EX123+(1-EXP(-LN(2)/2))/(LN(2)/2)*ER124*EU124*VLOOKUP('Données projet'!$B$15,Paramètres!$A$1:$I$89,3,0)*0.475*44/12</f>
        <v>6.3660991313191247E-13</v>
      </c>
      <c r="EY124" s="22">
        <f t="shared" si="75"/>
        <v>1.652088724181785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-7.9808160080574461E-14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87.187251664304199</v>
      </c>
      <c r="FK124" s="59">
        <f t="shared" si="102"/>
        <v>148.84938257884147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0.64681966521922007</v>
      </c>
      <c r="FS124" s="21">
        <f>EXP(-LN(2)/2)*FS123+(1-EXP(-LN(2)/2))/(LN(2)/2)*FM124*FP124*VLOOKUP('Données projet'!$B$16,Paramètres!$A$1:$I$89,3,0)*0.475*44/12</f>
        <v>1.2226976210992339E-13</v>
      </c>
      <c r="FT124" s="22">
        <f t="shared" si="78"/>
        <v>0.64681966521934231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-1.1368683772161603E-13</v>
      </c>
      <c r="GA124" s="17">
        <f>FZ124*VLOOKUP('Données projet'!$B$17,Paramètres!$A$1:$I$89,3,0)*VLOOKUP('Données projet'!$B$17,Paramètres!$A$1:$I$89,5,0)</f>
        <v>-6.7984728957526396E-14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282.94722676586207</v>
      </c>
      <c r="GF124" s="59">
        <f t="shared" si="104"/>
        <v>310.63647941571298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0.85969605474736011</v>
      </c>
      <c r="GN124" s="21">
        <f>EXP(-LN(2)/2)*GN123+(1-EXP(-LN(2)/2))/(LN(2)/2)*GH124*GK124*VLOOKUP('Données projet'!$B$17,Paramètres!$A$1:$I$89,3,0)*0.475*44/12</f>
        <v>5.1525627242467922E-13</v>
      </c>
      <c r="GO124" s="21">
        <f t="shared" si="81"/>
        <v>0.85969605474787536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-1.1368683772161603E-13</v>
      </c>
      <c r="GV124" s="17">
        <f>GU124*VLOOKUP('Données projet'!$B$18,Paramètres!$A$1:$I$89,3,0)*VLOOKUP('Données projet'!$B$18,Paramètres!$A$1:$I$89,5,0)</f>
        <v>-6.7984728957526396E-14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255.54398581450459</v>
      </c>
      <c r="HA124" s="59">
        <f t="shared" si="106"/>
        <v>276.52622328061204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</v>
      </c>
      <c r="HH124" s="21">
        <f>EXP(-LN(2)/25)*HH123+(1-EXP(-LN(2)/25))/(LN(2)/25)*Calculateur!HC124*Calculateur!HE124*VLOOKUP('Données projet'!$B$18,Paramètres!$A$1:$I$89,3,0)*0.475*44/12</f>
        <v>0.42896136310148303</v>
      </c>
      <c r="HI124" s="21">
        <f>EXP(-LN(2)/2)*HI123+(1-EXP(-LN(2)/2))/(LN(2)/2)*HC124*HF124*VLOOKUP('Données projet'!$B$18,Paramètres!$A$1:$I$89,3,0)*0.475*44/12</f>
        <v>2.9878651499638629E-13</v>
      </c>
      <c r="HJ124" s="22">
        <f t="shared" si="84"/>
        <v>0.42896136310178179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4.9658410716801891E-14</v>
      </c>
      <c r="P125" s="13">
        <f t="shared" si="87"/>
        <v>8.0934058173791862E-13</v>
      </c>
      <c r="Q125" s="20">
        <f t="shared" si="107"/>
        <v>1.4960899118586383E-12</v>
      </c>
      <c r="R125" s="59">
        <f t="shared" si="55"/>
        <v>293.33333333333479</v>
      </c>
      <c r="S125" s="59">
        <f ca="1">AVERAGE(OFFSET($R$3,0,0,'Données projet'!$E$9+1,1))-AVERAGE(OFFSET($H$3,0,0,'Données projet'!$E$9+1,1))</f>
        <v>248.50221719467663</v>
      </c>
      <c r="T125" s="59">
        <f t="shared" si="88"/>
        <v>366.09064580347183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1.2766279693403955</v>
      </c>
      <c r="AA125" s="21">
        <f>EXP(-LN(2)/25)*AA124+(1-EXP(-LN(2)/25))/(LN(2)/25)*Calculateur!V125*Calculateur!X125*VLOOKUP('Données projet'!$B$9,Paramètres!$A$1:$I$89,3,0)*0.475*44/12</f>
        <v>1.8779492616001476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3.1545772309405429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263.22346936777603</v>
      </c>
      <c r="AO125" s="59">
        <f t="shared" si="90"/>
        <v>217.14714468707939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0.56769819958511436</v>
      </c>
      <c r="AW125" s="21">
        <f>EXP(-LN(2)/2)*AW124+(1-EXP(-LN(2)/2))/(LN(2)/2)*AQ125*AT125*VLOOKUP('Données projet'!$B$10,Paramètres!$A$1:$I$89,3,0)*0.475*44/12</f>
        <v>2.5367456324888187E-13</v>
      </c>
      <c r="AX125" s="21">
        <f t="shared" si="60"/>
        <v>0.56769819958536805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4.4337866711430253E-14</v>
      </c>
      <c r="BF125" s="13">
        <f t="shared" si="91"/>
        <v>7.3222115536967035E-13</v>
      </c>
      <c r="BG125" s="20">
        <f t="shared" si="61"/>
        <v>1.3525069634579169E-12</v>
      </c>
      <c r="BH125" s="59">
        <f t="shared" si="62"/>
        <v>293.33333333333468</v>
      </c>
      <c r="BI125" s="59">
        <f ca="1">AVERAGE(OFFSET($BH$3,0,0,'Données projet'!$E$11+1,1))-AVERAGE(OFFSET($H$3,0,0,'Données projet'!$E$11+1,1))</f>
        <v>219.22204054948094</v>
      </c>
      <c r="BJ125" s="59">
        <f t="shared" si="92"/>
        <v>222.41711966122034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0.2446400993856972</v>
      </c>
      <c r="BR125" s="21">
        <f>EXP(-LN(2)/2)*BR124+(1-EXP(-LN(2)/2))/(LN(2)/2)*BL125*BO125*VLOOKUP('Données projet'!$B$11,Paramètres!$A$1:$I$89,3,0)*0.475*44/12</f>
        <v>4.6471021680824015E-14</v>
      </c>
      <c r="BS125" s="22">
        <f t="shared" si="63"/>
        <v>0.24464009938574366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-3.979039320256561E-13</v>
      </c>
      <c r="BZ125" s="13">
        <f>BY125*VLOOKUP('Données projet'!$B$12,Paramètres!$A$1:$I$89,3,0)*VLOOKUP('Données projet'!$B$12,Paramètres!$A$1:$I$89,5,0)</f>
        <v>-3.41401573678013E-13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237.27357081252273</v>
      </c>
      <c r="CE125" s="59">
        <f t="shared" si="94"/>
        <v>68.768479693848576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-3.4106051316484809E-13</v>
      </c>
      <c r="CU125" s="17">
        <f>CT125*VLOOKUP('Données projet'!$B$13,Paramètres!$A$1:$I$89,3,0)*VLOOKUP('Données projet'!$B$13,Paramètres!$A$1:$I$89,5,0)</f>
        <v>-1.9065282685915009E-13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474.03051418249999</v>
      </c>
      <c r="CZ125" s="59">
        <f t="shared" si="96"/>
        <v>649.52271992719091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0.88374873761045081</v>
      </c>
      <c r="DG125" s="21">
        <f>EXP(-LN(2)/25)*DG124+(1-EXP(-LN(2)/25))/(LN(2)/25)*Calculateur!DB125*Calculateur!DD125*VLOOKUP('Données projet'!$B$13,Paramètres!$A$1:$I$89,3,0)*0.475*44/12</f>
        <v>1.8875593573499971</v>
      </c>
      <c r="DH125" s="21">
        <f>EXP(-LN(2)/2)*DH124+(1-EXP(-LN(2)/2))/(LN(2)/2)*DB125*DE125*VLOOKUP('Données projet'!$B$13,Paramètres!$A$1:$I$89,3,0)*0.475*44/12</f>
        <v>1.6626228289858754E-13</v>
      </c>
      <c r="DI125" s="22">
        <f t="shared" si="69"/>
        <v>2.7713080949606139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-5.6843418860808015E-14</v>
      </c>
      <c r="DP125" s="17">
        <f>DO125*VLOOKUP('Données projet'!$B$14,Paramètres!$A$1:$I$89,3,0)*VLOOKUP('Données projet'!$B$14,Paramètres!$A$1:$I$89,5,0)</f>
        <v>-3.1036506698001178E-14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164.0740581424559</v>
      </c>
      <c r="DU125" s="59">
        <f t="shared" si="98"/>
        <v>280.99861170359793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1.0681616750948439</v>
      </c>
      <c r="EB125" s="21">
        <f>EXP(-LN(2)/25)*EB124+(1-EXP(-LN(2)/25))/(LN(2)/25)*Calculateur!DW125*Calculateur!DY125*VLOOKUP('Données projet'!$B$14,Paramètres!$A$1:$I$89,3,0)*0.475*44/12</f>
        <v>2.0204753049325204</v>
      </c>
      <c r="EC125" s="21">
        <f>EXP(-LN(2)/2)*EC124+(1-EXP(-LN(2)/2))/(LN(2)/2)*DW125*DZ125*VLOOKUP('Données projet'!$B$14,Paramètres!$A$1:$I$89,3,0)*0.475*44/12</f>
        <v>2.1570248886024096E-13</v>
      </c>
      <c r="ED125" s="22">
        <f t="shared" si="72"/>
        <v>3.0886369800275801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1.1368683772161603E-13</v>
      </c>
      <c r="EK125" s="17">
        <f>EJ125*VLOOKUP('Données projet'!$B$15,Paramètres!$A$1:$I$89,3,0)*VLOOKUP('Données projet'!$B$15,Paramètres!$A$1:$I$89,5,0)</f>
        <v>5.4683368944097308E-14</v>
      </c>
      <c r="EL125" s="13">
        <f t="shared" si="99"/>
        <v>8.8129432816788268E-13</v>
      </c>
      <c r="EM125" s="20">
        <f t="shared" si="73"/>
        <v>1.6301611558033651E-12</v>
      </c>
      <c r="EN125" s="59">
        <f t="shared" si="74"/>
        <v>293.33333333333496</v>
      </c>
      <c r="EO125" s="59">
        <f ca="1">AVERAGE(OFFSET($EN$3,0,0,'Données projet'!$E$15+1,1))-AVERAGE(OFFSET($H$3,0,0,'Données projet'!$E$15+1,1))</f>
        <v>312.1172301514103</v>
      </c>
      <c r="EP125" s="59">
        <f t="shared" si="100"/>
        <v>369.85500533493212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0.4369663577667775</v>
      </c>
      <c r="EW125" s="21">
        <f>EXP(-LN(2)/25)*EW124+(1-EXP(-LN(2)/25))/(LN(2)/25)*Calculateur!ER125*Calculateur!ET125*VLOOKUP('Données projet'!$B$15,Paramètres!$A$1:$I$89,3,0)*0.475*44/12</f>
        <v>1.1733937475774123</v>
      </c>
      <c r="EX125" s="21">
        <f>EXP(-LN(2)/2)*EX124+(1-EXP(-LN(2)/2))/(LN(2)/2)*ER125*EU125*VLOOKUP('Données projet'!$B$15,Paramètres!$A$1:$I$89,3,0)*0.475*44/12</f>
        <v>4.5015118654615431E-13</v>
      </c>
      <c r="EY125" s="22">
        <f t="shared" si="75"/>
        <v>1.6103601053446399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-7.9808160080574461E-14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87.187251664304199</v>
      </c>
      <c r="FK125" s="59">
        <f t="shared" si="102"/>
        <v>148.84938257884147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0.62913234745903268</v>
      </c>
      <c r="FS125" s="21">
        <f>EXP(-LN(2)/2)*FS124+(1-EXP(-LN(2)/2))/(LN(2)/2)*FM125*FP125*VLOOKUP('Données projet'!$B$16,Paramètres!$A$1:$I$89,3,0)*0.475*44/12</f>
        <v>8.6457777921992815E-14</v>
      </c>
      <c r="FT125" s="22">
        <f t="shared" si="78"/>
        <v>0.62913234745911917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-1.1368683772161603E-13</v>
      </c>
      <c r="GA125" s="17">
        <f>FZ125*VLOOKUP('Données projet'!$B$17,Paramètres!$A$1:$I$89,3,0)*VLOOKUP('Données projet'!$B$17,Paramètres!$A$1:$I$89,5,0)</f>
        <v>-6.7984728957526396E-14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282.94722676586207</v>
      </c>
      <c r="GF125" s="59">
        <f t="shared" si="104"/>
        <v>310.63647941571298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0.83618762092084287</v>
      </c>
      <c r="GN125" s="21">
        <f>EXP(-LN(2)/2)*GN124+(1-EXP(-LN(2)/2))/(LN(2)/2)*GH125*GK125*VLOOKUP('Données projet'!$B$17,Paramètres!$A$1:$I$89,3,0)*0.475*44/12</f>
        <v>3.6434120428039378E-13</v>
      </c>
      <c r="GO125" s="21">
        <f t="shared" si="81"/>
        <v>0.83618762092120724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-1.1368683772161603E-13</v>
      </c>
      <c r="GV125" s="17">
        <f>GU125*VLOOKUP('Données projet'!$B$18,Paramètres!$A$1:$I$89,3,0)*VLOOKUP('Données projet'!$B$18,Paramètres!$A$1:$I$89,5,0)</f>
        <v>-6.7984728957526396E-14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255.54398581450459</v>
      </c>
      <c r="HA125" s="59">
        <f t="shared" si="106"/>
        <v>276.52622328061204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</v>
      </c>
      <c r="HH125" s="21">
        <f>EXP(-LN(2)/25)*HH124+(1-EXP(-LN(2)/25))/(LN(2)/25)*Calculateur!HC125*Calculateur!HE125*VLOOKUP('Données projet'!$B$18,Paramètres!$A$1:$I$89,3,0)*0.475*44/12</f>
        <v>0.41723139206937532</v>
      </c>
      <c r="HI125" s="21">
        <f>EXP(-LN(2)/2)*HI124+(1-EXP(-LN(2)/2))/(LN(2)/2)*HC125*HF125*VLOOKUP('Données projet'!$B$18,Paramètres!$A$1:$I$89,3,0)*0.475*44/12</f>
        <v>2.1127397088104083E-13</v>
      </c>
      <c r="HJ125" s="22">
        <f t="shared" si="84"/>
        <v>0.41723139206958659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4.9658410716801891E-14</v>
      </c>
      <c r="P126" s="13">
        <f t="shared" si="87"/>
        <v>8.0934058173791862E-13</v>
      </c>
      <c r="Q126" s="20">
        <f t="shared" si="107"/>
        <v>1.4960899118586383E-12</v>
      </c>
      <c r="R126" s="59">
        <f t="shared" si="55"/>
        <v>293.33333333333479</v>
      </c>
      <c r="S126" s="59">
        <f ca="1">AVERAGE(OFFSET($R$3,0,0,'Données projet'!$E$9+1,1))-AVERAGE(OFFSET($H$3,0,0,'Données projet'!$E$9+1,1))</f>
        <v>248.50221719467663</v>
      </c>
      <c r="T126" s="59">
        <f t="shared" si="88"/>
        <v>366.09064580347183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1.2515940735278046</v>
      </c>
      <c r="AA126" s="21">
        <f>EXP(-LN(2)/25)*AA125+(1-EXP(-LN(2)/25))/(LN(2)/25)*Calculateur!V126*Calculateur!X126*VLOOKUP('Données projet'!$B$9,Paramètres!$A$1:$I$89,3,0)*0.475*44/12</f>
        <v>1.8265966402846321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3.0781907138124369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263.22346936777603</v>
      </c>
      <c r="AO126" s="59">
        <f t="shared" si="90"/>
        <v>217.14714468707939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0.55217446246350854</v>
      </c>
      <c r="AW126" s="21">
        <f>EXP(-LN(2)/2)*AW125+(1-EXP(-LN(2)/2))/(LN(2)/2)*AQ126*AT126*VLOOKUP('Données projet'!$B$10,Paramètres!$A$1:$I$89,3,0)*0.475*44/12</f>
        <v>1.7937500388782012E-13</v>
      </c>
      <c r="AX126" s="21">
        <f t="shared" si="60"/>
        <v>0.55217446246368795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4.4337866711430253E-14</v>
      </c>
      <c r="BF126" s="13">
        <f t="shared" si="91"/>
        <v>7.3222115536967035E-13</v>
      </c>
      <c r="BG126" s="20">
        <f t="shared" si="61"/>
        <v>1.3525069634579169E-12</v>
      </c>
      <c r="BH126" s="59">
        <f t="shared" si="62"/>
        <v>293.33333333333468</v>
      </c>
      <c r="BI126" s="59">
        <f ca="1">AVERAGE(OFFSET($BH$3,0,0,'Données projet'!$E$11+1,1))-AVERAGE(OFFSET($H$3,0,0,'Données projet'!$E$11+1,1))</f>
        <v>219.22204054948094</v>
      </c>
      <c r="BJ126" s="59">
        <f t="shared" si="92"/>
        <v>222.41711966122034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0.2379504030029316</v>
      </c>
      <c r="BR126" s="21">
        <f>EXP(-LN(2)/2)*BR125+(1-EXP(-LN(2)/2))/(LN(2)/2)*BL126*BO126*VLOOKUP('Données projet'!$B$11,Paramètres!$A$1:$I$89,3,0)*0.475*44/12</f>
        <v>3.2859974559177732E-14</v>
      </c>
      <c r="BS126" s="22">
        <f t="shared" si="63"/>
        <v>0.23795040300296447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-3.979039320256561E-13</v>
      </c>
      <c r="BZ126" s="13">
        <f>BY126*VLOOKUP('Données projet'!$B$12,Paramètres!$A$1:$I$89,3,0)*VLOOKUP('Données projet'!$B$12,Paramètres!$A$1:$I$89,5,0)</f>
        <v>-3.41401573678013E-13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237.27357081252273</v>
      </c>
      <c r="CE126" s="59">
        <f t="shared" si="94"/>
        <v>68.768479693848576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-3.4106051316484809E-13</v>
      </c>
      <c r="CU126" s="17">
        <f>CT126*VLOOKUP('Données projet'!$B$13,Paramètres!$A$1:$I$89,3,0)*VLOOKUP('Données projet'!$B$13,Paramètres!$A$1:$I$89,5,0)</f>
        <v>-1.9065282685915009E-13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474.03051418249999</v>
      </c>
      <c r="CZ126" s="59">
        <f t="shared" si="96"/>
        <v>649.52271992719091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0.86641896389941464</v>
      </c>
      <c r="DG126" s="21">
        <f>EXP(-LN(2)/25)*DG125+(1-EXP(-LN(2)/25))/(LN(2)/25)*Calculateur!DB126*Calculateur!DD126*VLOOKUP('Données projet'!$B$13,Paramètres!$A$1:$I$89,3,0)*0.475*44/12</f>
        <v>1.835943947460829</v>
      </c>
      <c r="DH126" s="21">
        <f>EXP(-LN(2)/2)*DH125+(1-EXP(-LN(2)/2))/(LN(2)/2)*DB126*DE126*VLOOKUP('Données projet'!$B$13,Paramètres!$A$1:$I$89,3,0)*0.475*44/12</f>
        <v>1.175651876931474E-13</v>
      </c>
      <c r="DI126" s="22">
        <f t="shared" si="69"/>
        <v>2.7023629113603613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-5.6843418860808015E-14</v>
      </c>
      <c r="DP126" s="17">
        <f>DO126*VLOOKUP('Données projet'!$B$14,Paramètres!$A$1:$I$89,3,0)*VLOOKUP('Données projet'!$B$14,Paramètres!$A$1:$I$89,5,0)</f>
        <v>-3.1036506698001178E-14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164.0740581424559</v>
      </c>
      <c r="DU126" s="59">
        <f t="shared" si="98"/>
        <v>280.99861170359793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1.0472156761605242</v>
      </c>
      <c r="EB126" s="21">
        <f>EXP(-LN(2)/25)*EB125+(1-EXP(-LN(2)/25))/(LN(2)/25)*Calculateur!DW126*Calculateur!DY126*VLOOKUP('Données projet'!$B$14,Paramètres!$A$1:$I$89,3,0)*0.475*44/12</f>
        <v>1.9652253014669621</v>
      </c>
      <c r="EC126" s="21">
        <f>EXP(-LN(2)/2)*EC125+(1-EXP(-LN(2)/2))/(LN(2)/2)*DW126*DZ126*VLOOKUP('Données projet'!$B$14,Paramètres!$A$1:$I$89,3,0)*0.475*44/12</f>
        <v>1.5252469259189211E-13</v>
      </c>
      <c r="ED126" s="22">
        <f t="shared" si="72"/>
        <v>3.0124409776276386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1.1368683772161603E-13</v>
      </c>
      <c r="EK126" s="17">
        <f>EJ126*VLOOKUP('Données projet'!$B$15,Paramètres!$A$1:$I$89,3,0)*VLOOKUP('Données projet'!$B$15,Paramètres!$A$1:$I$89,5,0)</f>
        <v>5.4683368944097308E-14</v>
      </c>
      <c r="EL126" s="13">
        <f t="shared" si="99"/>
        <v>8.8129432816788268E-13</v>
      </c>
      <c r="EM126" s="20">
        <f t="shared" si="73"/>
        <v>1.6301611558033651E-12</v>
      </c>
      <c r="EN126" s="59">
        <f t="shared" si="74"/>
        <v>293.33333333333496</v>
      </c>
      <c r="EO126" s="59">
        <f ca="1">AVERAGE(OFFSET($EN$3,0,0,'Données projet'!$E$15+1,1))-AVERAGE(OFFSET($H$3,0,0,'Données projet'!$E$15+1,1))</f>
        <v>312.1172301514103</v>
      </c>
      <c r="EP126" s="59">
        <f t="shared" si="100"/>
        <v>369.85500533493212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0.42839771401413224</v>
      </c>
      <c r="EW126" s="21">
        <f>EXP(-LN(2)/25)*EW125+(1-EXP(-LN(2)/25))/(LN(2)/25)*Calculateur!ER126*Calculateur!ET126*VLOOKUP('Données projet'!$B$15,Paramètres!$A$1:$I$89,3,0)*0.475*44/12</f>
        <v>1.1413072338438126</v>
      </c>
      <c r="EX126" s="21">
        <f>EXP(-LN(2)/2)*EX125+(1-EXP(-LN(2)/2))/(LN(2)/2)*ER126*EU126*VLOOKUP('Données projet'!$B$15,Paramètres!$A$1:$I$89,3,0)*0.475*44/12</f>
        <v>3.1830495656595629E-13</v>
      </c>
      <c r="EY126" s="22">
        <f t="shared" si="75"/>
        <v>1.5697049478582632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-7.9808160080574461E-14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87.187251664304199</v>
      </c>
      <c r="FK126" s="59">
        <f t="shared" si="102"/>
        <v>148.84938257884147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0.61192869033313313</v>
      </c>
      <c r="FS126" s="21">
        <f>EXP(-LN(2)/2)*FS125+(1-EXP(-LN(2)/2))/(LN(2)/2)*FM126*FP126*VLOOKUP('Données projet'!$B$16,Paramètres!$A$1:$I$89,3,0)*0.475*44/12</f>
        <v>6.1134881054961693E-14</v>
      </c>
      <c r="FT126" s="22">
        <f t="shared" si="78"/>
        <v>0.6119286903331943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-1.1368683772161603E-13</v>
      </c>
      <c r="GA126" s="17">
        <f>FZ126*VLOOKUP('Données projet'!$B$17,Paramètres!$A$1:$I$89,3,0)*VLOOKUP('Données projet'!$B$17,Paramètres!$A$1:$I$89,5,0)</f>
        <v>-6.7984728957526396E-14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282.94722676586207</v>
      </c>
      <c r="GF126" s="59">
        <f t="shared" si="104"/>
        <v>310.63647941571298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0.81332202645356655</v>
      </c>
      <c r="GN126" s="21">
        <f>EXP(-LN(2)/2)*GN125+(1-EXP(-LN(2)/2))/(LN(2)/2)*GH126*GK126*VLOOKUP('Données projet'!$B$17,Paramètres!$A$1:$I$89,3,0)*0.475*44/12</f>
        <v>2.5762813621233961E-13</v>
      </c>
      <c r="GO126" s="21">
        <f t="shared" si="81"/>
        <v>0.81332202645382423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-1.1368683772161603E-13</v>
      </c>
      <c r="GV126" s="17">
        <f>GU126*VLOOKUP('Données projet'!$B$18,Paramètres!$A$1:$I$89,3,0)*VLOOKUP('Données projet'!$B$18,Paramètres!$A$1:$I$89,5,0)</f>
        <v>-6.7984728957526396E-14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255.54398581450459</v>
      </c>
      <c r="HA126" s="59">
        <f t="shared" si="106"/>
        <v>276.52622328061204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</v>
      </c>
      <c r="HH126" s="21">
        <f>EXP(-LN(2)/25)*HH125+(1-EXP(-LN(2)/25))/(LN(2)/25)*Calculateur!HC126*Calculateur!HE126*VLOOKUP('Données projet'!$B$18,Paramètres!$A$1:$I$89,3,0)*0.475*44/12</f>
        <v>0.40582217771199292</v>
      </c>
      <c r="HI126" s="21">
        <f>EXP(-LN(2)/2)*HI125+(1-EXP(-LN(2)/2))/(LN(2)/2)*HC126*HF126*VLOOKUP('Données projet'!$B$18,Paramètres!$A$1:$I$89,3,0)*0.475*44/12</f>
        <v>1.4939325749819315E-13</v>
      </c>
      <c r="HJ126" s="22">
        <f t="shared" si="84"/>
        <v>0.4058221777121423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4.9658410716801891E-14</v>
      </c>
      <c r="P127" s="13">
        <f t="shared" si="87"/>
        <v>8.0934058173791862E-13</v>
      </c>
      <c r="Q127" s="20">
        <f t="shared" si="107"/>
        <v>1.4960899118586383E-12</v>
      </c>
      <c r="R127" s="59">
        <f t="shared" si="55"/>
        <v>293.33333333333479</v>
      </c>
      <c r="S127" s="59">
        <f ca="1">AVERAGE(OFFSET($R$3,0,0,'Données projet'!$E$9+1,1))-AVERAGE(OFFSET($H$3,0,0,'Données projet'!$E$9+1,1))</f>
        <v>248.50221719467663</v>
      </c>
      <c r="T127" s="59">
        <f t="shared" si="88"/>
        <v>366.09064580347183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1.2270510771429299</v>
      </c>
      <c r="AA127" s="21">
        <f>EXP(-LN(2)/25)*AA126+(1-EXP(-LN(2)/25))/(LN(2)/25)*Calculateur!V127*Calculateur!X127*VLOOKUP('Données projet'!$B$9,Paramètres!$A$1:$I$89,3,0)*0.475*44/12</f>
        <v>1.7766482590995063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3.0036993362424362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263.22346936777603</v>
      </c>
      <c r="AO127" s="59">
        <f t="shared" si="90"/>
        <v>217.14714468707939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0.53707522274985098</v>
      </c>
      <c r="AW127" s="21">
        <f>EXP(-LN(2)/2)*AW126+(1-EXP(-LN(2)/2))/(LN(2)/2)*AQ127*AT127*VLOOKUP('Données projet'!$B$10,Paramètres!$A$1:$I$89,3,0)*0.475*44/12</f>
        <v>1.2683728162444093E-13</v>
      </c>
      <c r="AX127" s="21">
        <f t="shared" si="60"/>
        <v>0.53707522274997777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4.4337866711430253E-14</v>
      </c>
      <c r="BF127" s="13">
        <f t="shared" si="91"/>
        <v>7.3222115536967035E-13</v>
      </c>
      <c r="BG127" s="20">
        <f t="shared" si="61"/>
        <v>1.3525069634579169E-12</v>
      </c>
      <c r="BH127" s="59">
        <f t="shared" si="62"/>
        <v>293.33333333333468</v>
      </c>
      <c r="BI127" s="59">
        <f ca="1">AVERAGE(OFFSET($BH$3,0,0,'Données projet'!$E$11+1,1))-AVERAGE(OFFSET($H$3,0,0,'Données projet'!$E$11+1,1))</f>
        <v>219.22204054948094</v>
      </c>
      <c r="BJ127" s="59">
        <f t="shared" si="92"/>
        <v>222.41711966122034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0.2314436367195486</v>
      </c>
      <c r="BR127" s="21">
        <f>EXP(-LN(2)/2)*BR126+(1-EXP(-LN(2)/2))/(LN(2)/2)*BL127*BO127*VLOOKUP('Données projet'!$B$11,Paramètres!$A$1:$I$89,3,0)*0.475*44/12</f>
        <v>2.3235510840412007E-14</v>
      </c>
      <c r="BS127" s="22">
        <f t="shared" si="63"/>
        <v>0.23144363671957183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-3.979039320256561E-13</v>
      </c>
      <c r="BZ127" s="13">
        <f>BY127*VLOOKUP('Données projet'!$B$12,Paramètres!$A$1:$I$89,3,0)*VLOOKUP('Données projet'!$B$12,Paramètres!$A$1:$I$89,5,0)</f>
        <v>-3.41401573678013E-13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237.27357081252273</v>
      </c>
      <c r="CE127" s="59">
        <f t="shared" si="94"/>
        <v>68.768479693848576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-3.4106051316484809E-13</v>
      </c>
      <c r="CU127" s="17">
        <f>CT127*VLOOKUP('Données projet'!$B$13,Paramètres!$A$1:$I$89,3,0)*VLOOKUP('Données projet'!$B$13,Paramètres!$A$1:$I$89,5,0)</f>
        <v>-1.9065282685915009E-13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474.03051418249999</v>
      </c>
      <c r="CZ127" s="59">
        <f t="shared" si="96"/>
        <v>649.52271992719091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0.84942901648073366</v>
      </c>
      <c r="DG127" s="21">
        <f>EXP(-LN(2)/25)*DG126+(1-EXP(-LN(2)/25))/(LN(2)/25)*Calculateur!DB127*Calculateur!DD127*VLOOKUP('Données projet'!$B$13,Paramètres!$A$1:$I$89,3,0)*0.475*44/12</f>
        <v>1.7857399636694165</v>
      </c>
      <c r="DH127" s="21">
        <f>EXP(-LN(2)/2)*DH126+(1-EXP(-LN(2)/2))/(LN(2)/2)*DB127*DE127*VLOOKUP('Données projet'!$B$13,Paramètres!$A$1:$I$89,3,0)*0.475*44/12</f>
        <v>8.313114144929377E-14</v>
      </c>
      <c r="DI127" s="22">
        <f t="shared" si="69"/>
        <v>2.6351689801502332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-5.6843418860808015E-14</v>
      </c>
      <c r="DP127" s="17">
        <f>DO127*VLOOKUP('Données projet'!$B$14,Paramètres!$A$1:$I$89,3,0)*VLOOKUP('Données projet'!$B$14,Paramètres!$A$1:$I$89,5,0)</f>
        <v>-3.1036506698001178E-14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164.0740581424559</v>
      </c>
      <c r="DU127" s="59">
        <f t="shared" si="98"/>
        <v>280.99861170359793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1.0266804154895086</v>
      </c>
      <c r="EB127" s="21">
        <f>EXP(-LN(2)/25)*EB126+(1-EXP(-LN(2)/25))/(LN(2)/25)*Calculateur!DW127*Calculateur!DY127*VLOOKUP('Données projet'!$B$14,Paramètres!$A$1:$I$89,3,0)*0.475*44/12</f>
        <v>1.9114861122516409</v>
      </c>
      <c r="EC127" s="21">
        <f>EXP(-LN(2)/2)*EC126+(1-EXP(-LN(2)/2))/(LN(2)/2)*DW127*DZ127*VLOOKUP('Données projet'!$B$14,Paramètres!$A$1:$I$89,3,0)*0.475*44/12</f>
        <v>1.0785124443012048E-13</v>
      </c>
      <c r="ED127" s="22">
        <f t="shared" si="72"/>
        <v>2.9381665277412572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1.1368683772161603E-13</v>
      </c>
      <c r="EK127" s="17">
        <f>EJ127*VLOOKUP('Données projet'!$B$15,Paramètres!$A$1:$I$89,3,0)*VLOOKUP('Données projet'!$B$15,Paramètres!$A$1:$I$89,5,0)</f>
        <v>5.4683368944097308E-14</v>
      </c>
      <c r="EL127" s="13">
        <f t="shared" si="99"/>
        <v>8.8129432816788268E-13</v>
      </c>
      <c r="EM127" s="20">
        <f t="shared" si="73"/>
        <v>1.6301611558033651E-12</v>
      </c>
      <c r="EN127" s="59">
        <f t="shared" si="74"/>
        <v>293.33333333333496</v>
      </c>
      <c r="EO127" s="59">
        <f ca="1">AVERAGE(OFFSET($EN$3,0,0,'Données projet'!$E$15+1,1))-AVERAGE(OFFSET($H$3,0,0,'Données projet'!$E$15+1,1))</f>
        <v>312.1172301514103</v>
      </c>
      <c r="EP127" s="59">
        <f t="shared" si="100"/>
        <v>369.85500533493212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0.41999709613911973</v>
      </c>
      <c r="EW127" s="21">
        <f>EXP(-LN(2)/25)*EW126+(1-EXP(-LN(2)/25))/(LN(2)/25)*Calculateur!ER127*Calculateur!ET127*VLOOKUP('Données projet'!$B$15,Paramètres!$A$1:$I$89,3,0)*0.475*44/12</f>
        <v>1.1100981275156145</v>
      </c>
      <c r="EX127" s="21">
        <f>EXP(-LN(2)/2)*EX126+(1-EXP(-LN(2)/2))/(LN(2)/2)*ER127*EU127*VLOOKUP('Données projet'!$B$15,Paramètres!$A$1:$I$89,3,0)*0.475*44/12</f>
        <v>2.2507559327307718E-13</v>
      </c>
      <c r="EY127" s="22">
        <f t="shared" si="75"/>
        <v>1.5300952236549594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-7.9808160080574461E-14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87.187251664304199</v>
      </c>
      <c r="FK127" s="59">
        <f t="shared" si="102"/>
        <v>148.84938257884147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0.5951954681160424</v>
      </c>
      <c r="FS127" s="21">
        <f>EXP(-LN(2)/2)*FS126+(1-EXP(-LN(2)/2))/(LN(2)/2)*FM127*FP127*VLOOKUP('Données projet'!$B$16,Paramètres!$A$1:$I$89,3,0)*0.475*44/12</f>
        <v>4.3228888960996407E-14</v>
      </c>
      <c r="FT127" s="22">
        <f t="shared" si="78"/>
        <v>0.59519546811608559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-1.1368683772161603E-13</v>
      </c>
      <c r="GA127" s="17">
        <f>FZ127*VLOOKUP('Données projet'!$B$17,Paramètres!$A$1:$I$89,3,0)*VLOOKUP('Données projet'!$B$17,Paramètres!$A$1:$I$89,5,0)</f>
        <v>-6.7984728957526396E-14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282.94722676586207</v>
      </c>
      <c r="GF127" s="59">
        <f t="shared" si="104"/>
        <v>310.63647941571298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0.79108169286944729</v>
      </c>
      <c r="GN127" s="21">
        <f>EXP(-LN(2)/2)*GN126+(1-EXP(-LN(2)/2))/(LN(2)/2)*GH127*GK127*VLOOKUP('Données projet'!$B$17,Paramètres!$A$1:$I$89,3,0)*0.475*44/12</f>
        <v>1.8217060214019689E-13</v>
      </c>
      <c r="GO127" s="21">
        <f t="shared" si="81"/>
        <v>0.79108169286962948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-1.1368683772161603E-13</v>
      </c>
      <c r="GV127" s="17">
        <f>GU127*VLOOKUP('Données projet'!$B$18,Paramètres!$A$1:$I$89,3,0)*VLOOKUP('Données projet'!$B$18,Paramètres!$A$1:$I$89,5,0)</f>
        <v>-6.7984728957526396E-14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255.54398581450459</v>
      </c>
      <c r="HA127" s="59">
        <f t="shared" si="106"/>
        <v>276.52622328061204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</v>
      </c>
      <c r="HH127" s="21">
        <f>EXP(-LN(2)/25)*HH126+(1-EXP(-LN(2)/25))/(LN(2)/25)*Calculateur!HC127*Calculateur!HE127*VLOOKUP('Données projet'!$B$18,Paramètres!$A$1:$I$89,3,0)*0.475*44/12</f>
        <v>0.39472494892119764</v>
      </c>
      <c r="HI127" s="21">
        <f>EXP(-LN(2)/2)*HI126+(1-EXP(-LN(2)/2))/(LN(2)/2)*HC127*HF127*VLOOKUP('Données projet'!$B$18,Paramètres!$A$1:$I$89,3,0)*0.475*44/12</f>
        <v>1.0563698544052041E-13</v>
      </c>
      <c r="HJ127" s="22">
        <f t="shared" si="84"/>
        <v>0.39472494892130328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4.9658410716801891E-14</v>
      </c>
      <c r="P128" s="13">
        <f t="shared" si="87"/>
        <v>8.0934058173791862E-13</v>
      </c>
      <c r="Q128" s="20">
        <f t="shared" si="107"/>
        <v>1.4960899118586383E-12</v>
      </c>
      <c r="R128" s="59">
        <f t="shared" si="55"/>
        <v>293.33333333333479</v>
      </c>
      <c r="S128" s="59">
        <f ca="1">AVERAGE(OFFSET($R$3,0,0,'Données projet'!$E$9+1,1))-AVERAGE(OFFSET($H$3,0,0,'Données projet'!$E$9+1,1))</f>
        <v>248.50221719467663</v>
      </c>
      <c r="T128" s="59">
        <f t="shared" si="88"/>
        <v>366.09064580347183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1.202989353947413</v>
      </c>
      <c r="AA128" s="21">
        <f>EXP(-LN(2)/25)*AA127+(1-EXP(-LN(2)/25))/(LN(2)/25)*Calculateur!V128*Calculateur!X128*VLOOKUP('Données projet'!$B$9,Paramètres!$A$1:$I$89,3,0)*0.475*44/12</f>
        <v>1.728065719024559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2.9310550729719722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263.22346936777603</v>
      </c>
      <c r="AO128" s="59">
        <f t="shared" si="90"/>
        <v>217.14714468707939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0.52238887254019784</v>
      </c>
      <c r="AW128" s="21">
        <f>EXP(-LN(2)/2)*AW127+(1-EXP(-LN(2)/2))/(LN(2)/2)*AQ128*AT128*VLOOKUP('Données projet'!$B$10,Paramètres!$A$1:$I$89,3,0)*0.475*44/12</f>
        <v>8.9687501943910061E-14</v>
      </c>
      <c r="AX128" s="21">
        <f t="shared" si="60"/>
        <v>0.52238887254028754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4.4337866711430253E-14</v>
      </c>
      <c r="BF128" s="13">
        <f t="shared" si="91"/>
        <v>7.3222115536967035E-13</v>
      </c>
      <c r="BG128" s="20">
        <f t="shared" si="61"/>
        <v>1.3525069634579169E-12</v>
      </c>
      <c r="BH128" s="59">
        <f t="shared" si="62"/>
        <v>293.33333333333468</v>
      </c>
      <c r="BI128" s="59">
        <f ca="1">AVERAGE(OFFSET($BH$3,0,0,'Données projet'!$E$11+1,1))-AVERAGE(OFFSET($H$3,0,0,'Données projet'!$E$11+1,1))</f>
        <v>219.22204054948094</v>
      </c>
      <c r="BJ128" s="59">
        <f t="shared" si="92"/>
        <v>222.41711966122034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0.22511479830236067</v>
      </c>
      <c r="BR128" s="21">
        <f>EXP(-LN(2)/2)*BR127+(1-EXP(-LN(2)/2))/(LN(2)/2)*BL128*BO128*VLOOKUP('Données projet'!$B$11,Paramètres!$A$1:$I$89,3,0)*0.475*44/12</f>
        <v>1.6429987279588866E-14</v>
      </c>
      <c r="BS128" s="22">
        <f t="shared" si="63"/>
        <v>0.2251147983023771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-3.979039320256561E-13</v>
      </c>
      <c r="BZ128" s="13">
        <f>BY128*VLOOKUP('Données projet'!$B$12,Paramètres!$A$1:$I$89,3,0)*VLOOKUP('Données projet'!$B$12,Paramètres!$A$1:$I$89,5,0)</f>
        <v>-3.41401573678013E-13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237.27357081252273</v>
      </c>
      <c r="CE128" s="59">
        <f t="shared" si="94"/>
        <v>68.768479693848576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-3.4106051316484809E-13</v>
      </c>
      <c r="CU128" s="17">
        <f>CT128*VLOOKUP('Données projet'!$B$13,Paramètres!$A$1:$I$89,3,0)*VLOOKUP('Données projet'!$B$13,Paramètres!$A$1:$I$89,5,0)</f>
        <v>-1.9065282685915009E-13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474.03051418249999</v>
      </c>
      <c r="CZ128" s="59">
        <f t="shared" si="96"/>
        <v>649.52271992719091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0.83277223156808833</v>
      </c>
      <c r="DG128" s="21">
        <f>EXP(-LN(2)/25)*DG127+(1-EXP(-LN(2)/25))/(LN(2)/25)*Calculateur!DB128*Calculateur!DD128*VLOOKUP('Données projet'!$B$13,Paramètres!$A$1:$I$89,3,0)*0.475*44/12</f>
        <v>1.7369088104548929</v>
      </c>
      <c r="DH128" s="21">
        <f>EXP(-LN(2)/2)*DH127+(1-EXP(-LN(2)/2))/(LN(2)/2)*DB128*DE128*VLOOKUP('Données projet'!$B$13,Paramètres!$A$1:$I$89,3,0)*0.475*44/12</f>
        <v>5.8782593846573701E-14</v>
      </c>
      <c r="DI128" s="22">
        <f t="shared" si="69"/>
        <v>2.5696810420230398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-5.6843418860808015E-14</v>
      </c>
      <c r="DP128" s="17">
        <f>DO128*VLOOKUP('Données projet'!$B$14,Paramètres!$A$1:$I$89,3,0)*VLOOKUP('Données projet'!$B$14,Paramètres!$A$1:$I$89,5,0)</f>
        <v>-3.1036506698001178E-14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164.0740581424559</v>
      </c>
      <c r="DU128" s="59">
        <f t="shared" si="98"/>
        <v>280.99861170359793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1.0065478387549793</v>
      </c>
      <c r="EB128" s="21">
        <f>EXP(-LN(2)/25)*EB127+(1-EXP(-LN(2)/25))/(LN(2)/25)*Calculateur!DW128*Calculateur!DY128*VLOOKUP('Données projet'!$B$14,Paramètres!$A$1:$I$89,3,0)*0.475*44/12</f>
        <v>1.8592164239914339</v>
      </c>
      <c r="EC128" s="21">
        <f>EXP(-LN(2)/2)*EC127+(1-EXP(-LN(2)/2))/(LN(2)/2)*DW128*DZ128*VLOOKUP('Données projet'!$B$14,Paramètres!$A$1:$I$89,3,0)*0.475*44/12</f>
        <v>7.6262346295946055E-14</v>
      </c>
      <c r="ED128" s="22">
        <f t="shared" si="72"/>
        <v>2.8657642627464899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1.1368683772161603E-13</v>
      </c>
      <c r="EK128" s="17">
        <f>EJ128*VLOOKUP('Données projet'!$B$15,Paramètres!$A$1:$I$89,3,0)*VLOOKUP('Données projet'!$B$15,Paramètres!$A$1:$I$89,5,0)</f>
        <v>5.4683368944097308E-14</v>
      </c>
      <c r="EL128" s="13">
        <f t="shared" si="99"/>
        <v>8.8129432816788268E-13</v>
      </c>
      <c r="EM128" s="20">
        <f t="shared" si="73"/>
        <v>1.6301611558033651E-12</v>
      </c>
      <c r="EN128" s="59">
        <f t="shared" si="74"/>
        <v>293.33333333333496</v>
      </c>
      <c r="EO128" s="59">
        <f ca="1">AVERAGE(OFFSET($EN$3,0,0,'Données projet'!$E$15+1,1))-AVERAGE(OFFSET($H$3,0,0,'Données projet'!$E$15+1,1))</f>
        <v>312.1172301514103</v>
      </c>
      <c r="EP128" s="59">
        <f t="shared" si="100"/>
        <v>369.85500533493212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0.41176120925676524</v>
      </c>
      <c r="EW128" s="21">
        <f>EXP(-LN(2)/25)*EW127+(1-EXP(-LN(2)/25))/(LN(2)/25)*Calculateur!ER128*Calculateur!ET128*VLOOKUP('Données projet'!$B$15,Paramètres!$A$1:$I$89,3,0)*0.475*44/12</f>
        <v>1.0797424358411767</v>
      </c>
      <c r="EX128" s="21">
        <f>EXP(-LN(2)/2)*EX127+(1-EXP(-LN(2)/2))/(LN(2)/2)*ER128*EU128*VLOOKUP('Données projet'!$B$15,Paramètres!$A$1:$I$89,3,0)*0.475*44/12</f>
        <v>1.5915247828297817E-13</v>
      </c>
      <c r="EY128" s="22">
        <f t="shared" si="75"/>
        <v>1.4915036450981012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-7.9808160080574461E-14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87.187251664304199</v>
      </c>
      <c r="FK128" s="59">
        <f t="shared" si="102"/>
        <v>148.84938257884147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0.57891981674043991</v>
      </c>
      <c r="FS128" s="21">
        <f>EXP(-LN(2)/2)*FS127+(1-EXP(-LN(2)/2))/(LN(2)/2)*FM128*FP128*VLOOKUP('Données projet'!$B$16,Paramètres!$A$1:$I$89,3,0)*0.475*44/12</f>
        <v>3.0567440527480846E-14</v>
      </c>
      <c r="FT128" s="22">
        <f t="shared" si="78"/>
        <v>0.57891981674047044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-1.1368683772161603E-13</v>
      </c>
      <c r="GA128" s="17">
        <f>FZ128*VLOOKUP('Données projet'!$B$17,Paramètres!$A$1:$I$89,3,0)*VLOOKUP('Données projet'!$B$17,Paramètres!$A$1:$I$89,5,0)</f>
        <v>-6.7984728957526396E-14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282.94722676586207</v>
      </c>
      <c r="GF128" s="59">
        <f t="shared" si="104"/>
        <v>310.63647941571298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0.76944952237675412</v>
      </c>
      <c r="GN128" s="21">
        <f>EXP(-LN(2)/2)*GN127+(1-EXP(-LN(2)/2))/(LN(2)/2)*GH128*GK128*VLOOKUP('Données projet'!$B$17,Paramètres!$A$1:$I$89,3,0)*0.475*44/12</f>
        <v>1.2881406810616981E-13</v>
      </c>
      <c r="GO128" s="21">
        <f t="shared" si="81"/>
        <v>0.76944952237688291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-1.1368683772161603E-13</v>
      </c>
      <c r="GV128" s="17">
        <f>GU128*VLOOKUP('Données projet'!$B$18,Paramètres!$A$1:$I$89,3,0)*VLOOKUP('Données projet'!$B$18,Paramètres!$A$1:$I$89,5,0)</f>
        <v>-6.7984728957526396E-14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255.54398581450459</v>
      </c>
      <c r="HA128" s="59">
        <f t="shared" si="106"/>
        <v>276.52622328061204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</v>
      </c>
      <c r="HH128" s="21">
        <f>EXP(-LN(2)/25)*HH127+(1-EXP(-LN(2)/25))/(LN(2)/25)*Calculateur!HC128*Calculateur!HE128*VLOOKUP('Données projet'!$B$18,Paramètres!$A$1:$I$89,3,0)*0.475*44/12</f>
        <v>0.38393117443526459</v>
      </c>
      <c r="HI128" s="21">
        <f>EXP(-LN(2)/2)*HI127+(1-EXP(-LN(2)/2))/(LN(2)/2)*HC128*HF128*VLOOKUP('Données projet'!$B$18,Paramètres!$A$1:$I$89,3,0)*0.475*44/12</f>
        <v>7.4696628749096574E-14</v>
      </c>
      <c r="HJ128" s="22">
        <f t="shared" si="84"/>
        <v>0.38393117443533931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4.9658410716801891E-14</v>
      </c>
      <c r="P129" s="13">
        <f t="shared" si="87"/>
        <v>8.0934058173791862E-13</v>
      </c>
      <c r="Q129" s="20">
        <f t="shared" si="107"/>
        <v>1.4960899118586383E-12</v>
      </c>
      <c r="R129" s="59">
        <f t="shared" si="55"/>
        <v>293.33333333333479</v>
      </c>
      <c r="S129" s="59">
        <f ca="1">AVERAGE(OFFSET($R$3,0,0,'Données projet'!$E$9+1,1))-AVERAGE(OFFSET($H$3,0,0,'Données projet'!$E$9+1,1))</f>
        <v>248.50221719467663</v>
      </c>
      <c r="T129" s="59">
        <f t="shared" si="88"/>
        <v>366.09064580347183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1.1793994664675582</v>
      </c>
      <c r="AA129" s="21">
        <f>EXP(-LN(2)/25)*AA128+(1-EXP(-LN(2)/25))/(LN(2)/25)*Calculateur!V129*Calculateur!X129*VLOOKUP('Données projet'!$B$9,Paramètres!$A$1:$I$89,3,0)*0.475*44/12</f>
        <v>1.6808116710628058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2.860211137530364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263.22346936777603</v>
      </c>
      <c r="AO129" s="59">
        <f t="shared" si="90"/>
        <v>217.14714468707939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0.50810412134934924</v>
      </c>
      <c r="AW129" s="21">
        <f>EXP(-LN(2)/2)*AW128+(1-EXP(-LN(2)/2))/(LN(2)/2)*AQ129*AT129*VLOOKUP('Données projet'!$B$10,Paramètres!$A$1:$I$89,3,0)*0.475*44/12</f>
        <v>6.3418640812220466E-14</v>
      </c>
      <c r="AX129" s="21">
        <f t="shared" si="60"/>
        <v>0.50810412134941263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4.4337866711430253E-14</v>
      </c>
      <c r="BF129" s="13">
        <f t="shared" si="91"/>
        <v>7.3222115536967035E-13</v>
      </c>
      <c r="BG129" s="20">
        <f t="shared" si="61"/>
        <v>1.3525069634579169E-12</v>
      </c>
      <c r="BH129" s="59">
        <f t="shared" si="62"/>
        <v>293.33333333333468</v>
      </c>
      <c r="BI129" s="59">
        <f ca="1">AVERAGE(OFFSET($BH$3,0,0,'Données projet'!$E$11+1,1))-AVERAGE(OFFSET($H$3,0,0,'Données projet'!$E$11+1,1))</f>
        <v>219.22204054948094</v>
      </c>
      <c r="BJ129" s="59">
        <f t="shared" si="92"/>
        <v>222.41711966122034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0.21895902230450989</v>
      </c>
      <c r="BR129" s="21">
        <f>EXP(-LN(2)/2)*BR128+(1-EXP(-LN(2)/2))/(LN(2)/2)*BL129*BO129*VLOOKUP('Données projet'!$B$11,Paramètres!$A$1:$I$89,3,0)*0.475*44/12</f>
        <v>1.1617755420206004E-14</v>
      </c>
      <c r="BS129" s="22">
        <f t="shared" si="63"/>
        <v>0.21895902230452152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-3.979039320256561E-13</v>
      </c>
      <c r="BZ129" s="13">
        <f>BY129*VLOOKUP('Données projet'!$B$12,Paramètres!$A$1:$I$89,3,0)*VLOOKUP('Données projet'!$B$12,Paramètres!$A$1:$I$89,5,0)</f>
        <v>-3.41401573678013E-13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237.27357081252273</v>
      </c>
      <c r="CE129" s="59">
        <f t="shared" si="94"/>
        <v>68.768479693848576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-3.4106051316484809E-13</v>
      </c>
      <c r="CU129" s="17">
        <f>CT129*VLOOKUP('Données projet'!$B$13,Paramètres!$A$1:$I$89,3,0)*VLOOKUP('Données projet'!$B$13,Paramètres!$A$1:$I$89,5,0)</f>
        <v>-1.9065282685915009E-13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474.03051418249999</v>
      </c>
      <c r="CZ129" s="59">
        <f t="shared" si="96"/>
        <v>649.52271992719091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0.81644207604794439</v>
      </c>
      <c r="DG129" s="21">
        <f>EXP(-LN(2)/25)*DG128+(1-EXP(-LN(2)/25))/(LN(2)/25)*Calculateur!DB129*Calculateur!DD129*VLOOKUP('Données projet'!$B$13,Paramètres!$A$1:$I$89,3,0)*0.475*44/12</f>
        <v>1.6894129476929391</v>
      </c>
      <c r="DH129" s="21">
        <f>EXP(-LN(2)/2)*DH128+(1-EXP(-LN(2)/2))/(LN(2)/2)*DB129*DE129*VLOOKUP('Données projet'!$B$13,Paramètres!$A$1:$I$89,3,0)*0.475*44/12</f>
        <v>4.1565570724646885E-14</v>
      </c>
      <c r="DI129" s="22">
        <f t="shared" si="69"/>
        <v>2.5058550237409252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-5.6843418860808015E-14</v>
      </c>
      <c r="DP129" s="17">
        <f>DO129*VLOOKUP('Données projet'!$B$14,Paramètres!$A$1:$I$89,3,0)*VLOOKUP('Données projet'!$B$14,Paramètres!$A$1:$I$89,5,0)</f>
        <v>-3.1036506698001178E-14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164.0740581424559</v>
      </c>
      <c r="DU129" s="59">
        <f t="shared" si="98"/>
        <v>280.99861170359793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0.98681004957055496</v>
      </c>
      <c r="EB129" s="21">
        <f>EXP(-LN(2)/25)*EB128+(1-EXP(-LN(2)/25))/(LN(2)/25)*Calculateur!DW129*Calculateur!DY129*VLOOKUP('Données projet'!$B$14,Paramètres!$A$1:$I$89,3,0)*0.475*44/12</f>
        <v>1.8083760531054458</v>
      </c>
      <c r="EC129" s="21">
        <f>EXP(-LN(2)/2)*EC128+(1-EXP(-LN(2)/2))/(LN(2)/2)*DW129*DZ129*VLOOKUP('Données projet'!$B$14,Paramètres!$A$1:$I$89,3,0)*0.475*44/12</f>
        <v>5.3925622215060241E-14</v>
      </c>
      <c r="ED129" s="22">
        <f t="shared" si="72"/>
        <v>2.7951861026760545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1.1368683772161603E-13</v>
      </c>
      <c r="EK129" s="17">
        <f>EJ129*VLOOKUP('Données projet'!$B$15,Paramètres!$A$1:$I$89,3,0)*VLOOKUP('Données projet'!$B$15,Paramètres!$A$1:$I$89,5,0)</f>
        <v>5.4683368944097308E-14</v>
      </c>
      <c r="EL129" s="13">
        <f t="shared" si="99"/>
        <v>8.8129432816788268E-13</v>
      </c>
      <c r="EM129" s="20">
        <f t="shared" si="73"/>
        <v>1.6301611558033651E-12</v>
      </c>
      <c r="EN129" s="59">
        <f t="shared" si="74"/>
        <v>293.33333333333496</v>
      </c>
      <c r="EO129" s="59">
        <f ca="1">AVERAGE(OFFSET($EN$3,0,0,'Données projet'!$E$15+1,1))-AVERAGE(OFFSET($H$3,0,0,'Données projet'!$E$15+1,1))</f>
        <v>312.1172301514103</v>
      </c>
      <c r="EP129" s="59">
        <f t="shared" si="100"/>
        <v>369.85500533493212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0.40368682309277876</v>
      </c>
      <c r="EW129" s="21">
        <f>EXP(-LN(2)/25)*EW128+(1-EXP(-LN(2)/25))/(LN(2)/25)*Calculateur!ER129*Calculateur!ET129*VLOOKUP('Données projet'!$B$15,Paramètres!$A$1:$I$89,3,0)*0.475*44/12</f>
        <v>1.0502168221519128</v>
      </c>
      <c r="EX129" s="21">
        <f>EXP(-LN(2)/2)*EX128+(1-EXP(-LN(2)/2))/(LN(2)/2)*ER129*EU129*VLOOKUP('Données projet'!$B$15,Paramètres!$A$1:$I$89,3,0)*0.475*44/12</f>
        <v>1.125377966365386E-13</v>
      </c>
      <c r="EY129" s="22">
        <f t="shared" si="75"/>
        <v>1.4539036452448042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-7.9808160080574461E-14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87.187251664304199</v>
      </c>
      <c r="FK129" s="59">
        <f t="shared" si="102"/>
        <v>148.84938257884147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0.56308922390760252</v>
      </c>
      <c r="FS129" s="21">
        <f>EXP(-LN(2)/2)*FS128+(1-EXP(-LN(2)/2))/(LN(2)/2)*FM129*FP129*VLOOKUP('Données projet'!$B$16,Paramètres!$A$1:$I$89,3,0)*0.475*44/12</f>
        <v>2.1614444480498204E-14</v>
      </c>
      <c r="FT129" s="22">
        <f t="shared" si="78"/>
        <v>0.56308922390762417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-1.1368683772161603E-13</v>
      </c>
      <c r="GA129" s="17">
        <f>FZ129*VLOOKUP('Données projet'!$B$17,Paramètres!$A$1:$I$89,3,0)*VLOOKUP('Données projet'!$B$17,Paramètres!$A$1:$I$89,5,0)</f>
        <v>-6.7984728957526396E-14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282.94722676586207</v>
      </c>
      <c r="GF129" s="59">
        <f t="shared" si="104"/>
        <v>310.63647941571298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0.74840888472376998</v>
      </c>
      <c r="GN129" s="21">
        <f>EXP(-LN(2)/2)*GN128+(1-EXP(-LN(2)/2))/(LN(2)/2)*GH129*GK129*VLOOKUP('Données projet'!$B$17,Paramètres!$A$1:$I$89,3,0)*0.475*44/12</f>
        <v>9.1085301070098445E-14</v>
      </c>
      <c r="GO129" s="21">
        <f t="shared" si="81"/>
        <v>0.74840888472386102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-1.1368683772161603E-13</v>
      </c>
      <c r="GV129" s="17">
        <f>GU129*VLOOKUP('Données projet'!$B$18,Paramètres!$A$1:$I$89,3,0)*VLOOKUP('Données projet'!$B$18,Paramètres!$A$1:$I$89,5,0)</f>
        <v>-6.7984728957526396E-14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255.54398581450459</v>
      </c>
      <c r="HA129" s="59">
        <f t="shared" si="106"/>
        <v>276.52622328061204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</v>
      </c>
      <c r="HH129" s="21">
        <f>EXP(-LN(2)/25)*HH128+(1-EXP(-LN(2)/25))/(LN(2)/25)*Calculateur!HC129*Calculateur!HE129*VLOOKUP('Données projet'!$B$18,Paramètres!$A$1:$I$89,3,0)*0.475*44/12</f>
        <v>0.37343255628026928</v>
      </c>
      <c r="HI129" s="21">
        <f>EXP(-LN(2)/2)*HI128+(1-EXP(-LN(2)/2))/(LN(2)/2)*HC129*HF129*VLOOKUP('Données projet'!$B$18,Paramètres!$A$1:$I$89,3,0)*0.475*44/12</f>
        <v>5.2818492720260207E-14</v>
      </c>
      <c r="HJ129" s="22">
        <f t="shared" si="84"/>
        <v>0.37343255628032207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4.9658410716801891E-14</v>
      </c>
      <c r="P130" s="13">
        <f t="shared" si="87"/>
        <v>8.0934058173791862E-13</v>
      </c>
      <c r="Q130" s="20">
        <f t="shared" si="107"/>
        <v>1.4960899118586383E-12</v>
      </c>
      <c r="R130" s="59">
        <f t="shared" si="55"/>
        <v>293.33333333333479</v>
      </c>
      <c r="S130" s="59">
        <f ca="1">AVERAGE(OFFSET($R$3,0,0,'Données projet'!$E$9+1,1))-AVERAGE(OFFSET($H$3,0,0,'Données projet'!$E$9+1,1))</f>
        <v>248.50221719467663</v>
      </c>
      <c r="T130" s="59">
        <f t="shared" si="88"/>
        <v>366.09064580347183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1.1562721622927727</v>
      </c>
      <c r="AA130" s="21">
        <f>EXP(-LN(2)/25)*AA129+(1-EXP(-LN(2)/25))/(LN(2)/25)*Calculateur!V130*Calculateur!X130*VLOOKUP('Données projet'!$B$9,Paramètres!$A$1:$I$89,3,0)*0.475*44/12</f>
        <v>1.6348497875275492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2.7911219498203219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263.22346936777603</v>
      </c>
      <c r="AO130" s="59">
        <f t="shared" si="90"/>
        <v>217.14714468707939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0.49420998743101685</v>
      </c>
      <c r="AW130" s="21">
        <f>EXP(-LN(2)/2)*AW129+(1-EXP(-LN(2)/2))/(LN(2)/2)*AQ130*AT130*VLOOKUP('Données projet'!$B$10,Paramètres!$A$1:$I$89,3,0)*0.475*44/12</f>
        <v>4.484375097195503E-14</v>
      </c>
      <c r="AX130" s="21">
        <f t="shared" si="60"/>
        <v>0.4942099874310617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4.4337866711430253E-14</v>
      </c>
      <c r="BF130" s="13">
        <f t="shared" si="91"/>
        <v>7.3222115536967035E-13</v>
      </c>
      <c r="BG130" s="20">
        <f t="shared" si="61"/>
        <v>1.3525069634579169E-12</v>
      </c>
      <c r="BH130" s="59">
        <f t="shared" si="62"/>
        <v>293.33333333333468</v>
      </c>
      <c r="BI130" s="59">
        <f ca="1">AVERAGE(OFFSET($BH$3,0,0,'Données projet'!$E$11+1,1))-AVERAGE(OFFSET($H$3,0,0,'Données projet'!$E$11+1,1))</f>
        <v>219.22204054948094</v>
      </c>
      <c r="BJ130" s="59">
        <f t="shared" si="92"/>
        <v>222.41711966122034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0.21297157632503852</v>
      </c>
      <c r="BR130" s="21">
        <f>EXP(-LN(2)/2)*BR129+(1-EXP(-LN(2)/2))/(LN(2)/2)*BL130*BO130*VLOOKUP('Données projet'!$B$11,Paramètres!$A$1:$I$89,3,0)*0.475*44/12</f>
        <v>8.214993639794433E-15</v>
      </c>
      <c r="BS130" s="22">
        <f t="shared" si="63"/>
        <v>0.21297157632504674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-3.979039320256561E-13</v>
      </c>
      <c r="BZ130" s="13">
        <f>BY130*VLOOKUP('Données projet'!$B$12,Paramètres!$A$1:$I$89,3,0)*VLOOKUP('Données projet'!$B$12,Paramètres!$A$1:$I$89,5,0)</f>
        <v>-3.41401573678013E-13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237.27357081252273</v>
      </c>
      <c r="CE130" s="59">
        <f t="shared" si="94"/>
        <v>68.768479693848576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-3.4106051316484809E-13</v>
      </c>
      <c r="CU130" s="17">
        <f>CT130*VLOOKUP('Données projet'!$B$13,Paramètres!$A$1:$I$89,3,0)*VLOOKUP('Données projet'!$B$13,Paramètres!$A$1:$I$89,5,0)</f>
        <v>-1.9065282685915009E-13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474.03051418249999</v>
      </c>
      <c r="CZ130" s="59">
        <f t="shared" si="96"/>
        <v>649.52271992719091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0.8004321449171391</v>
      </c>
      <c r="DG130" s="21">
        <f>EXP(-LN(2)/25)*DG129+(1-EXP(-LN(2)/25))/(LN(2)/25)*Calculateur!DB130*Calculateur!DD130*VLOOKUP('Données projet'!$B$13,Paramètres!$A$1:$I$89,3,0)*0.475*44/12</f>
        <v>1.6432158617959101</v>
      </c>
      <c r="DH130" s="21">
        <f>EXP(-LN(2)/2)*DH129+(1-EXP(-LN(2)/2))/(LN(2)/2)*DB130*DE130*VLOOKUP('Données projet'!$B$13,Paramètres!$A$1:$I$89,3,0)*0.475*44/12</f>
        <v>2.939129692328685E-14</v>
      </c>
      <c r="DI130" s="22">
        <f t="shared" si="69"/>
        <v>2.4436480067130786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-5.6843418860808015E-14</v>
      </c>
      <c r="DP130" s="17">
        <f>DO130*VLOOKUP('Données projet'!$B$14,Paramètres!$A$1:$I$89,3,0)*VLOOKUP('Données projet'!$B$14,Paramètres!$A$1:$I$89,5,0)</f>
        <v>-3.1036506698001178E-14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164.0740581424559</v>
      </c>
      <c r="DU130" s="59">
        <f t="shared" si="98"/>
        <v>280.99861170359793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0.96745930639317446</v>
      </c>
      <c r="EB130" s="21">
        <f>EXP(-LN(2)/25)*EB129+(1-EXP(-LN(2)/25))/(LN(2)/25)*Calculateur!DW130*Calculateur!DY130*VLOOKUP('Données projet'!$B$14,Paramètres!$A$1:$I$89,3,0)*0.475*44/12</f>
        <v>1.7589259148349139</v>
      </c>
      <c r="EC130" s="21">
        <f>EXP(-LN(2)/2)*EC129+(1-EXP(-LN(2)/2))/(LN(2)/2)*DW130*DZ130*VLOOKUP('Données projet'!$B$14,Paramètres!$A$1:$I$89,3,0)*0.475*44/12</f>
        <v>3.8131173147973028E-14</v>
      </c>
      <c r="ED130" s="22">
        <f t="shared" si="72"/>
        <v>2.7263852212281265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1.1368683772161603E-13</v>
      </c>
      <c r="EK130" s="17">
        <f>EJ130*VLOOKUP('Données projet'!$B$15,Paramètres!$A$1:$I$89,3,0)*VLOOKUP('Données projet'!$B$15,Paramètres!$A$1:$I$89,5,0)</f>
        <v>5.4683368944097308E-14</v>
      </c>
      <c r="EL130" s="13">
        <f t="shared" si="99"/>
        <v>8.8129432816788268E-13</v>
      </c>
      <c r="EM130" s="20">
        <f t="shared" si="73"/>
        <v>1.6301611558033651E-12</v>
      </c>
      <c r="EN130" s="59">
        <f t="shared" si="74"/>
        <v>293.33333333333496</v>
      </c>
      <c r="EO130" s="59">
        <f ca="1">AVERAGE(OFFSET($EN$3,0,0,'Données projet'!$E$15+1,1))-AVERAGE(OFFSET($H$3,0,0,'Données projet'!$E$15+1,1))</f>
        <v>312.1172301514103</v>
      </c>
      <c r="EP130" s="59">
        <f t="shared" si="100"/>
        <v>369.85500533493212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0.39577077071657879</v>
      </c>
      <c r="EW130" s="21">
        <f>EXP(-LN(2)/25)*EW129+(1-EXP(-LN(2)/25))/(LN(2)/25)*Calculateur!ER130*Calculateur!ET130*VLOOKUP('Données projet'!$B$15,Paramètres!$A$1:$I$89,3,0)*0.475*44/12</f>
        <v>1.0214985879216665</v>
      </c>
      <c r="EX130" s="21">
        <f>EXP(-LN(2)/2)*EX129+(1-EXP(-LN(2)/2))/(LN(2)/2)*ER130*EU130*VLOOKUP('Données projet'!$B$15,Paramètres!$A$1:$I$89,3,0)*0.475*44/12</f>
        <v>7.9576239141489097E-14</v>
      </c>
      <c r="EY130" s="22">
        <f t="shared" si="75"/>
        <v>1.4172693586383247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-7.9808160080574461E-14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87.187251664304199</v>
      </c>
      <c r="FK130" s="59">
        <f t="shared" si="102"/>
        <v>148.84938257884147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0.54769151946827377</v>
      </c>
      <c r="FS130" s="21">
        <f>EXP(-LN(2)/2)*FS129+(1-EXP(-LN(2)/2))/(LN(2)/2)*FM130*FP130*VLOOKUP('Données projet'!$B$16,Paramètres!$A$1:$I$89,3,0)*0.475*44/12</f>
        <v>1.5283720263740423E-14</v>
      </c>
      <c r="FT130" s="22">
        <f t="shared" si="78"/>
        <v>0.54769151946828909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-1.1368683772161603E-13</v>
      </c>
      <c r="GA130" s="17">
        <f>FZ130*VLOOKUP('Données projet'!$B$17,Paramètres!$A$1:$I$89,3,0)*VLOOKUP('Données projet'!$B$17,Paramètres!$A$1:$I$89,5,0)</f>
        <v>-6.7984728957526396E-14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282.94722676586207</v>
      </c>
      <c r="GF130" s="59">
        <f t="shared" si="104"/>
        <v>310.63647941571298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0.72794360441388573</v>
      </c>
      <c r="GN130" s="21">
        <f>EXP(-LN(2)/2)*GN129+(1-EXP(-LN(2)/2))/(LN(2)/2)*GH130*GK130*VLOOKUP('Données projet'!$B$17,Paramètres!$A$1:$I$89,3,0)*0.475*44/12</f>
        <v>6.4407034053084903E-14</v>
      </c>
      <c r="GO130" s="21">
        <f t="shared" si="81"/>
        <v>0.72794360441395012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-1.1368683772161603E-13</v>
      </c>
      <c r="GV130" s="17">
        <f>GU130*VLOOKUP('Données projet'!$B$18,Paramètres!$A$1:$I$89,3,0)*VLOOKUP('Données projet'!$B$18,Paramètres!$A$1:$I$89,5,0)</f>
        <v>-6.7984728957526396E-14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255.54398581450459</v>
      </c>
      <c r="HA130" s="59">
        <f t="shared" si="106"/>
        <v>276.52622328061204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</v>
      </c>
      <c r="HH130" s="21">
        <f>EXP(-LN(2)/25)*HH129+(1-EXP(-LN(2)/25))/(LN(2)/25)*Calculateur!HC130*Calculateur!HE130*VLOOKUP('Données projet'!$B$18,Paramètres!$A$1:$I$89,3,0)*0.475*44/12</f>
        <v>0.36322102339082069</v>
      </c>
      <c r="HI130" s="21">
        <f>EXP(-LN(2)/2)*HI129+(1-EXP(-LN(2)/2))/(LN(2)/2)*HC130*HF130*VLOOKUP('Données projet'!$B$18,Paramètres!$A$1:$I$89,3,0)*0.475*44/12</f>
        <v>3.7348314374548287E-14</v>
      </c>
      <c r="HJ130" s="22">
        <f t="shared" si="84"/>
        <v>0.36322102339085804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4.9658410716801891E-14</v>
      </c>
      <c r="P131" s="13">
        <f t="shared" si="87"/>
        <v>8.0934058173791862E-13</v>
      </c>
      <c r="Q131" s="20">
        <f t="shared" ref="Q131:Q153" si="108">(O131+P131)*0.475*44/12</f>
        <v>1.4960899118586383E-12</v>
      </c>
      <c r="R131" s="59">
        <f t="shared" ref="R131:R194" si="109">Q131+(I131+J131)*44/12</f>
        <v>293.33333333333479</v>
      </c>
      <c r="S131" s="59">
        <f ca="1">AVERAGE(OFFSET($R$3,0,0,'Données projet'!$E$9+1,1))-AVERAGE(OFFSET($H$3,0,0,'Données projet'!$E$9+1,1))</f>
        <v>248.50221719467663</v>
      </c>
      <c r="T131" s="59">
        <f t="shared" si="88"/>
        <v>366.09064580347183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1.1335983704465922</v>
      </c>
      <c r="AA131" s="21">
        <f>EXP(-LN(2)/25)*AA130+(1-EXP(-LN(2)/25))/(LN(2)/25)*Calculateur!V131*Calculateur!X131*VLOOKUP('Données projet'!$B$9,Paramètres!$A$1:$I$89,3,0)*0.475*44/12</f>
        <v>1.5901447341145944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2.7237431045611866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263.22346936777603</v>
      </c>
      <c r="AO131" s="59">
        <f t="shared" si="90"/>
        <v>217.14714468707939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0.48069578933534196</v>
      </c>
      <c r="AW131" s="21">
        <f>EXP(-LN(2)/2)*AW130+(1-EXP(-LN(2)/2))/(LN(2)/2)*AQ131*AT131*VLOOKUP('Données projet'!$B$10,Paramètres!$A$1:$I$89,3,0)*0.475*44/12</f>
        <v>3.1709320406110233E-14</v>
      </c>
      <c r="AX131" s="21">
        <f t="shared" si="60"/>
        <v>0.48069578933537366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4.4337866711430253E-14</v>
      </c>
      <c r="BF131" s="13">
        <f t="shared" si="91"/>
        <v>7.3222115536967035E-13</v>
      </c>
      <c r="BG131" s="20">
        <f t="shared" si="61"/>
        <v>1.3525069634579169E-12</v>
      </c>
      <c r="BH131" s="59">
        <f t="shared" si="62"/>
        <v>293.33333333333468</v>
      </c>
      <c r="BI131" s="59">
        <f ca="1">AVERAGE(OFFSET($BH$3,0,0,'Données projet'!$E$11+1,1))-AVERAGE(OFFSET($H$3,0,0,'Données projet'!$E$11+1,1))</f>
        <v>219.22204054948094</v>
      </c>
      <c r="BJ131" s="59">
        <f t="shared" si="92"/>
        <v>222.41711966122034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0.2071478573707419</v>
      </c>
      <c r="BR131" s="21">
        <f>EXP(-LN(2)/2)*BR130+(1-EXP(-LN(2)/2))/(LN(2)/2)*BL131*BO131*VLOOKUP('Données projet'!$B$11,Paramètres!$A$1:$I$89,3,0)*0.475*44/12</f>
        <v>5.8088777101030018E-15</v>
      </c>
      <c r="BS131" s="22">
        <f t="shared" si="63"/>
        <v>0.2071478573707477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-3.979039320256561E-13</v>
      </c>
      <c r="BZ131" s="13">
        <f>BY131*VLOOKUP('Données projet'!$B$12,Paramètres!$A$1:$I$89,3,0)*VLOOKUP('Données projet'!$B$12,Paramètres!$A$1:$I$89,5,0)</f>
        <v>-3.41401573678013E-13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237.27357081252273</v>
      </c>
      <c r="CE131" s="59">
        <f t="shared" si="94"/>
        <v>68.768479693848576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-3.4106051316484809E-13</v>
      </c>
      <c r="CU131" s="17">
        <f>CT131*VLOOKUP('Données projet'!$B$13,Paramètres!$A$1:$I$89,3,0)*VLOOKUP('Données projet'!$B$13,Paramètres!$A$1:$I$89,5,0)</f>
        <v>-1.9065282685915009E-13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474.03051418249999</v>
      </c>
      <c r="CZ131" s="59">
        <f t="shared" si="96"/>
        <v>649.52271992719091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0.78473615877071512</v>
      </c>
      <c r="DG131" s="21">
        <f>EXP(-LN(2)/25)*DG130+(1-EXP(-LN(2)/25))/(LN(2)/25)*Calculateur!DB131*Calculateur!DD131*VLOOKUP('Données projet'!$B$13,Paramètres!$A$1:$I$89,3,0)*0.475*44/12</f>
        <v>1.5982820376421343</v>
      </c>
      <c r="DH131" s="21">
        <f>EXP(-LN(2)/2)*DH130+(1-EXP(-LN(2)/2))/(LN(2)/2)*DB131*DE131*VLOOKUP('Données projet'!$B$13,Paramètres!$A$1:$I$89,3,0)*0.475*44/12</f>
        <v>2.0782785362323443E-14</v>
      </c>
      <c r="DI131" s="22">
        <f t="shared" si="69"/>
        <v>2.3830181964128703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-5.6843418860808015E-14</v>
      </c>
      <c r="DP131" s="17">
        <f>DO131*VLOOKUP('Données projet'!$B$14,Paramètres!$A$1:$I$89,3,0)*VLOOKUP('Données projet'!$B$14,Paramètres!$A$1:$I$89,5,0)</f>
        <v>-3.1036506698001178E-14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164.0740581424559</v>
      </c>
      <c r="DU131" s="59">
        <f t="shared" si="98"/>
        <v>280.99861170359793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0.94848801948671446</v>
      </c>
      <c r="EB131" s="21">
        <f>EXP(-LN(2)/25)*EB130+(1-EXP(-LN(2)/25))/(LN(2)/25)*Calculateur!DW131*Calculateur!DY131*VLOOKUP('Données projet'!$B$14,Paramètres!$A$1:$I$89,3,0)*0.475*44/12</f>
        <v>1.7108279931958594</v>
      </c>
      <c r="EC131" s="21">
        <f>EXP(-LN(2)/2)*EC130+(1-EXP(-LN(2)/2))/(LN(2)/2)*DW131*DZ131*VLOOKUP('Données projet'!$B$14,Paramètres!$A$1:$I$89,3,0)*0.475*44/12</f>
        <v>2.696281110753012E-14</v>
      </c>
      <c r="ED131" s="22">
        <f t="shared" si="72"/>
        <v>2.6593160126826008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1.1368683772161603E-13</v>
      </c>
      <c r="EK131" s="17">
        <f>EJ131*VLOOKUP('Données projet'!$B$15,Paramètres!$A$1:$I$89,3,0)*VLOOKUP('Données projet'!$B$15,Paramètres!$A$1:$I$89,5,0)</f>
        <v>5.4683368944097308E-14</v>
      </c>
      <c r="EL131" s="13">
        <f t="shared" si="99"/>
        <v>8.8129432816788268E-13</v>
      </c>
      <c r="EM131" s="20">
        <f t="shared" si="73"/>
        <v>1.6301611558033651E-12</v>
      </c>
      <c r="EN131" s="59">
        <f t="shared" si="74"/>
        <v>293.33333333333496</v>
      </c>
      <c r="EO131" s="59">
        <f ca="1">AVERAGE(OFFSET($EN$3,0,0,'Données projet'!$E$15+1,1))-AVERAGE(OFFSET($H$3,0,0,'Données projet'!$E$15+1,1))</f>
        <v>312.1172301514103</v>
      </c>
      <c r="EP131" s="59">
        <f t="shared" si="100"/>
        <v>369.85500533493212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0.38800994729916088</v>
      </c>
      <c r="EW131" s="21">
        <f>EXP(-LN(2)/25)*EW130+(1-EXP(-LN(2)/25))/(LN(2)/25)*Calculateur!ER131*Calculateur!ET131*VLOOKUP('Données projet'!$B$15,Paramètres!$A$1:$I$89,3,0)*0.475*44/12</f>
        <v>0.9935656553166724</v>
      </c>
      <c r="EX131" s="21">
        <f>EXP(-LN(2)/2)*EX130+(1-EXP(-LN(2)/2))/(LN(2)/2)*ER131*EU131*VLOOKUP('Données projet'!$B$15,Paramètres!$A$1:$I$89,3,0)*0.475*44/12</f>
        <v>5.6268898318269314E-14</v>
      </c>
      <c r="EY131" s="22">
        <f t="shared" si="75"/>
        <v>1.3815756026158894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-7.9808160080574461E-14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87.187251664304199</v>
      </c>
      <c r="FK131" s="59">
        <f t="shared" si="102"/>
        <v>148.84938257884147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0.53271486606656859</v>
      </c>
      <c r="FS131" s="21">
        <f>EXP(-LN(2)/2)*FS130+(1-EXP(-LN(2)/2))/(LN(2)/2)*FM131*FP131*VLOOKUP('Données projet'!$B$16,Paramètres!$A$1:$I$89,3,0)*0.475*44/12</f>
        <v>1.0807222240249102E-14</v>
      </c>
      <c r="FT131" s="22">
        <f t="shared" si="78"/>
        <v>0.53271486606657936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-1.1368683772161603E-13</v>
      </c>
      <c r="GA131" s="17">
        <f>FZ131*VLOOKUP('Données projet'!$B$17,Paramètres!$A$1:$I$89,3,0)*VLOOKUP('Données projet'!$B$17,Paramètres!$A$1:$I$89,5,0)</f>
        <v>-6.7984728957526396E-14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282.94722676586207</v>
      </c>
      <c r="GF131" s="59">
        <f t="shared" si="104"/>
        <v>310.63647941571298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0.70803794827029765</v>
      </c>
      <c r="GN131" s="21">
        <f>EXP(-LN(2)/2)*GN130+(1-EXP(-LN(2)/2))/(LN(2)/2)*GH131*GK131*VLOOKUP('Données projet'!$B$17,Paramètres!$A$1:$I$89,3,0)*0.475*44/12</f>
        <v>4.5542650535049223E-14</v>
      </c>
      <c r="GO131" s="21">
        <f t="shared" si="81"/>
        <v>0.70803794827034316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-1.1368683772161603E-13</v>
      </c>
      <c r="GV131" s="17">
        <f>GU131*VLOOKUP('Données projet'!$B$18,Paramètres!$A$1:$I$89,3,0)*VLOOKUP('Données projet'!$B$18,Paramètres!$A$1:$I$89,5,0)</f>
        <v>-6.7984728957526396E-14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255.54398581450459</v>
      </c>
      <c r="HA131" s="59">
        <f t="shared" si="106"/>
        <v>276.52622328061204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</v>
      </c>
      <c r="HH131" s="21">
        <f>EXP(-LN(2)/25)*HH130+(1-EXP(-LN(2)/25))/(LN(2)/25)*Calculateur!HC131*Calculateur!HE131*VLOOKUP('Données projet'!$B$18,Paramètres!$A$1:$I$89,3,0)*0.475*44/12</f>
        <v>0.3532887254052352</v>
      </c>
      <c r="HI131" s="21">
        <f>EXP(-LN(2)/2)*HI130+(1-EXP(-LN(2)/2))/(LN(2)/2)*HC131*HF131*VLOOKUP('Données projet'!$B$18,Paramètres!$A$1:$I$89,3,0)*0.475*44/12</f>
        <v>2.6409246360130103E-14</v>
      </c>
      <c r="HJ131" s="22">
        <f t="shared" si="84"/>
        <v>0.35328872540526163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4.9658410716801891E-14</v>
      </c>
      <c r="P132" s="13">
        <f t="shared" si="87"/>
        <v>8.0934058173791862E-13</v>
      </c>
      <c r="Q132" s="20">
        <f t="shared" si="108"/>
        <v>1.4960899118586383E-12</v>
      </c>
      <c r="R132" s="59">
        <f t="shared" si="109"/>
        <v>293.33333333333479</v>
      </c>
      <c r="S132" s="59">
        <f ca="1">AVERAGE(OFFSET($R$3,0,0,'Données projet'!$E$9+1,1))-AVERAGE(OFFSET($H$3,0,0,'Données projet'!$E$9+1,1))</f>
        <v>248.50221719467663</v>
      </c>
      <c r="T132" s="59">
        <f t="shared" si="88"/>
        <v>366.09064580347183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1.1113691978288678</v>
      </c>
      <c r="AA132" s="21">
        <f>EXP(-LN(2)/25)*AA131+(1-EXP(-LN(2)/25))/(LN(2)/25)*Calculateur!V132*Calculateur!X132*VLOOKUP('Données projet'!$B$9,Paramètres!$A$1:$I$89,3,0)*0.475*44/12</f>
        <v>1.5466621427381537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2.6580313405670215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263.22346936777603</v>
      </c>
      <c r="AO132" s="59">
        <f t="shared" si="90"/>
        <v>217.14714468707939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0.46755113769727413</v>
      </c>
      <c r="AW132" s="21">
        <f>EXP(-LN(2)/2)*AW131+(1-EXP(-LN(2)/2))/(LN(2)/2)*AQ132*AT132*VLOOKUP('Données projet'!$B$10,Paramètres!$A$1:$I$89,3,0)*0.475*44/12</f>
        <v>2.2421875485977515E-14</v>
      </c>
      <c r="AX132" s="21">
        <f t="shared" ref="AX132:AX153" si="114">SUM(AU132:AW132)</f>
        <v>0.46755113769729656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4.4337866711430253E-14</v>
      </c>
      <c r="BF132" s="13">
        <f t="shared" si="91"/>
        <v>7.3222115536967035E-13</v>
      </c>
      <c r="BG132" s="20">
        <f t="shared" ref="BG132:BG153" si="115">(BE132+BF132)*0.475*44/12</f>
        <v>1.3525069634579169E-12</v>
      </c>
      <c r="BH132" s="59">
        <f t="shared" ref="BH132:BH195" si="116">BG132+(AY132+AZ132)*44/12</f>
        <v>293.33333333333468</v>
      </c>
      <c r="BI132" s="59">
        <f ca="1">AVERAGE(OFFSET($BH$3,0,0,'Données projet'!$E$11+1,1))-AVERAGE(OFFSET($H$3,0,0,'Données projet'!$E$11+1,1))</f>
        <v>219.22204054948094</v>
      </c>
      <c r="BJ132" s="59">
        <f t="shared" si="92"/>
        <v>222.41711966122034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0.20148338831750659</v>
      </c>
      <c r="BR132" s="21">
        <f>EXP(-LN(2)/2)*BR131+(1-EXP(-LN(2)/2))/(LN(2)/2)*BL132*BO132*VLOOKUP('Données projet'!$B$11,Paramètres!$A$1:$I$89,3,0)*0.475*44/12</f>
        <v>4.1074968198972165E-15</v>
      </c>
      <c r="BS132" s="22">
        <f t="shared" ref="BS132:BS153" si="117">SUM(BP132:BR132)</f>
        <v>0.2014833883175107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-3.979039320256561E-13</v>
      </c>
      <c r="BZ132" s="13">
        <f>BY132*VLOOKUP('Données projet'!$B$12,Paramètres!$A$1:$I$89,3,0)*VLOOKUP('Données projet'!$B$12,Paramètres!$A$1:$I$89,5,0)</f>
        <v>-3.41401573678013E-13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237.27357081252273</v>
      </c>
      <c r="CE132" s="59">
        <f t="shared" si="94"/>
        <v>68.768479693848576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-3.4106051316484809E-13</v>
      </c>
      <c r="CU132" s="17">
        <f>CT132*VLOOKUP('Données projet'!$B$13,Paramètres!$A$1:$I$89,3,0)*VLOOKUP('Données projet'!$B$13,Paramètres!$A$1:$I$89,5,0)</f>
        <v>-1.9065282685915009E-13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474.03051418249999</v>
      </c>
      <c r="CZ132" s="59">
        <f t="shared" si="96"/>
        <v>649.52271992719091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0.76934796133901628</v>
      </c>
      <c r="DG132" s="21">
        <f>EXP(-LN(2)/25)*DG131+(1-EXP(-LN(2)/25))/(LN(2)/25)*Calculateur!DB132*Calculateur!DD132*VLOOKUP('Données projet'!$B$13,Paramètres!$A$1:$I$89,3,0)*0.475*44/12</f>
        <v>1.5545769312728106</v>
      </c>
      <c r="DH132" s="21">
        <f>EXP(-LN(2)/2)*DH131+(1-EXP(-LN(2)/2))/(LN(2)/2)*DB132*DE132*VLOOKUP('Données projet'!$B$13,Paramètres!$A$1:$I$89,3,0)*0.475*44/12</f>
        <v>1.4695648461643425E-14</v>
      </c>
      <c r="DI132" s="22">
        <f t="shared" ref="DI132:DI153" si="123">SUM(DF132:DH132)</f>
        <v>2.3239248926118417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-5.6843418860808015E-14</v>
      </c>
      <c r="DP132" s="17">
        <f>DO132*VLOOKUP('Données projet'!$B$14,Paramètres!$A$1:$I$89,3,0)*VLOOKUP('Données projet'!$B$14,Paramètres!$A$1:$I$89,5,0)</f>
        <v>-3.1036506698001178E-14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164.0740581424559</v>
      </c>
      <c r="DU132" s="59">
        <f t="shared" si="98"/>
        <v>280.99861170359793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0.92988874794514775</v>
      </c>
      <c r="EB132" s="21">
        <f>EXP(-LN(2)/25)*EB131+(1-EXP(-LN(2)/25))/(LN(2)/25)*Calculateur!DW132*Calculateur!DY132*VLOOKUP('Données projet'!$B$14,Paramètres!$A$1:$I$89,3,0)*0.475*44/12</f>
        <v>1.6640453117533847</v>
      </c>
      <c r="EC132" s="21">
        <f>EXP(-LN(2)/2)*EC131+(1-EXP(-LN(2)/2))/(LN(2)/2)*DW132*DZ132*VLOOKUP('Données projet'!$B$14,Paramètres!$A$1:$I$89,3,0)*0.475*44/12</f>
        <v>1.9065586573986514E-14</v>
      </c>
      <c r="ED132" s="22">
        <f t="shared" ref="ED132:ED153" si="126">SUM(EA132:EC132)</f>
        <v>2.5939340596985514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1.1368683772161603E-13</v>
      </c>
      <c r="EK132" s="17">
        <f>EJ132*VLOOKUP('Données projet'!$B$15,Paramètres!$A$1:$I$89,3,0)*VLOOKUP('Données projet'!$B$15,Paramètres!$A$1:$I$89,5,0)</f>
        <v>5.4683368944097308E-14</v>
      </c>
      <c r="EL132" s="13">
        <f t="shared" si="99"/>
        <v>8.8129432816788268E-13</v>
      </c>
      <c r="EM132" s="20">
        <f t="shared" ref="EM132:EM153" si="127">(EK132+EL132)*0.475*44/12</f>
        <v>1.6301611558033651E-12</v>
      </c>
      <c r="EN132" s="59">
        <f t="shared" ref="EN132:EN195" si="128">EM132+(EE132+EF132)*44/12</f>
        <v>293.33333333333496</v>
      </c>
      <c r="EO132" s="59">
        <f ca="1">AVERAGE(OFFSET($EN$3,0,0,'Données projet'!$E$15+1,1))-AVERAGE(OFFSET($H$3,0,0,'Données projet'!$E$15+1,1))</f>
        <v>312.1172301514103</v>
      </c>
      <c r="EP132" s="59">
        <f t="shared" si="100"/>
        <v>369.85500533493212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0.3804013088953237</v>
      </c>
      <c r="EW132" s="21">
        <f>EXP(-LN(2)/25)*EW131+(1-EXP(-LN(2)/25))/(LN(2)/25)*Calculateur!ER132*Calculateur!ET132*VLOOKUP('Données projet'!$B$15,Paramètres!$A$1:$I$89,3,0)*0.475*44/12</f>
        <v>0.966396550222691</v>
      </c>
      <c r="EX132" s="21">
        <f>EXP(-LN(2)/2)*EX131+(1-EXP(-LN(2)/2))/(LN(2)/2)*ER132*EU132*VLOOKUP('Données projet'!$B$15,Paramètres!$A$1:$I$89,3,0)*0.475*44/12</f>
        <v>3.9788119570744555E-14</v>
      </c>
      <c r="EY132" s="22">
        <f t="shared" ref="EY132:EY153" si="129">SUM(EV132:EX132)</f>
        <v>1.3467978591180545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-7.9808160080574461E-14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87.187251664304199</v>
      </c>
      <c r="FK132" s="59">
        <f t="shared" si="102"/>
        <v>148.84938257884147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0.51814775003972102</v>
      </c>
      <c r="FS132" s="21">
        <f>EXP(-LN(2)/2)*FS131+(1-EXP(-LN(2)/2))/(LN(2)/2)*FM132*FP132*VLOOKUP('Données projet'!$B$16,Paramètres!$A$1:$I$89,3,0)*0.475*44/12</f>
        <v>7.6418601318702116E-15</v>
      </c>
      <c r="FT132" s="22">
        <f t="shared" ref="FT132:FT153" si="132">SUM(FQ132:FS132)</f>
        <v>0.51814775003972868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-1.1368683772161603E-13</v>
      </c>
      <c r="GA132" s="17">
        <f>FZ132*VLOOKUP('Données projet'!$B$17,Paramètres!$A$1:$I$89,3,0)*VLOOKUP('Données projet'!$B$17,Paramètres!$A$1:$I$89,5,0)</f>
        <v>-6.7984728957526396E-14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282.94722676586207</v>
      </c>
      <c r="GF132" s="59">
        <f t="shared" si="104"/>
        <v>310.63647941571298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0.68867661334074892</v>
      </c>
      <c r="GN132" s="21">
        <f>EXP(-LN(2)/2)*GN131+(1-EXP(-LN(2)/2))/(LN(2)/2)*GH132*GK132*VLOOKUP('Données projet'!$B$17,Paramètres!$A$1:$I$89,3,0)*0.475*44/12</f>
        <v>3.2203517026542452E-14</v>
      </c>
      <c r="GO132" s="21">
        <f t="shared" ref="GO132:GO153" si="135">SUM(GL132:GN132)</f>
        <v>0.68867661334078112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-1.1368683772161603E-13</v>
      </c>
      <c r="GV132" s="17">
        <f>GU132*VLOOKUP('Données projet'!$B$18,Paramètres!$A$1:$I$89,3,0)*VLOOKUP('Données projet'!$B$18,Paramètres!$A$1:$I$89,5,0)</f>
        <v>-6.7984728957526396E-14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255.54398581450459</v>
      </c>
      <c r="HA132" s="59">
        <f t="shared" si="106"/>
        <v>276.52622328061204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</v>
      </c>
      <c r="HH132" s="21">
        <f>EXP(-LN(2)/25)*HH131+(1-EXP(-LN(2)/25))/(LN(2)/25)*Calculateur!HC132*Calculateur!HE132*VLOOKUP('Données projet'!$B$18,Paramètres!$A$1:$I$89,3,0)*0.475*44/12</f>
        <v>0.34362802663038244</v>
      </c>
      <c r="HI132" s="21">
        <f>EXP(-LN(2)/2)*HI131+(1-EXP(-LN(2)/2))/(LN(2)/2)*HC132*HF132*VLOOKUP('Données projet'!$B$18,Paramètres!$A$1:$I$89,3,0)*0.475*44/12</f>
        <v>1.8674157187274143E-14</v>
      </c>
      <c r="HJ132" s="22">
        <f t="shared" ref="HJ132:HJ153" si="138">SUM(HG132:HI132)</f>
        <v>0.3436280266304011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4.9658410716801891E-14</v>
      </c>
      <c r="P133" s="13">
        <f t="shared" ref="P133:P196" si="141">EXP(-1.0587+0.8836*LN(O133)+0.284)</f>
        <v>8.0934058173791862E-13</v>
      </c>
      <c r="Q133" s="20">
        <f t="shared" si="108"/>
        <v>1.4960899118586383E-12</v>
      </c>
      <c r="R133" s="59">
        <f t="shared" si="109"/>
        <v>293.33333333333479</v>
      </c>
      <c r="S133" s="59">
        <f ca="1">AVERAGE(OFFSET($R$3,0,0,'Données projet'!$E$9+1,1))-AVERAGE(OFFSET($H$3,0,0,'Données projet'!$E$9+1,1))</f>
        <v>248.50221719467663</v>
      </c>
      <c r="T133" s="59">
        <f t="shared" ref="T133:T196" si="142">$T$3</f>
        <v>366.09064580347183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1.0895759257277204</v>
      </c>
      <c r="AA133" s="21">
        <f>EXP(-LN(2)/25)*AA132+(1-EXP(-LN(2)/25))/(LN(2)/25)*Calculateur!V133*Calculateur!X133*VLOOKUP('Données projet'!$B$9,Paramètres!$A$1:$I$89,3,0)*0.475*44/12</f>
        <v>1.5043685851095518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2.5939445108372725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263.22346936777603</v>
      </c>
      <c r="AO133" s="59">
        <f t="shared" ref="AO133:AO196" si="144">$AO$3</f>
        <v>217.14714468707939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0.45476592724949644</v>
      </c>
      <c r="AW133" s="21">
        <f>EXP(-LN(2)/2)*AW132+(1-EXP(-LN(2)/2))/(LN(2)/2)*AQ133*AT133*VLOOKUP('Données projet'!$B$10,Paramètres!$A$1:$I$89,3,0)*0.475*44/12</f>
        <v>1.5854660203055117E-14</v>
      </c>
      <c r="AX133" s="21">
        <f t="shared" si="114"/>
        <v>0.45476592724951231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4.4337866711430253E-14</v>
      </c>
      <c r="BF133" s="13">
        <f t="shared" ref="BF133:BF153" si="145">EXP(-1.0587+0.8836*LN(BE133)+0.284)</f>
        <v>7.3222115536967035E-13</v>
      </c>
      <c r="BG133" s="20">
        <f t="shared" si="115"/>
        <v>1.3525069634579169E-12</v>
      </c>
      <c r="BH133" s="59">
        <f t="shared" si="116"/>
        <v>293.33333333333468</v>
      </c>
      <c r="BI133" s="59">
        <f ca="1">AVERAGE(OFFSET($BH$3,0,0,'Données projet'!$E$11+1,1))-AVERAGE(OFFSET($H$3,0,0,'Données projet'!$E$11+1,1))</f>
        <v>219.22204054948094</v>
      </c>
      <c r="BJ133" s="59">
        <f t="shared" ref="BJ133:BJ196" si="146">$BJ$3</f>
        <v>222.41711966122034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0.19597381446841347</v>
      </c>
      <c r="BR133" s="21">
        <f>EXP(-LN(2)/2)*BR132+(1-EXP(-LN(2)/2))/(LN(2)/2)*BL133*BO133*VLOOKUP('Données projet'!$B$11,Paramètres!$A$1:$I$89,3,0)*0.475*44/12</f>
        <v>2.9044388550515009E-15</v>
      </c>
      <c r="BS133" s="22">
        <f t="shared" si="117"/>
        <v>0.19597381446841639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-3.979039320256561E-13</v>
      </c>
      <c r="BZ133" s="13">
        <f>BY133*VLOOKUP('Données projet'!$B$12,Paramètres!$A$1:$I$89,3,0)*VLOOKUP('Données projet'!$B$12,Paramètres!$A$1:$I$89,5,0)</f>
        <v>-3.41401573678013E-13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237.27357081252273</v>
      </c>
      <c r="CE133" s="59">
        <f t="shared" ref="CE133:CE196" si="148">$CE$3</f>
        <v>68.768479693848576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-3.4106051316484809E-13</v>
      </c>
      <c r="CU133" s="17">
        <f>CT133*VLOOKUP('Données projet'!$B$13,Paramètres!$A$1:$I$89,3,0)*VLOOKUP('Données projet'!$B$13,Paramètres!$A$1:$I$89,5,0)</f>
        <v>-1.9065282685915009E-13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474.03051418249999</v>
      </c>
      <c r="CZ133" s="59">
        <f t="shared" ref="CZ133:CZ196" si="150">$CZ$3</f>
        <v>649.52271992719091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0.75426151707307942</v>
      </c>
      <c r="DG133" s="21">
        <f>EXP(-LN(2)/25)*DG132+(1-EXP(-LN(2)/25))/(LN(2)/25)*Calculateur!DB133*Calculateur!DD133*VLOOKUP('Données projet'!$B$13,Paramètres!$A$1:$I$89,3,0)*0.475*44/12</f>
        <v>1.5120669433355078</v>
      </c>
      <c r="DH133" s="21">
        <f>EXP(-LN(2)/2)*DH132+(1-EXP(-LN(2)/2))/(LN(2)/2)*DB133*DE133*VLOOKUP('Données projet'!$B$13,Paramètres!$A$1:$I$89,3,0)*0.475*44/12</f>
        <v>1.0391392681161721E-14</v>
      </c>
      <c r="DI133" s="22">
        <f t="shared" si="123"/>
        <v>2.2663284604085976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-5.6843418860808015E-14</v>
      </c>
      <c r="DP133" s="17">
        <f>DO133*VLOOKUP('Données projet'!$B$14,Paramètres!$A$1:$I$89,3,0)*VLOOKUP('Données projet'!$B$14,Paramètres!$A$1:$I$89,5,0)</f>
        <v>-3.1036506698001178E-14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164.0740581424559</v>
      </c>
      <c r="DU133" s="59">
        <f t="shared" ref="DU133:DU196" si="152">$DU$3</f>
        <v>280.99861170359793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0.91165419677407566</v>
      </c>
      <c r="EB133" s="21">
        <f>EXP(-LN(2)/25)*EB132+(1-EXP(-LN(2)/25))/(LN(2)/25)*Calculateur!DW133*Calculateur!DY133*VLOOKUP('Données projet'!$B$14,Paramètres!$A$1:$I$89,3,0)*0.475*44/12</f>
        <v>1.6185419051951486</v>
      </c>
      <c r="EC133" s="21">
        <f>EXP(-LN(2)/2)*EC132+(1-EXP(-LN(2)/2))/(LN(2)/2)*DW133*DZ133*VLOOKUP('Données projet'!$B$14,Paramètres!$A$1:$I$89,3,0)*0.475*44/12</f>
        <v>1.348140555376506E-14</v>
      </c>
      <c r="ED133" s="22">
        <f t="shared" si="126"/>
        <v>2.5301961019692376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1.1368683772161603E-13</v>
      </c>
      <c r="EK133" s="17">
        <f>EJ133*VLOOKUP('Données projet'!$B$15,Paramètres!$A$1:$I$89,3,0)*VLOOKUP('Données projet'!$B$15,Paramètres!$A$1:$I$89,5,0)</f>
        <v>5.4683368944097308E-14</v>
      </c>
      <c r="EL133" s="13">
        <f t="shared" ref="EL133:EL153" si="153">EXP(-1.0587+0.8836*LN(EK133)+0.284)</f>
        <v>8.8129432816788268E-13</v>
      </c>
      <c r="EM133" s="20">
        <f t="shared" si="127"/>
        <v>1.6301611558033651E-12</v>
      </c>
      <c r="EN133" s="59">
        <f t="shared" si="128"/>
        <v>293.33333333333496</v>
      </c>
      <c r="EO133" s="59">
        <f ca="1">AVERAGE(OFFSET($EN$3,0,0,'Données projet'!$E$15+1,1))-AVERAGE(OFFSET($H$3,0,0,'Données projet'!$E$15+1,1))</f>
        <v>312.1172301514103</v>
      </c>
      <c r="EP133" s="59">
        <f t="shared" ref="EP133:EP196" si="154">$EP$3</f>
        <v>369.85500533493212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0.37294187124977457</v>
      </c>
      <c r="EW133" s="21">
        <f>EXP(-LN(2)/25)*EW132+(1-EXP(-LN(2)/25))/(LN(2)/25)*Calculateur!ER133*Calculateur!ET133*VLOOKUP('Données projet'!$B$15,Paramètres!$A$1:$I$89,3,0)*0.475*44/12</f>
        <v>0.93997038573626568</v>
      </c>
      <c r="EX133" s="21">
        <f>EXP(-LN(2)/2)*EX132+(1-EXP(-LN(2)/2))/(LN(2)/2)*ER133*EU133*VLOOKUP('Données projet'!$B$15,Paramètres!$A$1:$I$89,3,0)*0.475*44/12</f>
        <v>2.813444915913466E-14</v>
      </c>
      <c r="EY133" s="22">
        <f t="shared" si="129"/>
        <v>1.3129122569860685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-7.9808160080574461E-14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87.187251664304199</v>
      </c>
      <c r="FK133" s="59">
        <f t="shared" ref="FK133:FK196" si="156">$FK$3</f>
        <v>148.84938257884147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0.5039789725666789</v>
      </c>
      <c r="FS133" s="21">
        <f>EXP(-LN(2)/2)*FS132+(1-EXP(-LN(2)/2))/(LN(2)/2)*FM133*FP133*VLOOKUP('Données projet'!$B$16,Paramètres!$A$1:$I$89,3,0)*0.475*44/12</f>
        <v>5.4036111201245509E-15</v>
      </c>
      <c r="FT133" s="22">
        <f t="shared" si="132"/>
        <v>0.50397897256668434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-1.1368683772161603E-13</v>
      </c>
      <c r="GA133" s="17">
        <f>FZ133*VLOOKUP('Données projet'!$B$17,Paramètres!$A$1:$I$89,3,0)*VLOOKUP('Données projet'!$B$17,Paramètres!$A$1:$I$89,5,0)</f>
        <v>-6.7984728957526396E-14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282.94722676586207</v>
      </c>
      <c r="GF133" s="59">
        <f t="shared" ref="GF133:GF196" si="158">$GF$3</f>
        <v>310.63647941571298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0.66984471513301702</v>
      </c>
      <c r="GN133" s="21">
        <f>EXP(-LN(2)/2)*GN132+(1-EXP(-LN(2)/2))/(LN(2)/2)*GH133*GK133*VLOOKUP('Données projet'!$B$17,Paramètres!$A$1:$I$89,3,0)*0.475*44/12</f>
        <v>2.2771325267524611E-14</v>
      </c>
      <c r="GO133" s="21">
        <f t="shared" si="135"/>
        <v>0.66984471513303978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-1.1368683772161603E-13</v>
      </c>
      <c r="GV133" s="17">
        <f>GU133*VLOOKUP('Données projet'!$B$18,Paramètres!$A$1:$I$89,3,0)*VLOOKUP('Données projet'!$B$18,Paramètres!$A$1:$I$89,5,0)</f>
        <v>-6.7984728957526396E-14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255.54398581450459</v>
      </c>
      <c r="HA133" s="59">
        <f t="shared" ref="HA133:HA196" si="160">$HA$3</f>
        <v>276.52622328061204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</v>
      </c>
      <c r="HH133" s="21">
        <f>EXP(-LN(2)/25)*HH132+(1-EXP(-LN(2)/25))/(LN(2)/25)*Calculateur!HC133*Calculateur!HE133*VLOOKUP('Données projet'!$B$18,Paramètres!$A$1:$I$89,3,0)*0.475*44/12</f>
        <v>0.33423150017156211</v>
      </c>
      <c r="HI133" s="21">
        <f>EXP(-LN(2)/2)*HI132+(1-EXP(-LN(2)/2))/(LN(2)/2)*HC133*HF133*VLOOKUP('Données projet'!$B$18,Paramètres!$A$1:$I$89,3,0)*0.475*44/12</f>
        <v>1.3204623180065052E-14</v>
      </c>
      <c r="HJ133" s="22">
        <f t="shared" si="138"/>
        <v>0.33423150017157532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4.9658410716801891E-14</v>
      </c>
      <c r="P134" s="13">
        <f t="shared" si="141"/>
        <v>8.0934058173791862E-13</v>
      </c>
      <c r="Q134" s="20">
        <f t="shared" si="108"/>
        <v>1.4960899118586383E-12</v>
      </c>
      <c r="R134" s="59">
        <f t="shared" si="109"/>
        <v>293.33333333333479</v>
      </c>
      <c r="S134" s="59">
        <f ca="1">AVERAGE(OFFSET($R$3,0,0,'Données projet'!$E$9+1,1))-AVERAGE(OFFSET($H$3,0,0,'Données projet'!$E$9+1,1))</f>
        <v>248.50221719467663</v>
      </c>
      <c r="T134" s="59">
        <f t="shared" si="142"/>
        <v>366.09064580347183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1.0682100063998932</v>
      </c>
      <c r="AA134" s="21">
        <f>EXP(-LN(2)/25)*AA133+(1-EXP(-LN(2)/25))/(LN(2)/25)*Calculateur!V134*Calculateur!X134*VLOOKUP('Données projet'!$B$9,Paramètres!$A$1:$I$89,3,0)*0.475*44/12</f>
        <v>1.4632315470384256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2.5314415534383188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263.22346936777603</v>
      </c>
      <c r="AO134" s="59">
        <f t="shared" si="144"/>
        <v>217.14714468707939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0.44233032905375824</v>
      </c>
      <c r="AW134" s="21">
        <f>EXP(-LN(2)/2)*AW133+(1-EXP(-LN(2)/2))/(LN(2)/2)*AQ134*AT134*VLOOKUP('Données projet'!$B$10,Paramètres!$A$1:$I$89,3,0)*0.475*44/12</f>
        <v>1.1210937742988758E-14</v>
      </c>
      <c r="AX134" s="21">
        <f t="shared" si="114"/>
        <v>0.44233032905376946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4.4337866711430253E-14</v>
      </c>
      <c r="BF134" s="13">
        <f t="shared" si="145"/>
        <v>7.3222115536967035E-13</v>
      </c>
      <c r="BG134" s="20">
        <f t="shared" si="115"/>
        <v>1.3525069634579169E-12</v>
      </c>
      <c r="BH134" s="59">
        <f t="shared" si="116"/>
        <v>293.33333333333468</v>
      </c>
      <c r="BI134" s="59">
        <f ca="1">AVERAGE(OFFSET($BH$3,0,0,'Données projet'!$E$11+1,1))-AVERAGE(OFFSET($H$3,0,0,'Données projet'!$E$11+1,1))</f>
        <v>219.22204054948094</v>
      </c>
      <c r="BJ134" s="59">
        <f t="shared" si="146"/>
        <v>222.41711966122034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0.1906149002059597</v>
      </c>
      <c r="BR134" s="21">
        <f>EXP(-LN(2)/2)*BR133+(1-EXP(-LN(2)/2))/(LN(2)/2)*BL134*BO134*VLOOKUP('Données projet'!$B$11,Paramètres!$A$1:$I$89,3,0)*0.475*44/12</f>
        <v>2.0537484099486083E-15</v>
      </c>
      <c r="BS134" s="22">
        <f t="shared" si="117"/>
        <v>0.19061490020596175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-3.979039320256561E-13</v>
      </c>
      <c r="BZ134" s="13">
        <f>BY134*VLOOKUP('Données projet'!$B$12,Paramètres!$A$1:$I$89,3,0)*VLOOKUP('Données projet'!$B$12,Paramètres!$A$1:$I$89,5,0)</f>
        <v>-3.41401573678013E-13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237.27357081252273</v>
      </c>
      <c r="CE134" s="59">
        <f t="shared" si="148"/>
        <v>68.768479693848576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-3.4106051316484809E-13</v>
      </c>
      <c r="CU134" s="17">
        <f>CT134*VLOOKUP('Données projet'!$B$13,Paramètres!$A$1:$I$89,3,0)*VLOOKUP('Données projet'!$B$13,Paramètres!$A$1:$I$89,5,0)</f>
        <v>-1.9065282685915009E-13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474.03051418249999</v>
      </c>
      <c r="CZ134" s="59">
        <f t="shared" si="150"/>
        <v>649.52271992719091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0.7394709087773752</v>
      </c>
      <c r="DG134" s="21">
        <f>EXP(-LN(2)/25)*DG133+(1-EXP(-LN(2)/25))/(LN(2)/25)*Calculateur!DB134*Calculateur!DD134*VLOOKUP('Données projet'!$B$13,Paramètres!$A$1:$I$89,3,0)*0.475*44/12</f>
        <v>1.4707193932538538</v>
      </c>
      <c r="DH134" s="21">
        <f>EXP(-LN(2)/2)*DH133+(1-EXP(-LN(2)/2))/(LN(2)/2)*DB134*DE134*VLOOKUP('Données projet'!$B$13,Paramètres!$A$1:$I$89,3,0)*0.475*44/12</f>
        <v>7.3478242308217126E-15</v>
      </c>
      <c r="DI134" s="22">
        <f t="shared" si="123"/>
        <v>2.2101903020312368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-5.6843418860808015E-14</v>
      </c>
      <c r="DP134" s="17">
        <f>DO134*VLOOKUP('Données projet'!$B$14,Paramètres!$A$1:$I$89,3,0)*VLOOKUP('Données projet'!$B$14,Paramètres!$A$1:$I$89,5,0)</f>
        <v>-3.1036506698001178E-14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164.0740581424559</v>
      </c>
      <c r="DU134" s="59">
        <f t="shared" si="152"/>
        <v>280.99861170359793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0.89377721402949029</v>
      </c>
      <c r="EB134" s="21">
        <f>EXP(-LN(2)/25)*EB133+(1-EXP(-LN(2)/25))/(LN(2)/25)*Calculateur!DW134*Calculateur!DY134*VLOOKUP('Données projet'!$B$14,Paramètres!$A$1:$I$89,3,0)*0.475*44/12</f>
        <v>1.5742827916821678</v>
      </c>
      <c r="EC134" s="21">
        <f>EXP(-LN(2)/2)*EC133+(1-EXP(-LN(2)/2))/(LN(2)/2)*DW134*DZ134*VLOOKUP('Données projet'!$B$14,Paramètres!$A$1:$I$89,3,0)*0.475*44/12</f>
        <v>9.5327932869932569E-15</v>
      </c>
      <c r="ED134" s="22">
        <f t="shared" si="126"/>
        <v>2.4680600057116675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1.1368683772161603E-13</v>
      </c>
      <c r="EK134" s="17">
        <f>EJ134*VLOOKUP('Données projet'!$B$15,Paramètres!$A$1:$I$89,3,0)*VLOOKUP('Données projet'!$B$15,Paramètres!$A$1:$I$89,5,0)</f>
        <v>5.4683368944097308E-14</v>
      </c>
      <c r="EL134" s="13">
        <f t="shared" si="153"/>
        <v>8.8129432816788268E-13</v>
      </c>
      <c r="EM134" s="20">
        <f t="shared" si="127"/>
        <v>1.6301611558033651E-12</v>
      </c>
      <c r="EN134" s="59">
        <f t="shared" si="128"/>
        <v>293.33333333333496</v>
      </c>
      <c r="EO134" s="59">
        <f ca="1">AVERAGE(OFFSET($EN$3,0,0,'Données projet'!$E$15+1,1))-AVERAGE(OFFSET($H$3,0,0,'Données projet'!$E$15+1,1))</f>
        <v>312.1172301514103</v>
      </c>
      <c r="EP134" s="59">
        <f t="shared" si="154"/>
        <v>369.85500533493212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0.36562870862664693</v>
      </c>
      <c r="EW134" s="21">
        <f>EXP(-LN(2)/25)*EW133+(1-EXP(-LN(2)/25))/(LN(2)/25)*Calculateur!ER134*Calculateur!ET134*VLOOKUP('Données projet'!$B$15,Paramètres!$A$1:$I$89,3,0)*0.475*44/12</f>
        <v>0.91426684610741327</v>
      </c>
      <c r="EX134" s="21">
        <f>EXP(-LN(2)/2)*EX133+(1-EXP(-LN(2)/2))/(LN(2)/2)*ER134*EU134*VLOOKUP('Données projet'!$B$15,Paramètres!$A$1:$I$89,3,0)*0.475*44/12</f>
        <v>1.9894059785372281E-14</v>
      </c>
      <c r="EY134" s="22">
        <f t="shared" si="129"/>
        <v>1.2798955547340802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-7.9808160080574461E-14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87.187251664304199</v>
      </c>
      <c r="FK134" s="59">
        <f t="shared" si="156"/>
        <v>148.84938257884147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0.49019764105874075</v>
      </c>
      <c r="FS134" s="21">
        <f>EXP(-LN(2)/2)*FS133+(1-EXP(-LN(2)/2))/(LN(2)/2)*FM134*FP134*VLOOKUP('Données projet'!$B$16,Paramètres!$A$1:$I$89,3,0)*0.475*44/12</f>
        <v>3.8209300659351058E-15</v>
      </c>
      <c r="FT134" s="22">
        <f t="shared" si="132"/>
        <v>0.49019764105874458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-1.1368683772161603E-13</v>
      </c>
      <c r="GA134" s="17">
        <f>FZ134*VLOOKUP('Données projet'!$B$17,Paramètres!$A$1:$I$89,3,0)*VLOOKUP('Données projet'!$B$17,Paramètres!$A$1:$I$89,5,0)</f>
        <v>-6.7984728957526396E-14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282.94722676586207</v>
      </c>
      <c r="GF134" s="59">
        <f t="shared" si="158"/>
        <v>310.63647941571298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0.651527776172102</v>
      </c>
      <c r="GN134" s="21">
        <f>EXP(-LN(2)/2)*GN133+(1-EXP(-LN(2)/2))/(LN(2)/2)*GH134*GK134*VLOOKUP('Données projet'!$B$17,Paramètres!$A$1:$I$89,3,0)*0.475*44/12</f>
        <v>1.6101758513271226E-14</v>
      </c>
      <c r="GO134" s="21">
        <f t="shared" si="135"/>
        <v>0.6515277761721181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-1.1368683772161603E-13</v>
      </c>
      <c r="GV134" s="17">
        <f>GU134*VLOOKUP('Données projet'!$B$18,Paramètres!$A$1:$I$89,3,0)*VLOOKUP('Données projet'!$B$18,Paramètres!$A$1:$I$89,5,0)</f>
        <v>-6.7984728957526396E-14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255.54398581450459</v>
      </c>
      <c r="HA134" s="59">
        <f t="shared" si="160"/>
        <v>276.52622328061204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</v>
      </c>
      <c r="HH134" s="21">
        <f>EXP(-LN(2)/25)*HH133+(1-EXP(-LN(2)/25))/(LN(2)/25)*Calculateur!HC134*Calculateur!HE134*VLOOKUP('Données projet'!$B$18,Paramètres!$A$1:$I$89,3,0)*0.475*44/12</f>
        <v>0.32509192222290006</v>
      </c>
      <c r="HI134" s="21">
        <f>EXP(-LN(2)/2)*HI133+(1-EXP(-LN(2)/2))/(LN(2)/2)*HC134*HF134*VLOOKUP('Données projet'!$B$18,Paramètres!$A$1:$I$89,3,0)*0.475*44/12</f>
        <v>9.3370785936370717E-15</v>
      </c>
      <c r="HJ134" s="22">
        <f t="shared" si="138"/>
        <v>0.32509192222290939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4.9658410716801891E-14</v>
      </c>
      <c r="P135" s="13">
        <f t="shared" si="141"/>
        <v>8.0934058173791862E-13</v>
      </c>
      <c r="Q135" s="20">
        <f t="shared" si="108"/>
        <v>1.4960899118586383E-12</v>
      </c>
      <c r="R135" s="59">
        <f t="shared" si="109"/>
        <v>293.33333333333479</v>
      </c>
      <c r="S135" s="59">
        <f ca="1">AVERAGE(OFFSET($R$3,0,0,'Données projet'!$E$9+1,1))-AVERAGE(OFFSET($H$3,0,0,'Données projet'!$E$9+1,1))</f>
        <v>248.50221719467663</v>
      </c>
      <c r="T135" s="59">
        <f t="shared" si="142"/>
        <v>366.09064580347183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1.0472630597181605</v>
      </c>
      <c r="AA135" s="21">
        <f>EXP(-LN(2)/25)*AA134+(1-EXP(-LN(2)/25))/(LN(2)/25)*Calculateur!V135*Calculateur!X135*VLOOKUP('Données projet'!$B$9,Paramètres!$A$1:$I$89,3,0)*0.475*44/12</f>
        <v>1.423219403436657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2.4704824631548172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263.22346936777603</v>
      </c>
      <c r="AO135" s="59">
        <f t="shared" si="144"/>
        <v>217.14714468707939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0.43023478294464218</v>
      </c>
      <c r="AW135" s="21">
        <f>EXP(-LN(2)/2)*AW134+(1-EXP(-LN(2)/2))/(LN(2)/2)*AQ135*AT135*VLOOKUP('Données projet'!$B$10,Paramètres!$A$1:$I$89,3,0)*0.475*44/12</f>
        <v>7.9273301015275583E-15</v>
      </c>
      <c r="AX135" s="21">
        <f t="shared" si="114"/>
        <v>0.43023478294465012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4.4337866711430253E-14</v>
      </c>
      <c r="BF135" s="13">
        <f t="shared" si="145"/>
        <v>7.3222115536967035E-13</v>
      </c>
      <c r="BG135" s="20">
        <f t="shared" si="115"/>
        <v>1.3525069634579169E-12</v>
      </c>
      <c r="BH135" s="59">
        <f t="shared" si="116"/>
        <v>293.33333333333468</v>
      </c>
      <c r="BI135" s="59">
        <f ca="1">AVERAGE(OFFSET($BH$3,0,0,'Données projet'!$E$11+1,1))-AVERAGE(OFFSET($H$3,0,0,'Données projet'!$E$11+1,1))</f>
        <v>219.22204054948094</v>
      </c>
      <c r="BJ135" s="59">
        <f t="shared" si="146"/>
        <v>222.41711966122034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0.18540252573582577</v>
      </c>
      <c r="BR135" s="21">
        <f>EXP(-LN(2)/2)*BR134+(1-EXP(-LN(2)/2))/(LN(2)/2)*BL135*BO135*VLOOKUP('Données projet'!$B$11,Paramètres!$A$1:$I$89,3,0)*0.475*44/12</f>
        <v>1.4522194275257505E-15</v>
      </c>
      <c r="BS135" s="22">
        <f t="shared" si="117"/>
        <v>0.18540252573582722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-3.979039320256561E-13</v>
      </c>
      <c r="BZ135" s="13">
        <f>BY135*VLOOKUP('Données projet'!$B$12,Paramètres!$A$1:$I$89,3,0)*VLOOKUP('Données projet'!$B$12,Paramètres!$A$1:$I$89,5,0)</f>
        <v>-3.41401573678013E-13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237.27357081252273</v>
      </c>
      <c r="CE135" s="59">
        <f t="shared" si="148"/>
        <v>68.768479693848576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-3.4106051316484809E-13</v>
      </c>
      <c r="CU135" s="17">
        <f>CT135*VLOOKUP('Données projet'!$B$13,Paramètres!$A$1:$I$89,3,0)*VLOOKUP('Données projet'!$B$13,Paramètres!$A$1:$I$89,5,0)</f>
        <v>-1.9065282685915009E-13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474.03051418249999</v>
      </c>
      <c r="CZ135" s="59">
        <f t="shared" si="150"/>
        <v>649.52271992719091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0.72497033528896948</v>
      </c>
      <c r="DG135" s="21">
        <f>EXP(-LN(2)/25)*DG134+(1-EXP(-LN(2)/25))/(LN(2)/25)*Calculateur!DB135*Calculateur!DD135*VLOOKUP('Données projet'!$B$13,Paramètres!$A$1:$I$89,3,0)*0.475*44/12</f>
        <v>1.4305024941035556</v>
      </c>
      <c r="DH135" s="21">
        <f>EXP(-LN(2)/2)*DH134+(1-EXP(-LN(2)/2))/(LN(2)/2)*DB135*DE135*VLOOKUP('Données projet'!$B$13,Paramètres!$A$1:$I$89,3,0)*0.475*44/12</f>
        <v>5.1956963405808606E-15</v>
      </c>
      <c r="DI135" s="22">
        <f t="shared" si="123"/>
        <v>2.1554728293925303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-5.6843418860808015E-14</v>
      </c>
      <c r="DP135" s="17">
        <f>DO135*VLOOKUP('Données projet'!$B$14,Paramètres!$A$1:$I$89,3,0)*VLOOKUP('Données projet'!$B$14,Paramètres!$A$1:$I$89,5,0)</f>
        <v>-3.1036506698001178E-14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164.0740581424559</v>
      </c>
      <c r="DU135" s="59">
        <f t="shared" si="152"/>
        <v>280.99861170359793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0.87625078801264344</v>
      </c>
      <c r="EB135" s="21">
        <f>EXP(-LN(2)/25)*EB134+(1-EXP(-LN(2)/25))/(LN(2)/25)*Calculateur!DW135*Calculateur!DY135*VLOOKUP('Données projet'!$B$14,Paramètres!$A$1:$I$89,3,0)*0.475*44/12</f>
        <v>1.531233945955685</v>
      </c>
      <c r="EC135" s="21">
        <f>EXP(-LN(2)/2)*EC134+(1-EXP(-LN(2)/2))/(LN(2)/2)*DW135*DZ135*VLOOKUP('Données projet'!$B$14,Paramètres!$A$1:$I$89,3,0)*0.475*44/12</f>
        <v>6.7407027768825301E-15</v>
      </c>
      <c r="ED135" s="22">
        <f t="shared" si="126"/>
        <v>2.4074847339683352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1.1368683772161603E-13</v>
      </c>
      <c r="EK135" s="17">
        <f>EJ135*VLOOKUP('Données projet'!$B$15,Paramètres!$A$1:$I$89,3,0)*VLOOKUP('Données projet'!$B$15,Paramètres!$A$1:$I$89,5,0)</f>
        <v>5.4683368944097308E-14</v>
      </c>
      <c r="EL135" s="13">
        <f t="shared" si="153"/>
        <v>8.8129432816788268E-13</v>
      </c>
      <c r="EM135" s="20">
        <f t="shared" si="127"/>
        <v>1.6301611558033651E-12</v>
      </c>
      <c r="EN135" s="59">
        <f t="shared" si="128"/>
        <v>293.33333333333496</v>
      </c>
      <c r="EO135" s="59">
        <f ca="1">AVERAGE(OFFSET($EN$3,0,0,'Données projet'!$E$15+1,1))-AVERAGE(OFFSET($H$3,0,0,'Données projet'!$E$15+1,1))</f>
        <v>312.1172301514103</v>
      </c>
      <c r="EP135" s="59">
        <f t="shared" si="154"/>
        <v>369.85500533493212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0.35845895266197009</v>
      </c>
      <c r="EW135" s="21">
        <f>EXP(-LN(2)/25)*EW134+(1-EXP(-LN(2)/25))/(LN(2)/25)*Calculateur!ER135*Calculateur!ET135*VLOOKUP('Données projet'!$B$15,Paramètres!$A$1:$I$89,3,0)*0.475*44/12</f>
        <v>0.88926617112140216</v>
      </c>
      <c r="EX135" s="21">
        <f>EXP(-LN(2)/2)*EX134+(1-EXP(-LN(2)/2))/(LN(2)/2)*ER135*EU135*VLOOKUP('Données projet'!$B$15,Paramètres!$A$1:$I$89,3,0)*0.475*44/12</f>
        <v>1.4067224579567333E-14</v>
      </c>
      <c r="EY135" s="22">
        <f t="shared" si="129"/>
        <v>1.2477251237833862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-7.9808160080574461E-14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87.187251664304199</v>
      </c>
      <c r="FK135" s="59">
        <f t="shared" si="156"/>
        <v>148.84938257884147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0.4767931607856159</v>
      </c>
      <c r="FS135" s="21">
        <f>EXP(-LN(2)/2)*FS134+(1-EXP(-LN(2)/2))/(LN(2)/2)*FM135*FP135*VLOOKUP('Données projet'!$B$16,Paramètres!$A$1:$I$89,3,0)*0.475*44/12</f>
        <v>2.7018055600622755E-15</v>
      </c>
      <c r="FT135" s="22">
        <f t="shared" si="132"/>
        <v>0.47679316078561862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-1.1368683772161603E-13</v>
      </c>
      <c r="GA135" s="17">
        <f>FZ135*VLOOKUP('Données projet'!$B$17,Paramètres!$A$1:$I$89,3,0)*VLOOKUP('Données projet'!$B$17,Paramètres!$A$1:$I$89,5,0)</f>
        <v>-6.7984728957526396E-14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282.94722676586207</v>
      </c>
      <c r="GF135" s="59">
        <f t="shared" si="158"/>
        <v>310.63647941571298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0.63371171487031919</v>
      </c>
      <c r="GN135" s="21">
        <f>EXP(-LN(2)/2)*GN134+(1-EXP(-LN(2)/2))/(LN(2)/2)*GH135*GK135*VLOOKUP('Données projet'!$B$17,Paramètres!$A$1:$I$89,3,0)*0.475*44/12</f>
        <v>1.1385662633762306E-14</v>
      </c>
      <c r="GO135" s="21">
        <f t="shared" si="135"/>
        <v>0.63371171487033062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-1.1368683772161603E-13</v>
      </c>
      <c r="GV135" s="17">
        <f>GU135*VLOOKUP('Données projet'!$B$18,Paramètres!$A$1:$I$89,3,0)*VLOOKUP('Données projet'!$B$18,Paramètres!$A$1:$I$89,5,0)</f>
        <v>-6.7984728957526396E-14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255.54398581450459</v>
      </c>
      <c r="HA135" s="59">
        <f t="shared" si="160"/>
        <v>276.52622328061204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</v>
      </c>
      <c r="HH135" s="21">
        <f>EXP(-LN(2)/25)*HH134+(1-EXP(-LN(2)/25))/(LN(2)/25)*Calculateur!HC135*Calculateur!HE135*VLOOKUP('Données projet'!$B$18,Paramètres!$A$1:$I$89,3,0)*0.475*44/12</f>
        <v>0.31620226651387368</v>
      </c>
      <c r="HI135" s="21">
        <f>EXP(-LN(2)/2)*HI134+(1-EXP(-LN(2)/2))/(LN(2)/2)*HC135*HF135*VLOOKUP('Données projet'!$B$18,Paramètres!$A$1:$I$89,3,0)*0.475*44/12</f>
        <v>6.6023115900325258E-15</v>
      </c>
      <c r="HJ135" s="22">
        <f t="shared" si="138"/>
        <v>0.31620226651388028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4.9658410716801891E-14</v>
      </c>
      <c r="P136" s="13">
        <f t="shared" si="141"/>
        <v>8.0934058173791862E-13</v>
      </c>
      <c r="Q136" s="20">
        <f t="shared" si="108"/>
        <v>1.4960899118586383E-12</v>
      </c>
      <c r="R136" s="59">
        <f t="shared" si="109"/>
        <v>293.33333333333479</v>
      </c>
      <c r="S136" s="59">
        <f ca="1">AVERAGE(OFFSET($R$3,0,0,'Données projet'!$E$9+1,1))-AVERAGE(OFFSET($H$3,0,0,'Données projet'!$E$9+1,1))</f>
        <v>248.50221719467663</v>
      </c>
      <c r="T136" s="59">
        <f t="shared" si="142"/>
        <v>366.09064580347183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1.0267268698844807</v>
      </c>
      <c r="AA136" s="21">
        <f>EXP(-LN(2)/25)*AA135+(1-EXP(-LN(2)/25))/(LN(2)/25)*Calculateur!V136*Calculateur!X136*VLOOKUP('Données projet'!$B$9,Paramètres!$A$1:$I$89,3,0)*0.475*44/12</f>
        <v>1.384301394005826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2.4110282638903069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263.22346936777603</v>
      </c>
      <c r="AO136" s="59">
        <f t="shared" si="144"/>
        <v>217.14714468707939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0.41846999017995701</v>
      </c>
      <c r="AW136" s="21">
        <f>EXP(-LN(2)/2)*AW135+(1-EXP(-LN(2)/2))/(LN(2)/2)*AQ136*AT136*VLOOKUP('Données projet'!$B$10,Paramètres!$A$1:$I$89,3,0)*0.475*44/12</f>
        <v>5.6054688714943788E-15</v>
      </c>
      <c r="AX136" s="21">
        <f t="shared" si="114"/>
        <v>0.41846999017996261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4.4337866711430253E-14</v>
      </c>
      <c r="BF136" s="13">
        <f t="shared" si="145"/>
        <v>7.3222115536967035E-13</v>
      </c>
      <c r="BG136" s="20">
        <f t="shared" si="115"/>
        <v>1.3525069634579169E-12</v>
      </c>
      <c r="BH136" s="59">
        <f t="shared" si="116"/>
        <v>293.33333333333468</v>
      </c>
      <c r="BI136" s="59">
        <f ca="1">AVERAGE(OFFSET($BH$3,0,0,'Données projet'!$E$11+1,1))-AVERAGE(OFFSET($H$3,0,0,'Données projet'!$E$11+1,1))</f>
        <v>219.22204054948094</v>
      </c>
      <c r="BJ136" s="59">
        <f t="shared" si="146"/>
        <v>222.41711966122034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0.18033268391968454</v>
      </c>
      <c r="BR136" s="21">
        <f>EXP(-LN(2)/2)*BR135+(1-EXP(-LN(2)/2))/(LN(2)/2)*BL136*BO136*VLOOKUP('Données projet'!$B$11,Paramètres!$A$1:$I$89,3,0)*0.475*44/12</f>
        <v>1.0268742049743041E-15</v>
      </c>
      <c r="BS136" s="22">
        <f t="shared" si="117"/>
        <v>0.18033268391968557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-3.979039320256561E-13</v>
      </c>
      <c r="BZ136" s="13">
        <f>BY136*VLOOKUP('Données projet'!$B$12,Paramètres!$A$1:$I$89,3,0)*VLOOKUP('Données projet'!$B$12,Paramètres!$A$1:$I$89,5,0)</f>
        <v>-3.41401573678013E-13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237.27357081252273</v>
      </c>
      <c r="CE136" s="59">
        <f t="shared" si="148"/>
        <v>68.768479693848576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-3.4106051316484809E-13</v>
      </c>
      <c r="CU136" s="17">
        <f>CT136*VLOOKUP('Données projet'!$B$13,Paramètres!$A$1:$I$89,3,0)*VLOOKUP('Données projet'!$B$13,Paramètres!$A$1:$I$89,5,0)</f>
        <v>-1.9065282685915009E-13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474.03051418249999</v>
      </c>
      <c r="CZ136" s="59">
        <f t="shared" si="150"/>
        <v>649.52271992719091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0.71075410920219484</v>
      </c>
      <c r="DG136" s="21">
        <f>EXP(-LN(2)/25)*DG135+(1-EXP(-LN(2)/25))/(LN(2)/25)*Calculateur!DB136*Calculateur!DD136*VLOOKUP('Données projet'!$B$13,Paramètres!$A$1:$I$89,3,0)*0.475*44/12</f>
        <v>1.3913853281754371</v>
      </c>
      <c r="DH136" s="21">
        <f>EXP(-LN(2)/2)*DH135+(1-EXP(-LN(2)/2))/(LN(2)/2)*DB136*DE136*VLOOKUP('Données projet'!$B$13,Paramètres!$A$1:$I$89,3,0)*0.475*44/12</f>
        <v>3.6739121154108563E-15</v>
      </c>
      <c r="DI136" s="22">
        <f t="shared" si="123"/>
        <v>2.1021394373776356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-5.6843418860808015E-14</v>
      </c>
      <c r="DP136" s="17">
        <f>DO136*VLOOKUP('Données projet'!$B$14,Paramètres!$A$1:$I$89,3,0)*VLOOKUP('Données projet'!$B$14,Paramètres!$A$1:$I$89,5,0)</f>
        <v>-3.1036506698001178E-14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164.0740581424559</v>
      </c>
      <c r="DU136" s="59">
        <f t="shared" si="152"/>
        <v>280.99861170359793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0.85906804451992258</v>
      </c>
      <c r="EB136" s="21">
        <f>EXP(-LN(2)/25)*EB135+(1-EXP(-LN(2)/25))/(LN(2)/25)*Calculateur!DW136*Calculateur!DY136*VLOOKUP('Données projet'!$B$14,Paramètres!$A$1:$I$89,3,0)*0.475*44/12</f>
        <v>1.4893622731794331</v>
      </c>
      <c r="EC136" s="21">
        <f>EXP(-LN(2)/2)*EC135+(1-EXP(-LN(2)/2))/(LN(2)/2)*DW136*DZ136*VLOOKUP('Données projet'!$B$14,Paramètres!$A$1:$I$89,3,0)*0.475*44/12</f>
        <v>4.7663966434966284E-15</v>
      </c>
      <c r="ED136" s="22">
        <f t="shared" si="126"/>
        <v>2.3484303176993606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1.1368683772161603E-13</v>
      </c>
      <c r="EK136" s="17">
        <f>EJ136*VLOOKUP('Données projet'!$B$15,Paramètres!$A$1:$I$89,3,0)*VLOOKUP('Données projet'!$B$15,Paramètres!$A$1:$I$89,5,0)</f>
        <v>5.4683368944097308E-14</v>
      </c>
      <c r="EL136" s="13">
        <f t="shared" si="153"/>
        <v>8.8129432816788268E-13</v>
      </c>
      <c r="EM136" s="20">
        <f t="shared" si="127"/>
        <v>1.6301611558033651E-12</v>
      </c>
      <c r="EN136" s="59">
        <f t="shared" si="128"/>
        <v>293.33333333333496</v>
      </c>
      <c r="EO136" s="59">
        <f ca="1">AVERAGE(OFFSET($EN$3,0,0,'Données projet'!$E$15+1,1))-AVERAGE(OFFSET($H$3,0,0,'Données projet'!$E$15+1,1))</f>
        <v>312.1172301514103</v>
      </c>
      <c r="EP136" s="59">
        <f t="shared" si="154"/>
        <v>369.85500533493212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0.35142979123864121</v>
      </c>
      <c r="EW136" s="21">
        <f>EXP(-LN(2)/25)*EW135+(1-EXP(-LN(2)/25))/(LN(2)/25)*Calculateur!ER136*Calculateur!ET136*VLOOKUP('Données projet'!$B$15,Paramètres!$A$1:$I$89,3,0)*0.475*44/12</f>
        <v>0.86494914090761188</v>
      </c>
      <c r="EX136" s="21">
        <f>EXP(-LN(2)/2)*EX135+(1-EXP(-LN(2)/2))/(LN(2)/2)*ER136*EU136*VLOOKUP('Données projet'!$B$15,Paramètres!$A$1:$I$89,3,0)*0.475*44/12</f>
        <v>9.9470298926861418E-15</v>
      </c>
      <c r="EY136" s="22">
        <f t="shared" si="129"/>
        <v>1.216378932146263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-7.9808160080574461E-14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87.187251664304199</v>
      </c>
      <c r="FK136" s="59">
        <f t="shared" si="156"/>
        <v>148.84938257884147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0.46375522673047065</v>
      </c>
      <c r="FS136" s="21">
        <f>EXP(-LN(2)/2)*FS135+(1-EXP(-LN(2)/2))/(LN(2)/2)*FM136*FP136*VLOOKUP('Données projet'!$B$16,Paramètres!$A$1:$I$89,3,0)*0.475*44/12</f>
        <v>1.9104650329675529E-15</v>
      </c>
      <c r="FT136" s="22">
        <f t="shared" si="132"/>
        <v>0.46375522673047254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-1.1368683772161603E-13</v>
      </c>
      <c r="GA136" s="17">
        <f>FZ136*VLOOKUP('Données projet'!$B$17,Paramètres!$A$1:$I$89,3,0)*VLOOKUP('Données projet'!$B$17,Paramètres!$A$1:$I$89,5,0)</f>
        <v>-6.7984728957526396E-14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282.94722676586207</v>
      </c>
      <c r="GF136" s="59">
        <f t="shared" si="158"/>
        <v>310.63647941571298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0.6163828347017396</v>
      </c>
      <c r="GN136" s="21">
        <f>EXP(-LN(2)/2)*GN135+(1-EXP(-LN(2)/2))/(LN(2)/2)*GH136*GK136*VLOOKUP('Données projet'!$B$17,Paramètres!$A$1:$I$89,3,0)*0.475*44/12</f>
        <v>8.0508792566356129E-15</v>
      </c>
      <c r="GO136" s="21">
        <f t="shared" si="135"/>
        <v>0.61638283470174771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-1.1368683772161603E-13</v>
      </c>
      <c r="GV136" s="17">
        <f>GU136*VLOOKUP('Données projet'!$B$18,Paramètres!$A$1:$I$89,3,0)*VLOOKUP('Données projet'!$B$18,Paramètres!$A$1:$I$89,5,0)</f>
        <v>-6.7984728957526396E-14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255.54398581450459</v>
      </c>
      <c r="HA136" s="59">
        <f t="shared" si="160"/>
        <v>276.52622328061204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</v>
      </c>
      <c r="HH136" s="21">
        <f>EXP(-LN(2)/25)*HH135+(1-EXP(-LN(2)/25))/(LN(2)/25)*Calculateur!HC136*Calculateur!HE136*VLOOKUP('Données projet'!$B$18,Paramètres!$A$1:$I$89,3,0)*0.475*44/12</f>
        <v>0.30755569890769729</v>
      </c>
      <c r="HI136" s="21">
        <f>EXP(-LN(2)/2)*HI135+(1-EXP(-LN(2)/2))/(LN(2)/2)*HC136*HF136*VLOOKUP('Données projet'!$B$18,Paramètres!$A$1:$I$89,3,0)*0.475*44/12</f>
        <v>4.6685392968185359E-15</v>
      </c>
      <c r="HJ136" s="22">
        <f t="shared" si="138"/>
        <v>0.30755569890770196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4.9658410716801891E-14</v>
      </c>
      <c r="P137" s="13">
        <f t="shared" si="141"/>
        <v>8.0934058173791862E-13</v>
      </c>
      <c r="Q137" s="20">
        <f t="shared" si="108"/>
        <v>1.4960899118586383E-12</v>
      </c>
      <c r="R137" s="59">
        <f t="shared" si="109"/>
        <v>293.33333333333479</v>
      </c>
      <c r="S137" s="59">
        <f ca="1">AVERAGE(OFFSET($R$3,0,0,'Données projet'!$E$9+1,1))-AVERAGE(OFFSET($H$3,0,0,'Données projet'!$E$9+1,1))</f>
        <v>248.50221719467663</v>
      </c>
      <c r="T137" s="59">
        <f t="shared" si="142"/>
        <v>366.09064580347183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1.0065933822076005</v>
      </c>
      <c r="AA137" s="21">
        <f>EXP(-LN(2)/25)*AA136+(1-EXP(-LN(2)/25))/(LN(2)/25)*Calculateur!V137*Calculateur!X137*VLOOKUP('Données projet'!$B$9,Paramètres!$A$1:$I$89,3,0)*0.475*44/12</f>
        <v>1.3464475995894902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2.3530409817970908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263.22346936777603</v>
      </c>
      <c r="AO137" s="59">
        <f t="shared" si="144"/>
        <v>217.14714468707939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0.40702690629210575</v>
      </c>
      <c r="AW137" s="21">
        <f>EXP(-LN(2)/2)*AW136+(1-EXP(-LN(2)/2))/(LN(2)/2)*AQ137*AT137*VLOOKUP('Données projet'!$B$10,Paramètres!$A$1:$I$89,3,0)*0.475*44/12</f>
        <v>3.9636650507637791E-15</v>
      </c>
      <c r="AX137" s="21">
        <f t="shared" si="114"/>
        <v>0.40702690629210969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4.4337866711430253E-14</v>
      </c>
      <c r="BF137" s="13">
        <f t="shared" si="145"/>
        <v>7.3222115536967035E-13</v>
      </c>
      <c r="BG137" s="20">
        <f t="shared" si="115"/>
        <v>1.3525069634579169E-12</v>
      </c>
      <c r="BH137" s="59">
        <f t="shared" si="116"/>
        <v>293.33333333333468</v>
      </c>
      <c r="BI137" s="59">
        <f ca="1">AVERAGE(OFFSET($BH$3,0,0,'Données projet'!$E$11+1,1))-AVERAGE(OFFSET($H$3,0,0,'Données projet'!$E$11+1,1))</f>
        <v>219.22204054948094</v>
      </c>
      <c r="BJ137" s="59">
        <f t="shared" si="146"/>
        <v>222.41711966122034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0.17540147719461707</v>
      </c>
      <c r="BR137" s="21">
        <f>EXP(-LN(2)/2)*BR136+(1-EXP(-LN(2)/2))/(LN(2)/2)*BL137*BO137*VLOOKUP('Données projet'!$B$11,Paramètres!$A$1:$I$89,3,0)*0.475*44/12</f>
        <v>7.2610971376287523E-16</v>
      </c>
      <c r="BS137" s="22">
        <f t="shared" si="117"/>
        <v>0.17540147719461779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-3.979039320256561E-13</v>
      </c>
      <c r="BZ137" s="13">
        <f>BY137*VLOOKUP('Données projet'!$B$12,Paramètres!$A$1:$I$89,3,0)*VLOOKUP('Données projet'!$B$12,Paramètres!$A$1:$I$89,5,0)</f>
        <v>-3.41401573678013E-13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237.27357081252273</v>
      </c>
      <c r="CE137" s="59">
        <f t="shared" si="148"/>
        <v>68.768479693848576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-3.4106051316484809E-13</v>
      </c>
      <c r="CU137" s="17">
        <f>CT137*VLOOKUP('Données projet'!$B$13,Paramètres!$A$1:$I$89,3,0)*VLOOKUP('Données projet'!$B$13,Paramètres!$A$1:$I$89,5,0)</f>
        <v>-1.9065282685915009E-13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474.03051418249999</v>
      </c>
      <c r="CZ137" s="59">
        <f t="shared" si="150"/>
        <v>649.52271992719091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0.69681665463794018</v>
      </c>
      <c r="DG137" s="21">
        <f>EXP(-LN(2)/25)*DG136+(1-EXP(-LN(2)/25))/(LN(2)/25)*Calculateur!DB137*Calculateur!DD137*VLOOKUP('Données projet'!$B$13,Paramètres!$A$1:$I$89,3,0)*0.475*44/12</f>
        <v>1.3533378232067055</v>
      </c>
      <c r="DH137" s="21">
        <f>EXP(-LN(2)/2)*DH136+(1-EXP(-LN(2)/2))/(LN(2)/2)*DB137*DE137*VLOOKUP('Données projet'!$B$13,Paramètres!$A$1:$I$89,3,0)*0.475*44/12</f>
        <v>2.5978481702904303E-15</v>
      </c>
      <c r="DI137" s="22">
        <f t="shared" si="123"/>
        <v>2.0501544778446483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-5.6843418860808015E-14</v>
      </c>
      <c r="DP137" s="17">
        <f>DO137*VLOOKUP('Données projet'!$B$14,Paramètres!$A$1:$I$89,3,0)*VLOOKUP('Données projet'!$B$14,Paramètres!$A$1:$I$89,5,0)</f>
        <v>-3.1036506698001178E-14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164.0740581424559</v>
      </c>
      <c r="DU137" s="59">
        <f t="shared" si="152"/>
        <v>280.99861170359793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0.84222224414665536</v>
      </c>
      <c r="EB137" s="21">
        <f>EXP(-LN(2)/25)*EB136+(1-EXP(-LN(2)/25))/(LN(2)/25)*Calculateur!DW137*Calculateur!DY137*VLOOKUP('Données projet'!$B$14,Paramètres!$A$1:$I$89,3,0)*0.475*44/12</f>
        <v>1.4486355834971836</v>
      </c>
      <c r="EC137" s="21">
        <f>EXP(-LN(2)/2)*EC136+(1-EXP(-LN(2)/2))/(LN(2)/2)*DW137*DZ137*VLOOKUP('Données projet'!$B$14,Paramètres!$A$1:$I$89,3,0)*0.475*44/12</f>
        <v>3.3703513884412651E-15</v>
      </c>
      <c r="ED137" s="22">
        <f t="shared" si="126"/>
        <v>2.2908578276438423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1.1368683772161603E-13</v>
      </c>
      <c r="EK137" s="17">
        <f>EJ137*VLOOKUP('Données projet'!$B$15,Paramètres!$A$1:$I$89,3,0)*VLOOKUP('Données projet'!$B$15,Paramètres!$A$1:$I$89,5,0)</f>
        <v>5.4683368944097308E-14</v>
      </c>
      <c r="EL137" s="13">
        <f t="shared" si="153"/>
        <v>8.8129432816788268E-13</v>
      </c>
      <c r="EM137" s="20">
        <f t="shared" si="127"/>
        <v>1.6301611558033651E-12</v>
      </c>
      <c r="EN137" s="59">
        <f t="shared" si="128"/>
        <v>293.33333333333496</v>
      </c>
      <c r="EO137" s="59">
        <f ca="1">AVERAGE(OFFSET($EN$3,0,0,'Données projet'!$E$15+1,1))-AVERAGE(OFFSET($H$3,0,0,'Données projet'!$E$15+1,1))</f>
        <v>312.1172301514103</v>
      </c>
      <c r="EP137" s="59">
        <f t="shared" si="154"/>
        <v>369.85500533493212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0.34453846738345872</v>
      </c>
      <c r="EW137" s="21">
        <f>EXP(-LN(2)/25)*EW136+(1-EXP(-LN(2)/25))/(LN(2)/25)*Calculateur!ER137*Calculateur!ET137*VLOOKUP('Données projet'!$B$15,Paramètres!$A$1:$I$89,3,0)*0.475*44/12</f>
        <v>0.84129706116379477</v>
      </c>
      <c r="EX137" s="21">
        <f>EXP(-LN(2)/2)*EX136+(1-EXP(-LN(2)/2))/(LN(2)/2)*ER137*EU137*VLOOKUP('Données projet'!$B$15,Paramètres!$A$1:$I$89,3,0)*0.475*44/12</f>
        <v>7.0336122897836674E-15</v>
      </c>
      <c r="EY137" s="22">
        <f t="shared" si="129"/>
        <v>1.1858355285472606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-7.9808160080574461E-14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87.187251664304199</v>
      </c>
      <c r="FK137" s="59">
        <f t="shared" si="156"/>
        <v>148.84938257884147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0.4510738156676985</v>
      </c>
      <c r="FS137" s="21">
        <f>EXP(-LN(2)/2)*FS136+(1-EXP(-LN(2)/2))/(LN(2)/2)*FM137*FP137*VLOOKUP('Données projet'!$B$16,Paramètres!$A$1:$I$89,3,0)*0.475*44/12</f>
        <v>1.3509027800311377E-15</v>
      </c>
      <c r="FT137" s="22">
        <f t="shared" si="132"/>
        <v>0.45107381566769983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-1.1368683772161603E-13</v>
      </c>
      <c r="GA137" s="17">
        <f>FZ137*VLOOKUP('Données projet'!$B$17,Paramètres!$A$1:$I$89,3,0)*VLOOKUP('Données projet'!$B$17,Paramètres!$A$1:$I$89,5,0)</f>
        <v>-6.7984728957526396E-14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282.94722676586207</v>
      </c>
      <c r="GF137" s="59">
        <f t="shared" si="158"/>
        <v>310.63647941571298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0.59952781367265606</v>
      </c>
      <c r="GN137" s="21">
        <f>EXP(-LN(2)/2)*GN136+(1-EXP(-LN(2)/2))/(LN(2)/2)*GH137*GK137*VLOOKUP('Données projet'!$B$17,Paramètres!$A$1:$I$89,3,0)*0.475*44/12</f>
        <v>5.6928313168811528E-15</v>
      </c>
      <c r="GO137" s="21">
        <f t="shared" si="135"/>
        <v>0.59952781367266172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-1.1368683772161603E-13</v>
      </c>
      <c r="GV137" s="17">
        <f>GU137*VLOOKUP('Données projet'!$B$18,Paramètres!$A$1:$I$89,3,0)*VLOOKUP('Données projet'!$B$18,Paramètres!$A$1:$I$89,5,0)</f>
        <v>-6.7984728957526396E-14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255.54398581450459</v>
      </c>
      <c r="HA137" s="59">
        <f t="shared" si="160"/>
        <v>276.52622328061204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</v>
      </c>
      <c r="HH137" s="21">
        <f>EXP(-LN(2)/25)*HH136+(1-EXP(-LN(2)/25))/(LN(2)/25)*Calculateur!HC137*Calculateur!HE137*VLOOKUP('Données projet'!$B$18,Paramètres!$A$1:$I$89,3,0)*0.475*44/12</f>
        <v>0.29914557214741505</v>
      </c>
      <c r="HI137" s="21">
        <f>EXP(-LN(2)/2)*HI136+(1-EXP(-LN(2)/2))/(LN(2)/2)*HC137*HF137*VLOOKUP('Données projet'!$B$18,Paramètres!$A$1:$I$89,3,0)*0.475*44/12</f>
        <v>3.3011557950162629E-15</v>
      </c>
      <c r="HJ137" s="22">
        <f t="shared" si="138"/>
        <v>0.29914557214741833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4.9658410716801891E-14</v>
      </c>
      <c r="P138" s="13">
        <f t="shared" si="141"/>
        <v>8.0934058173791862E-13</v>
      </c>
      <c r="Q138" s="20">
        <f t="shared" si="108"/>
        <v>1.4960899118586383E-12</v>
      </c>
      <c r="R138" s="59">
        <f t="shared" si="109"/>
        <v>293.33333333333479</v>
      </c>
      <c r="S138" s="59">
        <f ca="1">AVERAGE(OFFSET($R$3,0,0,'Données projet'!$E$9+1,1))-AVERAGE(OFFSET($H$3,0,0,'Données projet'!$E$9+1,1))</f>
        <v>248.50221719467663</v>
      </c>
      <c r="T138" s="59">
        <f t="shared" si="142"/>
        <v>366.09064580347183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0.986854699943849</v>
      </c>
      <c r="AA138" s="21">
        <f>EXP(-LN(2)/25)*AA137+(1-EXP(-LN(2)/25))/(LN(2)/25)*Calculateur!V138*Calculateur!X138*VLOOKUP('Données projet'!$B$9,Paramètres!$A$1:$I$89,3,0)*0.475*44/12</f>
        <v>1.3096289191721138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2.2964836191159628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263.22346936777603</v>
      </c>
      <c r="AO138" s="59">
        <f t="shared" si="144"/>
        <v>217.14714468707939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0.39589673413493337</v>
      </c>
      <c r="AW138" s="21">
        <f>EXP(-LN(2)/2)*AW137+(1-EXP(-LN(2)/2))/(LN(2)/2)*AQ138*AT138*VLOOKUP('Données projet'!$B$10,Paramètres!$A$1:$I$89,3,0)*0.475*44/12</f>
        <v>2.8027344357471894E-15</v>
      </c>
      <c r="AX138" s="21">
        <f t="shared" si="114"/>
        <v>0.39589673413493615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4.4337866711430253E-14</v>
      </c>
      <c r="BF138" s="13">
        <f t="shared" si="145"/>
        <v>7.3222115536967035E-13</v>
      </c>
      <c r="BG138" s="20">
        <f t="shared" si="115"/>
        <v>1.3525069634579169E-12</v>
      </c>
      <c r="BH138" s="59">
        <f t="shared" si="116"/>
        <v>293.33333333333468</v>
      </c>
      <c r="BI138" s="59">
        <f ca="1">AVERAGE(OFFSET($BH$3,0,0,'Données projet'!$E$11+1,1))-AVERAGE(OFFSET($H$3,0,0,'Données projet'!$E$11+1,1))</f>
        <v>219.22204054948094</v>
      </c>
      <c r="BJ138" s="59">
        <f t="shared" si="146"/>
        <v>222.41711966122034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0.17060511457676747</v>
      </c>
      <c r="BR138" s="21">
        <f>EXP(-LN(2)/2)*BR137+(1-EXP(-LN(2)/2))/(LN(2)/2)*BL138*BO138*VLOOKUP('Données projet'!$B$11,Paramètres!$A$1:$I$89,3,0)*0.475*44/12</f>
        <v>5.1343710248715206E-16</v>
      </c>
      <c r="BS138" s="22">
        <f t="shared" si="117"/>
        <v>0.17060511457676797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-3.979039320256561E-13</v>
      </c>
      <c r="BZ138" s="13">
        <f>BY138*VLOOKUP('Données projet'!$B$12,Paramètres!$A$1:$I$89,3,0)*VLOOKUP('Données projet'!$B$12,Paramètres!$A$1:$I$89,5,0)</f>
        <v>-3.41401573678013E-13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237.27357081252273</v>
      </c>
      <c r="CE138" s="59">
        <f t="shared" si="148"/>
        <v>68.768479693848576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-3.4106051316484809E-13</v>
      </c>
      <c r="CU138" s="17">
        <f>CT138*VLOOKUP('Données projet'!$B$13,Paramètres!$A$1:$I$89,3,0)*VLOOKUP('Données projet'!$B$13,Paramètres!$A$1:$I$89,5,0)</f>
        <v>-1.9065282685915009E-13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474.03051418249999</v>
      </c>
      <c r="CZ138" s="59">
        <f t="shared" si="150"/>
        <v>649.52271992719091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0.68315250505668268</v>
      </c>
      <c r="DG138" s="21">
        <f>EXP(-LN(2)/25)*DG137+(1-EXP(-LN(2)/25))/(LN(2)/25)*Calculateur!DB138*Calculateur!DD138*VLOOKUP('Données projet'!$B$13,Paramètres!$A$1:$I$89,3,0)*0.475*44/12</f>
        <v>1.3163307292621751</v>
      </c>
      <c r="DH138" s="21">
        <f>EXP(-LN(2)/2)*DH137+(1-EXP(-LN(2)/2))/(LN(2)/2)*DB138*DE138*VLOOKUP('Données projet'!$B$13,Paramètres!$A$1:$I$89,3,0)*0.475*44/12</f>
        <v>1.8369560577054282E-15</v>
      </c>
      <c r="DI138" s="22">
        <f t="shared" si="123"/>
        <v>1.9994832343188595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-5.6843418860808015E-14</v>
      </c>
      <c r="DP138" s="17">
        <f>DO138*VLOOKUP('Données projet'!$B$14,Paramètres!$A$1:$I$89,3,0)*VLOOKUP('Données projet'!$B$14,Paramètres!$A$1:$I$89,5,0)</f>
        <v>-3.1036506698001178E-14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164.0740581424559</v>
      </c>
      <c r="DU138" s="59">
        <f t="shared" si="152"/>
        <v>280.99861170359793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0.82570677964378425</v>
      </c>
      <c r="EB138" s="21">
        <f>EXP(-LN(2)/25)*EB137+(1-EXP(-LN(2)/25))/(LN(2)/25)*Calculateur!DW138*Calculateur!DY138*VLOOKUP('Données projet'!$B$14,Paramètres!$A$1:$I$89,3,0)*0.475*44/12</f>
        <v>1.4090225672860186</v>
      </c>
      <c r="EC138" s="21">
        <f>EXP(-LN(2)/2)*EC137+(1-EXP(-LN(2)/2))/(LN(2)/2)*DW138*DZ138*VLOOKUP('Données projet'!$B$14,Paramètres!$A$1:$I$89,3,0)*0.475*44/12</f>
        <v>2.3831983217483142E-15</v>
      </c>
      <c r="ED138" s="22">
        <f t="shared" si="126"/>
        <v>2.2347293469298051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1.1368683772161603E-13</v>
      </c>
      <c r="EK138" s="17">
        <f>EJ138*VLOOKUP('Données projet'!$B$15,Paramètres!$A$1:$I$89,3,0)*VLOOKUP('Données projet'!$B$15,Paramètres!$A$1:$I$89,5,0)</f>
        <v>5.4683368944097308E-14</v>
      </c>
      <c r="EL138" s="13">
        <f t="shared" si="153"/>
        <v>8.8129432816788268E-13</v>
      </c>
      <c r="EM138" s="20">
        <f t="shared" si="127"/>
        <v>1.6301611558033651E-12</v>
      </c>
      <c r="EN138" s="59">
        <f t="shared" si="128"/>
        <v>293.33333333333496</v>
      </c>
      <c r="EO138" s="59">
        <f ca="1">AVERAGE(OFFSET($EN$3,0,0,'Données projet'!$E$15+1,1))-AVERAGE(OFFSET($H$3,0,0,'Données projet'!$E$15+1,1))</f>
        <v>312.1172301514103</v>
      </c>
      <c r="EP138" s="59">
        <f t="shared" si="154"/>
        <v>369.85500533493212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0.33778227818578382</v>
      </c>
      <c r="EW138" s="21">
        <f>EXP(-LN(2)/25)*EW137+(1-EXP(-LN(2)/25))/(LN(2)/25)*Calculateur!ER138*Calculateur!ET138*VLOOKUP('Données projet'!$B$15,Paramètres!$A$1:$I$89,3,0)*0.475*44/12</f>
        <v>0.81829174878438116</v>
      </c>
      <c r="EX138" s="21">
        <f>EXP(-LN(2)/2)*EX137+(1-EXP(-LN(2)/2))/(LN(2)/2)*ER138*EU138*VLOOKUP('Données projet'!$B$15,Paramètres!$A$1:$I$89,3,0)*0.475*44/12</f>
        <v>4.9735149463430717E-15</v>
      </c>
      <c r="EY138" s="22">
        <f t="shared" si="129"/>
        <v>1.1560740269701699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-7.9808160080574461E-14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87.187251664304199</v>
      </c>
      <c r="FK138" s="59">
        <f t="shared" si="156"/>
        <v>148.84938257884147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0.43873917845732424</v>
      </c>
      <c r="FS138" s="21">
        <f>EXP(-LN(2)/2)*FS137+(1-EXP(-LN(2)/2))/(LN(2)/2)*FM138*FP138*VLOOKUP('Données projet'!$B$16,Paramètres!$A$1:$I$89,3,0)*0.475*44/12</f>
        <v>9.5523251648377645E-16</v>
      </c>
      <c r="FT138" s="22">
        <f t="shared" si="132"/>
        <v>0.43873917845732519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-1.1368683772161603E-13</v>
      </c>
      <c r="GA138" s="17">
        <f>FZ138*VLOOKUP('Données projet'!$B$17,Paramètres!$A$1:$I$89,3,0)*VLOOKUP('Données projet'!$B$17,Paramètres!$A$1:$I$89,5,0)</f>
        <v>-6.7984728957526396E-14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282.94722676586207</v>
      </c>
      <c r="GF138" s="59">
        <f t="shared" si="158"/>
        <v>310.63647941571298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0.58313369407997984</v>
      </c>
      <c r="GN138" s="21">
        <f>EXP(-LN(2)/2)*GN137+(1-EXP(-LN(2)/2))/(LN(2)/2)*GH138*GK138*VLOOKUP('Données projet'!$B$17,Paramètres!$A$1:$I$89,3,0)*0.475*44/12</f>
        <v>4.0254396283178064E-15</v>
      </c>
      <c r="GO138" s="21">
        <f t="shared" si="135"/>
        <v>0.58313369407998383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-1.1368683772161603E-13</v>
      </c>
      <c r="GV138" s="17">
        <f>GU138*VLOOKUP('Données projet'!$B$18,Paramètres!$A$1:$I$89,3,0)*VLOOKUP('Données projet'!$B$18,Paramètres!$A$1:$I$89,5,0)</f>
        <v>-6.7984728957526396E-14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255.54398581450459</v>
      </c>
      <c r="HA138" s="59">
        <f t="shared" si="160"/>
        <v>276.52622328061204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</v>
      </c>
      <c r="HH138" s="21">
        <f>EXP(-LN(2)/25)*HH137+(1-EXP(-LN(2)/25))/(LN(2)/25)*Calculateur!HC138*Calculateur!HE138*VLOOKUP('Données projet'!$B$18,Paramètres!$A$1:$I$89,3,0)*0.475*44/12</f>
        <v>0.29096542074566206</v>
      </c>
      <c r="HI138" s="21">
        <f>EXP(-LN(2)/2)*HI137+(1-EXP(-LN(2)/2))/(LN(2)/2)*HC138*HF138*VLOOKUP('Données projet'!$B$18,Paramètres!$A$1:$I$89,3,0)*0.475*44/12</f>
        <v>2.3342696484092679E-15</v>
      </c>
      <c r="HJ138" s="22">
        <f t="shared" si="138"/>
        <v>0.29096542074566439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4.9658410716801891E-14</v>
      </c>
      <c r="P139" s="13">
        <f t="shared" si="141"/>
        <v>8.0934058173791862E-13</v>
      </c>
      <c r="Q139" s="20">
        <f t="shared" si="108"/>
        <v>1.4960899118586383E-12</v>
      </c>
      <c r="R139" s="59">
        <f t="shared" si="109"/>
        <v>293.33333333333479</v>
      </c>
      <c r="S139" s="59">
        <f ca="1">AVERAGE(OFFSET($R$3,0,0,'Données projet'!$E$9+1,1))-AVERAGE(OFFSET($H$3,0,0,'Données projet'!$E$9+1,1))</f>
        <v>248.50221719467663</v>
      </c>
      <c r="T139" s="59">
        <f t="shared" si="142"/>
        <v>366.09064580347183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0.96750308119988226</v>
      </c>
      <c r="AA139" s="21">
        <f>EXP(-LN(2)/25)*AA138+(1-EXP(-LN(2)/25))/(LN(2)/25)*Calculateur!V139*Calculateur!X139*VLOOKUP('Données projet'!$B$9,Paramètres!$A$1:$I$89,3,0)*0.475*44/12</f>
        <v>1.2738170475069606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2.2413201287068429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263.22346936777603</v>
      </c>
      <c r="AO139" s="59">
        <f t="shared" si="144"/>
        <v>217.14714468707939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0.38507091712070918</v>
      </c>
      <c r="AW139" s="21">
        <f>EXP(-LN(2)/2)*AW138+(1-EXP(-LN(2)/2))/(LN(2)/2)*AQ139*AT139*VLOOKUP('Données projet'!$B$10,Paramètres!$A$1:$I$89,3,0)*0.475*44/12</f>
        <v>1.9818325253818896E-15</v>
      </c>
      <c r="AX139" s="21">
        <f t="shared" si="114"/>
        <v>0.38507091712071118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4.4337866711430253E-14</v>
      </c>
      <c r="BF139" s="13">
        <f t="shared" si="145"/>
        <v>7.3222115536967035E-13</v>
      </c>
      <c r="BG139" s="20">
        <f t="shared" si="115"/>
        <v>1.3525069634579169E-12</v>
      </c>
      <c r="BH139" s="59">
        <f t="shared" si="116"/>
        <v>293.33333333333468</v>
      </c>
      <c r="BI139" s="59">
        <f ca="1">AVERAGE(OFFSET($BH$3,0,0,'Données projet'!$E$11+1,1))-AVERAGE(OFFSET($H$3,0,0,'Données projet'!$E$11+1,1))</f>
        <v>219.22204054948094</v>
      </c>
      <c r="BJ139" s="59">
        <f t="shared" si="146"/>
        <v>222.41711966122034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0.16593990874693271</v>
      </c>
      <c r="BR139" s="21">
        <f>EXP(-LN(2)/2)*BR138+(1-EXP(-LN(2)/2))/(LN(2)/2)*BL139*BO139*VLOOKUP('Données projet'!$B$11,Paramètres!$A$1:$I$89,3,0)*0.475*44/12</f>
        <v>3.6305485688143761E-16</v>
      </c>
      <c r="BS139" s="22">
        <f t="shared" si="117"/>
        <v>0.16593990874693307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-3.979039320256561E-13</v>
      </c>
      <c r="BZ139" s="13">
        <f>BY139*VLOOKUP('Données projet'!$B$12,Paramètres!$A$1:$I$89,3,0)*VLOOKUP('Données projet'!$B$12,Paramètres!$A$1:$I$89,5,0)</f>
        <v>-3.41401573678013E-13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237.27357081252273</v>
      </c>
      <c r="CE139" s="59">
        <f t="shared" si="148"/>
        <v>68.768479693848576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-3.4106051316484809E-13</v>
      </c>
      <c r="CU139" s="17">
        <f>CT139*VLOOKUP('Données projet'!$B$13,Paramètres!$A$1:$I$89,3,0)*VLOOKUP('Données projet'!$B$13,Paramètres!$A$1:$I$89,5,0)</f>
        <v>-1.9065282685915009E-13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474.03051418249999</v>
      </c>
      <c r="CZ139" s="59">
        <f t="shared" si="150"/>
        <v>649.52271992719091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0.66975630111440532</v>
      </c>
      <c r="DG139" s="21">
        <f>EXP(-LN(2)/25)*DG138+(1-EXP(-LN(2)/25))/(LN(2)/25)*Calculateur!DB139*Calculateur!DD139*VLOOKUP('Données projet'!$B$13,Paramètres!$A$1:$I$89,3,0)*0.475*44/12</f>
        <v>1.2803355962476763</v>
      </c>
      <c r="DH139" s="21">
        <f>EXP(-LN(2)/2)*DH138+(1-EXP(-LN(2)/2))/(LN(2)/2)*DB139*DE139*VLOOKUP('Données projet'!$B$13,Paramètres!$A$1:$I$89,3,0)*0.475*44/12</f>
        <v>1.2989240851452152E-15</v>
      </c>
      <c r="DI139" s="22">
        <f t="shared" si="123"/>
        <v>1.9500918973620829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-5.6843418860808015E-14</v>
      </c>
      <c r="DP139" s="17">
        <f>DO139*VLOOKUP('Données projet'!$B$14,Paramètres!$A$1:$I$89,3,0)*VLOOKUP('Données projet'!$B$14,Paramètres!$A$1:$I$89,5,0)</f>
        <v>-3.1036506698001178E-14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164.0740581424559</v>
      </c>
      <c r="DU139" s="59">
        <f t="shared" si="152"/>
        <v>280.99861170359793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0.80951517332637579</v>
      </c>
      <c r="EB139" s="21">
        <f>EXP(-LN(2)/25)*EB138+(1-EXP(-LN(2)/25))/(LN(2)/25)*Calculateur!DW139*Calculateur!DY139*VLOOKUP('Données projet'!$B$14,Paramètres!$A$1:$I$89,3,0)*0.475*44/12</f>
        <v>1.370492771086306</v>
      </c>
      <c r="EC139" s="21">
        <f>EXP(-LN(2)/2)*EC138+(1-EXP(-LN(2)/2))/(LN(2)/2)*DW139*DZ139*VLOOKUP('Données projet'!$B$14,Paramètres!$A$1:$I$89,3,0)*0.475*44/12</f>
        <v>1.6851756942206325E-15</v>
      </c>
      <c r="ED139" s="22">
        <f t="shared" si="126"/>
        <v>2.1800079444126834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1.1368683772161603E-13</v>
      </c>
      <c r="EK139" s="17">
        <f>EJ139*VLOOKUP('Données projet'!$B$15,Paramètres!$A$1:$I$89,3,0)*VLOOKUP('Données projet'!$B$15,Paramètres!$A$1:$I$89,5,0)</f>
        <v>5.4683368944097308E-14</v>
      </c>
      <c r="EL139" s="13">
        <f t="shared" si="153"/>
        <v>8.8129432816788268E-13</v>
      </c>
      <c r="EM139" s="20">
        <f t="shared" si="127"/>
        <v>1.6301611558033651E-12</v>
      </c>
      <c r="EN139" s="59">
        <f t="shared" si="128"/>
        <v>293.33333333333496</v>
      </c>
      <c r="EO139" s="59">
        <f ca="1">AVERAGE(OFFSET($EN$3,0,0,'Données projet'!$E$15+1,1))-AVERAGE(OFFSET($H$3,0,0,'Données projet'!$E$15+1,1))</f>
        <v>312.1172301514103</v>
      </c>
      <c r="EP139" s="59">
        <f t="shared" si="154"/>
        <v>369.85500533493212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0.33115857373740681</v>
      </c>
      <c r="EW139" s="21">
        <f>EXP(-LN(2)/25)*EW138+(1-EXP(-LN(2)/25))/(LN(2)/25)*Calculateur!ER139*Calculateur!ET139*VLOOKUP('Données projet'!$B$15,Paramètres!$A$1:$I$89,3,0)*0.475*44/12</f>
        <v>0.79591551788177939</v>
      </c>
      <c r="EX139" s="21">
        <f>EXP(-LN(2)/2)*EX138+(1-EXP(-LN(2)/2))/(LN(2)/2)*ER139*EU139*VLOOKUP('Données projet'!$B$15,Paramètres!$A$1:$I$89,3,0)*0.475*44/12</f>
        <v>3.5168061448918341E-15</v>
      </c>
      <c r="EY139" s="22">
        <f t="shared" si="129"/>
        <v>1.1270740916191897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-7.9808160080574461E-14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87.187251664304199</v>
      </c>
      <c r="FK139" s="59">
        <f t="shared" si="156"/>
        <v>148.84938257884147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0.42674183255011805</v>
      </c>
      <c r="FS139" s="21">
        <f>EXP(-LN(2)/2)*FS138+(1-EXP(-LN(2)/2))/(LN(2)/2)*FM139*FP139*VLOOKUP('Données projet'!$B$16,Paramètres!$A$1:$I$89,3,0)*0.475*44/12</f>
        <v>6.7545139001556887E-16</v>
      </c>
      <c r="FT139" s="22">
        <f t="shared" si="132"/>
        <v>0.42674183255011872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-1.1368683772161603E-13</v>
      </c>
      <c r="GA139" s="17">
        <f>FZ139*VLOOKUP('Données projet'!$B$17,Paramètres!$A$1:$I$89,3,0)*VLOOKUP('Données projet'!$B$17,Paramètres!$A$1:$I$89,5,0)</f>
        <v>-6.7984728957526396E-14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282.94722676586207</v>
      </c>
      <c r="GF139" s="59">
        <f t="shared" si="158"/>
        <v>310.63647941571298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0.5671878725496946</v>
      </c>
      <c r="GN139" s="21">
        <f>EXP(-LN(2)/2)*GN138+(1-EXP(-LN(2)/2))/(LN(2)/2)*GH139*GK139*VLOOKUP('Données projet'!$B$17,Paramètres!$A$1:$I$89,3,0)*0.475*44/12</f>
        <v>2.8464156584405764E-15</v>
      </c>
      <c r="GO139" s="21">
        <f t="shared" si="135"/>
        <v>0.56718787254969749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-1.1368683772161603E-13</v>
      </c>
      <c r="GV139" s="17">
        <f>GU139*VLOOKUP('Données projet'!$B$18,Paramètres!$A$1:$I$89,3,0)*VLOOKUP('Données projet'!$B$18,Paramètres!$A$1:$I$89,5,0)</f>
        <v>-6.7984728957526396E-14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255.54398581450459</v>
      </c>
      <c r="HA139" s="59">
        <f t="shared" si="160"/>
        <v>276.52622328061204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</v>
      </c>
      <c r="HH139" s="21">
        <f>EXP(-LN(2)/25)*HH138+(1-EXP(-LN(2)/25))/(LN(2)/25)*Calculateur!HC139*Calculateur!HE139*VLOOKUP('Données projet'!$B$18,Paramètres!$A$1:$I$89,3,0)*0.475*44/12</f>
        <v>0.28300895601416548</v>
      </c>
      <c r="HI139" s="21">
        <f>EXP(-LN(2)/2)*HI138+(1-EXP(-LN(2)/2))/(LN(2)/2)*HC139*HF139*VLOOKUP('Données projet'!$B$18,Paramètres!$A$1:$I$89,3,0)*0.475*44/12</f>
        <v>1.6505778975081315E-15</v>
      </c>
      <c r="HJ139" s="22">
        <f t="shared" si="138"/>
        <v>0.28300895601416715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4.9658410716801891E-14</v>
      </c>
      <c r="P140" s="13">
        <f t="shared" si="141"/>
        <v>8.0934058173791862E-13</v>
      </c>
      <c r="Q140" s="20">
        <f t="shared" si="108"/>
        <v>1.4960899118586383E-12</v>
      </c>
      <c r="R140" s="59">
        <f t="shared" si="109"/>
        <v>293.33333333333479</v>
      </c>
      <c r="S140" s="59">
        <f ca="1">AVERAGE(OFFSET($R$3,0,0,'Données projet'!$E$9+1,1))-AVERAGE(OFFSET($H$3,0,0,'Données projet'!$E$9+1,1))</f>
        <v>248.50221719467663</v>
      </c>
      <c r="T140" s="59">
        <f t="shared" si="142"/>
        <v>366.09064580347183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0.94853093589616277</v>
      </c>
      <c r="AA140" s="21">
        <f>EXP(-LN(2)/25)*AA139+(1-EXP(-LN(2)/25))/(LN(2)/25)*Calculateur!V140*Calculateur!X140*VLOOKUP('Données projet'!$B$9,Paramètres!$A$1:$I$89,3,0)*0.475*44/12</f>
        <v>1.2389844533557555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2.1875153892519181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263.22346936777603</v>
      </c>
      <c r="AO140" s="59">
        <f t="shared" si="144"/>
        <v>217.14714468707939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0.37454113264204397</v>
      </c>
      <c r="AW140" s="21">
        <f>EXP(-LN(2)/2)*AW139+(1-EXP(-LN(2)/2))/(LN(2)/2)*AQ140*AT140*VLOOKUP('Données projet'!$B$10,Paramètres!$A$1:$I$89,3,0)*0.475*44/12</f>
        <v>1.4013672178735947E-15</v>
      </c>
      <c r="AX140" s="21">
        <f t="shared" si="114"/>
        <v>0.37454113264204536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4.4337866711430253E-14</v>
      </c>
      <c r="BF140" s="13">
        <f t="shared" si="145"/>
        <v>7.3222115536967035E-13</v>
      </c>
      <c r="BG140" s="20">
        <f t="shared" si="115"/>
        <v>1.3525069634579169E-12</v>
      </c>
      <c r="BH140" s="59">
        <f t="shared" si="116"/>
        <v>293.33333333333468</v>
      </c>
      <c r="BI140" s="59">
        <f ca="1">AVERAGE(OFFSET($BH$3,0,0,'Données projet'!$E$11+1,1))-AVERAGE(OFFSET($H$3,0,0,'Données projet'!$E$11+1,1))</f>
        <v>219.22204054948094</v>
      </c>
      <c r="BJ140" s="59">
        <f t="shared" si="146"/>
        <v>222.41711966122034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0.1614022732158473</v>
      </c>
      <c r="BR140" s="21">
        <f>EXP(-LN(2)/2)*BR139+(1-EXP(-LN(2)/2))/(LN(2)/2)*BL140*BO140*VLOOKUP('Données projet'!$B$11,Paramètres!$A$1:$I$89,3,0)*0.475*44/12</f>
        <v>2.5671855124357603E-16</v>
      </c>
      <c r="BS140" s="22">
        <f t="shared" si="117"/>
        <v>0.16140227321584755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-3.979039320256561E-13</v>
      </c>
      <c r="BZ140" s="13">
        <f>BY140*VLOOKUP('Données projet'!$B$12,Paramètres!$A$1:$I$89,3,0)*VLOOKUP('Données projet'!$B$12,Paramètres!$A$1:$I$89,5,0)</f>
        <v>-3.41401573678013E-13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237.27357081252273</v>
      </c>
      <c r="CE140" s="59">
        <f t="shared" si="148"/>
        <v>68.768479693848576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-3.4106051316484809E-13</v>
      </c>
      <c r="CU140" s="17">
        <f>CT140*VLOOKUP('Données projet'!$B$13,Paramètres!$A$1:$I$89,3,0)*VLOOKUP('Données projet'!$B$13,Paramètres!$A$1:$I$89,5,0)</f>
        <v>-1.9065282685915009E-13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474.03051418249999</v>
      </c>
      <c r="CZ140" s="59">
        <f t="shared" si="150"/>
        <v>649.52271992719091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0.65662278856055845</v>
      </c>
      <c r="DG140" s="21">
        <f>EXP(-LN(2)/25)*DG139+(1-EXP(-LN(2)/25))/(LN(2)/25)*Calculateur!DB140*Calculateur!DD140*VLOOKUP('Données projet'!$B$13,Paramètres!$A$1:$I$89,3,0)*0.475*44/12</f>
        <v>1.2453247520383608</v>
      </c>
      <c r="DH140" s="21">
        <f>EXP(-LN(2)/2)*DH139+(1-EXP(-LN(2)/2))/(LN(2)/2)*DB140*DE140*VLOOKUP('Données projet'!$B$13,Paramètres!$A$1:$I$89,3,0)*0.475*44/12</f>
        <v>9.1847802885271408E-16</v>
      </c>
      <c r="DI140" s="22">
        <f t="shared" si="123"/>
        <v>1.9019475405989201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-5.6843418860808015E-14</v>
      </c>
      <c r="DP140" s="17">
        <f>DO140*VLOOKUP('Données projet'!$B$14,Paramètres!$A$1:$I$89,3,0)*VLOOKUP('Données projet'!$B$14,Paramètres!$A$1:$I$89,5,0)</f>
        <v>-3.1036506698001178E-14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164.0740581424559</v>
      </c>
      <c r="DU140" s="59">
        <f t="shared" si="152"/>
        <v>280.99861170359793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0.79364107453294697</v>
      </c>
      <c r="EB140" s="21">
        <f>EXP(-LN(2)/25)*EB139+(1-EXP(-LN(2)/25))/(LN(2)/25)*Calculateur!DW140*Calculateur!DY140*VLOOKUP('Données projet'!$B$14,Paramètres!$A$1:$I$89,3,0)*0.475*44/12</f>
        <v>1.3330165741898683</v>
      </c>
      <c r="EC140" s="21">
        <f>EXP(-LN(2)/2)*EC139+(1-EXP(-LN(2)/2))/(LN(2)/2)*DW140*DZ140*VLOOKUP('Données projet'!$B$14,Paramètres!$A$1:$I$89,3,0)*0.475*44/12</f>
        <v>1.1915991608741571E-15</v>
      </c>
      <c r="ED140" s="22">
        <f t="shared" si="126"/>
        <v>2.1266576487228166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1.1368683772161603E-13</v>
      </c>
      <c r="EK140" s="17">
        <f>EJ140*VLOOKUP('Données projet'!$B$15,Paramètres!$A$1:$I$89,3,0)*VLOOKUP('Données projet'!$B$15,Paramètres!$A$1:$I$89,5,0)</f>
        <v>5.4683368944097308E-14</v>
      </c>
      <c r="EL140" s="13">
        <f t="shared" si="153"/>
        <v>8.8129432816788268E-13</v>
      </c>
      <c r="EM140" s="20">
        <f t="shared" si="127"/>
        <v>1.6301611558033651E-12</v>
      </c>
      <c r="EN140" s="59">
        <f t="shared" si="128"/>
        <v>293.33333333333496</v>
      </c>
      <c r="EO140" s="59">
        <f ca="1">AVERAGE(OFFSET($EN$3,0,0,'Données projet'!$E$15+1,1))-AVERAGE(OFFSET($H$3,0,0,'Données projet'!$E$15+1,1))</f>
        <v>312.1172301514103</v>
      </c>
      <c r="EP140" s="59">
        <f t="shared" si="154"/>
        <v>369.85500533493212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0.32466475609320172</v>
      </c>
      <c r="EW140" s="21">
        <f>EXP(-LN(2)/25)*EW139+(1-EXP(-LN(2)/25))/(LN(2)/25)*Calculateur!ER140*Calculateur!ET140*VLOOKUP('Données projet'!$B$15,Paramètres!$A$1:$I$89,3,0)*0.475*44/12</f>
        <v>0.77415116618992419</v>
      </c>
      <c r="EX140" s="21">
        <f>EXP(-LN(2)/2)*EX139+(1-EXP(-LN(2)/2))/(LN(2)/2)*ER140*EU140*VLOOKUP('Données projet'!$B$15,Paramètres!$A$1:$I$89,3,0)*0.475*44/12</f>
        <v>2.4867574731715362E-15</v>
      </c>
      <c r="EY140" s="22">
        <f t="shared" si="129"/>
        <v>1.0988159222831284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-7.9808160080574461E-14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87.187251664304199</v>
      </c>
      <c r="FK140" s="59">
        <f t="shared" si="156"/>
        <v>148.84938257884147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0.41507255469765741</v>
      </c>
      <c r="FS140" s="21">
        <f>EXP(-LN(2)/2)*FS139+(1-EXP(-LN(2)/2))/(LN(2)/2)*FM140*FP140*VLOOKUP('Données projet'!$B$16,Paramètres!$A$1:$I$89,3,0)*0.475*44/12</f>
        <v>4.7761625824188822E-16</v>
      </c>
      <c r="FT140" s="22">
        <f t="shared" si="132"/>
        <v>0.41507255469765791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-1.1368683772161603E-13</v>
      </c>
      <c r="GA140" s="17">
        <f>FZ140*VLOOKUP('Données projet'!$B$17,Paramètres!$A$1:$I$89,3,0)*VLOOKUP('Données projet'!$B$17,Paramètres!$A$1:$I$89,5,0)</f>
        <v>-6.7984728957526396E-14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282.94722676586207</v>
      </c>
      <c r="GF140" s="59">
        <f t="shared" si="158"/>
        <v>310.63647941571298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0.55167809034770932</v>
      </c>
      <c r="GN140" s="21">
        <f>EXP(-LN(2)/2)*GN139+(1-EXP(-LN(2)/2))/(LN(2)/2)*GH140*GK140*VLOOKUP('Données projet'!$B$17,Paramètres!$A$1:$I$89,3,0)*0.475*44/12</f>
        <v>2.0127198141589032E-15</v>
      </c>
      <c r="GO140" s="21">
        <f t="shared" si="135"/>
        <v>0.55167809034771131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-1.1368683772161603E-13</v>
      </c>
      <c r="GV140" s="17">
        <f>GU140*VLOOKUP('Données projet'!$B$18,Paramètres!$A$1:$I$89,3,0)*VLOOKUP('Données projet'!$B$18,Paramètres!$A$1:$I$89,5,0)</f>
        <v>-6.7984728957526396E-14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255.54398581450459</v>
      </c>
      <c r="HA140" s="59">
        <f t="shared" si="160"/>
        <v>276.52622328061204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</v>
      </c>
      <c r="HH140" s="21">
        <f>EXP(-LN(2)/25)*HH139+(1-EXP(-LN(2)/25))/(LN(2)/25)*Calculateur!HC140*Calculateur!HE140*VLOOKUP('Données projet'!$B$18,Paramètres!$A$1:$I$89,3,0)*0.475*44/12</f>
        <v>0.27527006122916398</v>
      </c>
      <c r="HI140" s="21">
        <f>EXP(-LN(2)/2)*HI139+(1-EXP(-LN(2)/2))/(LN(2)/2)*HC140*HF140*VLOOKUP('Données projet'!$B$18,Paramètres!$A$1:$I$89,3,0)*0.475*44/12</f>
        <v>1.167134824204634E-15</v>
      </c>
      <c r="HJ140" s="22">
        <f t="shared" si="138"/>
        <v>0.27527006122916514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4.9658410716801891E-14</v>
      </c>
      <c r="P141" s="13">
        <f t="shared" si="141"/>
        <v>8.0934058173791862E-13</v>
      </c>
      <c r="Q141" s="20">
        <f t="shared" si="108"/>
        <v>1.4960899118586383E-12</v>
      </c>
      <c r="R141" s="59">
        <f t="shared" si="109"/>
        <v>293.33333333333479</v>
      </c>
      <c r="S141" s="59">
        <f ca="1">AVERAGE(OFFSET($R$3,0,0,'Données projet'!$E$9+1,1))-AVERAGE(OFFSET($H$3,0,0,'Données projet'!$E$9+1,1))</f>
        <v>248.50221719467663</v>
      </c>
      <c r="T141" s="59">
        <f t="shared" si="142"/>
        <v>366.09064580347183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0.92993082278998318</v>
      </c>
      <c r="AA141" s="21">
        <f>EXP(-LN(2)/25)*AA140+(1-EXP(-LN(2)/25))/(LN(2)/25)*Calculateur!V141*Calculateur!X141*VLOOKUP('Données projet'!$B$9,Paramètres!$A$1:$I$89,3,0)*0.475*44/12</f>
        <v>1.2051043583233816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2.1350351811133645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263.22346936777603</v>
      </c>
      <c r="AO141" s="59">
        <f t="shared" si="144"/>
        <v>217.14714468707939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0.36429928567368514</v>
      </c>
      <c r="AW141" s="21">
        <f>EXP(-LN(2)/2)*AW140+(1-EXP(-LN(2)/2))/(LN(2)/2)*AQ141*AT141*VLOOKUP('Données projet'!$B$10,Paramètres!$A$1:$I$89,3,0)*0.475*44/12</f>
        <v>9.9091626269094479E-16</v>
      </c>
      <c r="AX141" s="21">
        <f t="shared" si="114"/>
        <v>0.36429928567368614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4.4337866711430253E-14</v>
      </c>
      <c r="BF141" s="13">
        <f t="shared" si="145"/>
        <v>7.3222115536967035E-13</v>
      </c>
      <c r="BG141" s="20">
        <f t="shared" si="115"/>
        <v>1.3525069634579169E-12</v>
      </c>
      <c r="BH141" s="59">
        <f t="shared" si="116"/>
        <v>293.33333333333468</v>
      </c>
      <c r="BI141" s="59">
        <f ca="1">AVERAGE(OFFSET($BH$3,0,0,'Données projet'!$E$11+1,1))-AVERAGE(OFFSET($H$3,0,0,'Données projet'!$E$11+1,1))</f>
        <v>219.22204054948094</v>
      </c>
      <c r="BJ141" s="59">
        <f t="shared" si="146"/>
        <v>222.41711966122034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0.15698871956698329</v>
      </c>
      <c r="BR141" s="21">
        <f>EXP(-LN(2)/2)*BR140+(1-EXP(-LN(2)/2))/(LN(2)/2)*BL141*BO141*VLOOKUP('Données projet'!$B$11,Paramètres!$A$1:$I$89,3,0)*0.475*44/12</f>
        <v>1.8152742844071881E-16</v>
      </c>
      <c r="BS141" s="22">
        <f t="shared" si="117"/>
        <v>0.15698871956698349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-3.979039320256561E-13</v>
      </c>
      <c r="BZ141" s="13">
        <f>BY141*VLOOKUP('Données projet'!$B$12,Paramètres!$A$1:$I$89,3,0)*VLOOKUP('Données projet'!$B$12,Paramètres!$A$1:$I$89,5,0)</f>
        <v>-3.41401573678013E-13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237.27357081252273</v>
      </c>
      <c r="CE141" s="59">
        <f t="shared" si="148"/>
        <v>68.768479693848576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-3.4106051316484809E-13</v>
      </c>
      <c r="CU141" s="17">
        <f>CT141*VLOOKUP('Données projet'!$B$13,Paramètres!$A$1:$I$89,3,0)*VLOOKUP('Données projet'!$B$13,Paramètres!$A$1:$I$89,5,0)</f>
        <v>-1.9065282685915009E-13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474.03051418249999</v>
      </c>
      <c r="CZ141" s="59">
        <f t="shared" si="150"/>
        <v>649.52271992719091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0.64374681617724083</v>
      </c>
      <c r="DG141" s="21">
        <f>EXP(-LN(2)/25)*DG140+(1-EXP(-LN(2)/25))/(LN(2)/25)*Calculateur!DB141*Calculateur!DD141*VLOOKUP('Données projet'!$B$13,Paramètres!$A$1:$I$89,3,0)*0.475*44/12</f>
        <v>1.2112712812050894</v>
      </c>
      <c r="DH141" s="21">
        <f>EXP(-LN(2)/2)*DH140+(1-EXP(-LN(2)/2))/(LN(2)/2)*DB141*DE141*VLOOKUP('Données projet'!$B$13,Paramètres!$A$1:$I$89,3,0)*0.475*44/12</f>
        <v>6.4946204257260758E-16</v>
      </c>
      <c r="DI141" s="22">
        <f t="shared" si="123"/>
        <v>1.8550180973823309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-5.6843418860808015E-14</v>
      </c>
      <c r="DP141" s="17">
        <f>DO141*VLOOKUP('Données projet'!$B$14,Paramètres!$A$1:$I$89,3,0)*VLOOKUP('Données projet'!$B$14,Paramètres!$A$1:$I$89,5,0)</f>
        <v>-3.1036506698001178E-14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164.0740581424559</v>
      </c>
      <c r="DU141" s="59">
        <f t="shared" si="152"/>
        <v>280.99861170359793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0.77807825713461309</v>
      </c>
      <c r="EB141" s="21">
        <f>EXP(-LN(2)/25)*EB140+(1-EXP(-LN(2)/25))/(LN(2)/25)*Calculateur!DW141*Calculateur!DY141*VLOOKUP('Données projet'!$B$14,Paramètres!$A$1:$I$89,3,0)*0.475*44/12</f>
        <v>1.2965651658683515</v>
      </c>
      <c r="EC141" s="21">
        <f>EXP(-LN(2)/2)*EC140+(1-EXP(-LN(2)/2))/(LN(2)/2)*DW141*DZ141*VLOOKUP('Données projet'!$B$14,Paramètres!$A$1:$I$89,3,0)*0.475*44/12</f>
        <v>8.4258784711031627E-16</v>
      </c>
      <c r="ED141" s="22">
        <f t="shared" si="126"/>
        <v>2.0746434230029656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1.1368683772161603E-13</v>
      </c>
      <c r="EK141" s="17">
        <f>EJ141*VLOOKUP('Données projet'!$B$15,Paramètres!$A$1:$I$89,3,0)*VLOOKUP('Données projet'!$B$15,Paramètres!$A$1:$I$89,5,0)</f>
        <v>5.4683368944097308E-14</v>
      </c>
      <c r="EL141" s="13">
        <f t="shared" si="153"/>
        <v>8.8129432816788268E-13</v>
      </c>
      <c r="EM141" s="20">
        <f t="shared" si="127"/>
        <v>1.6301611558033651E-12</v>
      </c>
      <c r="EN141" s="59">
        <f t="shared" si="128"/>
        <v>293.33333333333496</v>
      </c>
      <c r="EO141" s="59">
        <f ca="1">AVERAGE(OFFSET($EN$3,0,0,'Données projet'!$E$15+1,1))-AVERAGE(OFFSET($H$3,0,0,'Données projet'!$E$15+1,1))</f>
        <v>312.1172301514103</v>
      </c>
      <c r="EP141" s="59">
        <f t="shared" si="154"/>
        <v>369.85500533493212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0.31829827825216184</v>
      </c>
      <c r="EW141" s="21">
        <f>EXP(-LN(2)/25)*EW140+(1-EXP(-LN(2)/25))/(LN(2)/25)*Calculateur!ER141*Calculateur!ET141*VLOOKUP('Données projet'!$B$15,Paramètres!$A$1:$I$89,3,0)*0.475*44/12</f>
        <v>0.75298196183962018</v>
      </c>
      <c r="EX141" s="21">
        <f>EXP(-LN(2)/2)*EX140+(1-EXP(-LN(2)/2))/(LN(2)/2)*ER141*EU141*VLOOKUP('Données projet'!$B$15,Paramètres!$A$1:$I$89,3,0)*0.475*44/12</f>
        <v>1.7584030724459174E-15</v>
      </c>
      <c r="EY141" s="22">
        <f t="shared" si="129"/>
        <v>1.0712802400917838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-7.9808160080574461E-14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87.187251664304199</v>
      </c>
      <c r="FK141" s="59">
        <f t="shared" si="156"/>
        <v>148.84938257884147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0.40372237386173299</v>
      </c>
      <c r="FS141" s="21">
        <f>EXP(-LN(2)/2)*FS140+(1-EXP(-LN(2)/2))/(LN(2)/2)*FM141*FP141*VLOOKUP('Données projet'!$B$16,Paramètres!$A$1:$I$89,3,0)*0.475*44/12</f>
        <v>3.3772569500778443E-16</v>
      </c>
      <c r="FT141" s="22">
        <f t="shared" si="132"/>
        <v>0.40372237386173332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-1.1368683772161603E-13</v>
      </c>
      <c r="GA141" s="17">
        <f>FZ141*VLOOKUP('Données projet'!$B$17,Paramètres!$A$1:$I$89,3,0)*VLOOKUP('Données projet'!$B$17,Paramètres!$A$1:$I$89,5,0)</f>
        <v>-6.7984728957526396E-14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282.94722676586207</v>
      </c>
      <c r="GF141" s="59">
        <f t="shared" si="158"/>
        <v>310.63647941571298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0.53659242395566131</v>
      </c>
      <c r="GN141" s="21">
        <f>EXP(-LN(2)/2)*GN140+(1-EXP(-LN(2)/2))/(LN(2)/2)*GH141*GK141*VLOOKUP('Données projet'!$B$17,Paramètres!$A$1:$I$89,3,0)*0.475*44/12</f>
        <v>1.4232078292202882E-15</v>
      </c>
      <c r="GO141" s="21">
        <f t="shared" si="135"/>
        <v>0.53659242395566276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-1.1368683772161603E-13</v>
      </c>
      <c r="GV141" s="17">
        <f>GU141*VLOOKUP('Données projet'!$B$18,Paramètres!$A$1:$I$89,3,0)*VLOOKUP('Données projet'!$B$18,Paramètres!$A$1:$I$89,5,0)</f>
        <v>-6.7984728957526396E-14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255.54398581450459</v>
      </c>
      <c r="HA141" s="59">
        <f t="shared" si="160"/>
        <v>276.52622328061204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</v>
      </c>
      <c r="HH141" s="21">
        <f>EXP(-LN(2)/25)*HH140+(1-EXP(-LN(2)/25))/(LN(2)/25)*Calculateur!HC141*Calculateur!HE141*VLOOKUP('Données projet'!$B$18,Paramètres!$A$1:$I$89,3,0)*0.475*44/12</f>
        <v>0.26774278692902909</v>
      </c>
      <c r="HI141" s="21">
        <f>EXP(-LN(2)/2)*HI140+(1-EXP(-LN(2)/2))/(LN(2)/2)*HC141*HF141*VLOOKUP('Données projet'!$B$18,Paramètres!$A$1:$I$89,3,0)*0.475*44/12</f>
        <v>8.2528894875406573E-16</v>
      </c>
      <c r="HJ141" s="22">
        <f t="shared" si="138"/>
        <v>0.26774278692902992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4.9658410716801891E-14</v>
      </c>
      <c r="P142" s="13">
        <f t="shared" si="141"/>
        <v>8.0934058173791862E-13</v>
      </c>
      <c r="Q142" s="20">
        <f t="shared" si="108"/>
        <v>1.4960899118586383E-12</v>
      </c>
      <c r="R142" s="59">
        <f t="shared" si="109"/>
        <v>293.33333333333479</v>
      </c>
      <c r="S142" s="59">
        <f ca="1">AVERAGE(OFFSET($R$3,0,0,'Données projet'!$E$9+1,1))-AVERAGE(OFFSET($H$3,0,0,'Données projet'!$E$9+1,1))</f>
        <v>248.50221719467663</v>
      </c>
      <c r="T142" s="59">
        <f t="shared" si="142"/>
        <v>366.09064580347183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0.91169544655686696</v>
      </c>
      <c r="AA142" s="21">
        <f>EXP(-LN(2)/25)*AA141+(1-EXP(-LN(2)/25))/(LN(2)/25)*Calculateur!V142*Calculateur!X142*VLOOKUP('Données projet'!$B$9,Paramètres!$A$1:$I$89,3,0)*0.475*44/12</f>
        <v>1.1721507162713447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2.0838461628282117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263.22346936777603</v>
      </c>
      <c r="AO142" s="59">
        <f t="shared" si="144"/>
        <v>217.14714468707939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0.35433750254927138</v>
      </c>
      <c r="AW142" s="21">
        <f>EXP(-LN(2)/2)*AW141+(1-EXP(-LN(2)/2))/(LN(2)/2)*AQ142*AT142*VLOOKUP('Données projet'!$B$10,Paramètres!$A$1:$I$89,3,0)*0.475*44/12</f>
        <v>7.0068360893679735E-16</v>
      </c>
      <c r="AX142" s="21">
        <f t="shared" si="114"/>
        <v>0.3543375025492721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4.4337866711430253E-14</v>
      </c>
      <c r="BF142" s="13">
        <f t="shared" si="145"/>
        <v>7.3222115536967035E-13</v>
      </c>
      <c r="BG142" s="20">
        <f t="shared" si="115"/>
        <v>1.3525069634579169E-12</v>
      </c>
      <c r="BH142" s="59">
        <f t="shared" si="116"/>
        <v>293.33333333333468</v>
      </c>
      <c r="BI142" s="59">
        <f ca="1">AVERAGE(OFFSET($BH$3,0,0,'Données projet'!$E$11+1,1))-AVERAGE(OFFSET($H$3,0,0,'Données projet'!$E$11+1,1))</f>
        <v>219.22204054948094</v>
      </c>
      <c r="BJ142" s="59">
        <f t="shared" si="146"/>
        <v>222.41711966122034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0.15269585477474618</v>
      </c>
      <c r="BR142" s="21">
        <f>EXP(-LN(2)/2)*BR141+(1-EXP(-LN(2)/2))/(LN(2)/2)*BL142*BO142*VLOOKUP('Données projet'!$B$11,Paramètres!$A$1:$I$89,3,0)*0.475*44/12</f>
        <v>1.2835927562178802E-16</v>
      </c>
      <c r="BS142" s="22">
        <f t="shared" si="117"/>
        <v>0.15269585477474631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-3.979039320256561E-13</v>
      </c>
      <c r="BZ142" s="13">
        <f>BY142*VLOOKUP('Données projet'!$B$12,Paramètres!$A$1:$I$89,3,0)*VLOOKUP('Données projet'!$B$12,Paramètres!$A$1:$I$89,5,0)</f>
        <v>-3.41401573678013E-13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237.27357081252273</v>
      </c>
      <c r="CE142" s="59">
        <f t="shared" si="148"/>
        <v>68.768479693848576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-3.4106051316484809E-13</v>
      </c>
      <c r="CU142" s="17">
        <f>CT142*VLOOKUP('Données projet'!$B$13,Paramètres!$A$1:$I$89,3,0)*VLOOKUP('Données projet'!$B$13,Paramètres!$A$1:$I$89,5,0)</f>
        <v>-1.9065282685915009E-13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474.03051418249999</v>
      </c>
      <c r="CZ142" s="59">
        <f t="shared" si="150"/>
        <v>649.52271992719091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0.63112333375879237</v>
      </c>
      <c r="DG142" s="21">
        <f>EXP(-LN(2)/25)*DG141+(1-EXP(-LN(2)/25))/(LN(2)/25)*Calculateur!DB142*Calculateur!DD142*VLOOKUP('Données projet'!$B$13,Paramètres!$A$1:$I$89,3,0)*0.475*44/12</f>
        <v>1.178149004322548</v>
      </c>
      <c r="DH142" s="21">
        <f>EXP(-LN(2)/2)*DH141+(1-EXP(-LN(2)/2))/(LN(2)/2)*DB142*DE142*VLOOKUP('Données projet'!$B$13,Paramètres!$A$1:$I$89,3,0)*0.475*44/12</f>
        <v>4.5923901442635704E-16</v>
      </c>
      <c r="DI142" s="22">
        <f t="shared" si="123"/>
        <v>1.8092723380813407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-5.6843418860808015E-14</v>
      </c>
      <c r="DP142" s="17">
        <f>DO142*VLOOKUP('Données projet'!$B$14,Paramètres!$A$1:$I$89,3,0)*VLOOKUP('Données projet'!$B$14,Paramètres!$A$1:$I$89,5,0)</f>
        <v>-3.1036506698001178E-14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164.0740581424559</v>
      </c>
      <c r="DU142" s="59">
        <f t="shared" si="152"/>
        <v>280.99861170359793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0.76282061709307925</v>
      </c>
      <c r="EB142" s="21">
        <f>EXP(-LN(2)/25)*EB141+(1-EXP(-LN(2)/25))/(LN(2)/25)*Calculateur!DW142*Calculateur!DY142*VLOOKUP('Données projet'!$B$14,Paramètres!$A$1:$I$89,3,0)*0.475*44/12</f>
        <v>1.2611105232242827</v>
      </c>
      <c r="EC142" s="21">
        <f>EXP(-LN(2)/2)*EC141+(1-EXP(-LN(2)/2))/(LN(2)/2)*DW142*DZ142*VLOOKUP('Données projet'!$B$14,Paramètres!$A$1:$I$89,3,0)*0.475*44/12</f>
        <v>5.9579958043707856E-16</v>
      </c>
      <c r="ED142" s="22">
        <f t="shared" si="126"/>
        <v>2.0239311403173623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1.1368683772161603E-13</v>
      </c>
      <c r="EK142" s="17">
        <f>EJ142*VLOOKUP('Données projet'!$B$15,Paramètres!$A$1:$I$89,3,0)*VLOOKUP('Données projet'!$B$15,Paramètres!$A$1:$I$89,5,0)</f>
        <v>5.4683368944097308E-14</v>
      </c>
      <c r="EL142" s="13">
        <f t="shared" si="153"/>
        <v>8.8129432816788268E-13</v>
      </c>
      <c r="EM142" s="20">
        <f t="shared" si="127"/>
        <v>1.6301611558033651E-12</v>
      </c>
      <c r="EN142" s="59">
        <f t="shared" si="128"/>
        <v>293.33333333333496</v>
      </c>
      <c r="EO142" s="59">
        <f ca="1">AVERAGE(OFFSET($EN$3,0,0,'Données projet'!$E$15+1,1))-AVERAGE(OFFSET($H$3,0,0,'Données projet'!$E$15+1,1))</f>
        <v>312.1172301514103</v>
      </c>
      <c r="EP142" s="59">
        <f t="shared" si="154"/>
        <v>369.85500533493212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0.31205664315841669</v>
      </c>
      <c r="EW142" s="21">
        <f>EXP(-LN(2)/25)*EW141+(1-EXP(-LN(2)/25))/(LN(2)/25)*Calculateur!ER142*Calculateur!ET142*VLOOKUP('Données projet'!$B$15,Paramètres!$A$1:$I$89,3,0)*0.475*44/12</f>
        <v>0.73239163049551537</v>
      </c>
      <c r="EX142" s="21">
        <f>EXP(-LN(2)/2)*EX141+(1-EXP(-LN(2)/2))/(LN(2)/2)*ER142*EU142*VLOOKUP('Données projet'!$B$15,Paramètres!$A$1:$I$89,3,0)*0.475*44/12</f>
        <v>1.2433787365857683E-15</v>
      </c>
      <c r="EY142" s="22">
        <f t="shared" si="129"/>
        <v>1.0444482736539333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-7.9808160080574461E-14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87.187251664304199</v>
      </c>
      <c r="FK142" s="59">
        <f t="shared" si="156"/>
        <v>148.84938257884147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0.39268256431764698</v>
      </c>
      <c r="FS142" s="21">
        <f>EXP(-LN(2)/2)*FS141+(1-EXP(-LN(2)/2))/(LN(2)/2)*FM142*FP142*VLOOKUP('Données projet'!$B$16,Paramètres!$A$1:$I$89,3,0)*0.475*44/12</f>
        <v>2.3880812912094411E-16</v>
      </c>
      <c r="FT142" s="22">
        <f t="shared" si="132"/>
        <v>0.3926825643176472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-1.1368683772161603E-13</v>
      </c>
      <c r="GA142" s="17">
        <f>FZ142*VLOOKUP('Données projet'!$B$17,Paramètres!$A$1:$I$89,3,0)*VLOOKUP('Données projet'!$B$17,Paramètres!$A$1:$I$89,5,0)</f>
        <v>-6.7984728957526396E-14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282.94722676586207</v>
      </c>
      <c r="GF142" s="59">
        <f t="shared" si="158"/>
        <v>310.63647941571298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0.52191927590442455</v>
      </c>
      <c r="GN142" s="21">
        <f>EXP(-LN(2)/2)*GN141+(1-EXP(-LN(2)/2))/(LN(2)/2)*GH142*GK142*VLOOKUP('Données projet'!$B$17,Paramètres!$A$1:$I$89,3,0)*0.475*44/12</f>
        <v>1.0063599070794516E-15</v>
      </c>
      <c r="GO142" s="21">
        <f t="shared" si="135"/>
        <v>0.52191927590442555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-1.1368683772161603E-13</v>
      </c>
      <c r="GV142" s="17">
        <f>GU142*VLOOKUP('Données projet'!$B$18,Paramètres!$A$1:$I$89,3,0)*VLOOKUP('Données projet'!$B$18,Paramètres!$A$1:$I$89,5,0)</f>
        <v>-6.7984728957526396E-14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255.54398581450459</v>
      </c>
      <c r="HA142" s="59">
        <f t="shared" si="160"/>
        <v>276.52622328061204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</v>
      </c>
      <c r="HH142" s="21">
        <f>EXP(-LN(2)/25)*HH141+(1-EXP(-LN(2)/25))/(LN(2)/25)*Calculateur!HC142*Calculateur!HE142*VLOOKUP('Données projet'!$B$18,Paramètres!$A$1:$I$89,3,0)*0.475*44/12</f>
        <v>0.26042134634047354</v>
      </c>
      <c r="HI142" s="21">
        <f>EXP(-LN(2)/2)*HI141+(1-EXP(-LN(2)/2))/(LN(2)/2)*HC142*HF142*VLOOKUP('Données projet'!$B$18,Paramètres!$A$1:$I$89,3,0)*0.475*44/12</f>
        <v>5.8356741210231698E-16</v>
      </c>
      <c r="HJ142" s="22">
        <f t="shared" si="138"/>
        <v>0.26042134634047415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4.9658410716801891E-14</v>
      </c>
      <c r="P143" s="13">
        <f t="shared" si="141"/>
        <v>8.0934058173791862E-13</v>
      </c>
      <c r="Q143" s="20">
        <f t="shared" si="108"/>
        <v>1.4960899118586383E-12</v>
      </c>
      <c r="R143" s="59">
        <f t="shared" si="109"/>
        <v>293.33333333333479</v>
      </c>
      <c r="S143" s="59">
        <f ca="1">AVERAGE(OFFSET($R$3,0,0,'Données projet'!$E$9+1,1))-AVERAGE(OFFSET($H$3,0,0,'Données projet'!$E$9+1,1))</f>
        <v>248.50221719467663</v>
      </c>
      <c r="T143" s="59">
        <f t="shared" si="142"/>
        <v>366.09064580347183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0.89381765492920096</v>
      </c>
      <c r="AA143" s="21">
        <f>EXP(-LN(2)/25)*AA142+(1-EXP(-LN(2)/25))/(LN(2)/25)*Calculateur!V143*Calculateur!X143*VLOOKUP('Données projet'!$B$9,Paramètres!$A$1:$I$89,3,0)*0.475*44/12</f>
        <v>1.1400981932941776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2.0339158482233786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263.22346936777603</v>
      </c>
      <c r="AO143" s="59">
        <f t="shared" si="144"/>
        <v>217.14714468707939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0.34464812490826213</v>
      </c>
      <c r="AW143" s="21">
        <f>EXP(-LN(2)/2)*AW142+(1-EXP(-LN(2)/2))/(LN(2)/2)*AQ143*AT143*VLOOKUP('Données projet'!$B$10,Paramètres!$A$1:$I$89,3,0)*0.475*44/12</f>
        <v>4.9545813134547239E-16</v>
      </c>
      <c r="AX143" s="21">
        <f t="shared" si="114"/>
        <v>0.34464812490826263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4.4337866711430253E-14</v>
      </c>
      <c r="BF143" s="13">
        <f t="shared" si="145"/>
        <v>7.3222115536967035E-13</v>
      </c>
      <c r="BG143" s="20">
        <f t="shared" si="115"/>
        <v>1.3525069634579169E-12</v>
      </c>
      <c r="BH143" s="59">
        <f t="shared" si="116"/>
        <v>293.33333333333468</v>
      </c>
      <c r="BI143" s="59">
        <f ca="1">AVERAGE(OFFSET($BH$3,0,0,'Données projet'!$E$11+1,1))-AVERAGE(OFFSET($H$3,0,0,'Données projet'!$E$11+1,1))</f>
        <v>219.22204054948094</v>
      </c>
      <c r="BJ143" s="59">
        <f t="shared" si="146"/>
        <v>222.41711966122034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0.14852037859600473</v>
      </c>
      <c r="BR143" s="21">
        <f>EXP(-LN(2)/2)*BR142+(1-EXP(-LN(2)/2))/(LN(2)/2)*BL143*BO143*VLOOKUP('Données projet'!$B$11,Paramètres!$A$1:$I$89,3,0)*0.475*44/12</f>
        <v>9.0763714220359403E-17</v>
      </c>
      <c r="BS143" s="22">
        <f t="shared" si="117"/>
        <v>0.14852037859600481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-3.979039320256561E-13</v>
      </c>
      <c r="BZ143" s="13">
        <f>BY143*VLOOKUP('Données projet'!$B$12,Paramètres!$A$1:$I$89,3,0)*VLOOKUP('Données projet'!$B$12,Paramètres!$A$1:$I$89,5,0)</f>
        <v>-3.41401573678013E-13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237.27357081252273</v>
      </c>
      <c r="CE143" s="59">
        <f t="shared" si="148"/>
        <v>68.768479693848576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-3.4106051316484809E-13</v>
      </c>
      <c r="CU143" s="17">
        <f>CT143*VLOOKUP('Données projet'!$B$13,Paramètres!$A$1:$I$89,3,0)*VLOOKUP('Données projet'!$B$13,Paramètres!$A$1:$I$89,5,0)</f>
        <v>-1.9065282685915009E-13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474.03051418249999</v>
      </c>
      <c r="CZ143" s="59">
        <f t="shared" si="150"/>
        <v>649.52271992719091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0.61874739013100566</v>
      </c>
      <c r="DG143" s="21">
        <f>EXP(-LN(2)/25)*DG142+(1-EXP(-LN(2)/25))/(LN(2)/25)*Calculateur!DB143*Calculateur!DD143*VLOOKUP('Données projet'!$B$13,Paramètres!$A$1:$I$89,3,0)*0.475*44/12</f>
        <v>1.1459324578431844</v>
      </c>
      <c r="DH143" s="21">
        <f>EXP(-LN(2)/2)*DH142+(1-EXP(-LN(2)/2))/(LN(2)/2)*DB143*DE143*VLOOKUP('Données projet'!$B$13,Paramètres!$A$1:$I$89,3,0)*0.475*44/12</f>
        <v>3.2473102128630379E-16</v>
      </c>
      <c r="DI143" s="22">
        <f t="shared" si="123"/>
        <v>1.7646798479741903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-5.6843418860808015E-14</v>
      </c>
      <c r="DP143" s="17">
        <f>DO143*VLOOKUP('Données projet'!$B$14,Paramètres!$A$1:$I$89,3,0)*VLOOKUP('Données projet'!$B$14,Paramètres!$A$1:$I$89,5,0)</f>
        <v>-3.1036506698001178E-14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164.0740581424559</v>
      </c>
      <c r="DU143" s="59">
        <f t="shared" si="152"/>
        <v>280.99861170359793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0.74786217006651834</v>
      </c>
      <c r="EB143" s="21">
        <f>EXP(-LN(2)/25)*EB142+(1-EXP(-LN(2)/25))/(LN(2)/25)*Calculateur!DW143*Calculateur!DY143*VLOOKUP('Données projet'!$B$14,Paramètres!$A$1:$I$89,3,0)*0.475*44/12</f>
        <v>1.2266253896477946</v>
      </c>
      <c r="EC143" s="21">
        <f>EXP(-LN(2)/2)*EC142+(1-EXP(-LN(2)/2))/(LN(2)/2)*DW143*DZ143*VLOOKUP('Données projet'!$B$14,Paramètres!$A$1:$I$89,3,0)*0.475*44/12</f>
        <v>4.2129392355515813E-16</v>
      </c>
      <c r="ED143" s="22">
        <f t="shared" si="126"/>
        <v>1.9744875597143134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1.1368683772161603E-13</v>
      </c>
      <c r="EK143" s="17">
        <f>EJ143*VLOOKUP('Données projet'!$B$15,Paramètres!$A$1:$I$89,3,0)*VLOOKUP('Données projet'!$B$15,Paramètres!$A$1:$I$89,5,0)</f>
        <v>5.4683368944097308E-14</v>
      </c>
      <c r="EL143" s="13">
        <f t="shared" si="153"/>
        <v>8.8129432816788268E-13</v>
      </c>
      <c r="EM143" s="20">
        <f t="shared" si="127"/>
        <v>1.6301611558033651E-12</v>
      </c>
      <c r="EN143" s="59">
        <f t="shared" si="128"/>
        <v>293.33333333333496</v>
      </c>
      <c r="EO143" s="59">
        <f ca="1">AVERAGE(OFFSET($EN$3,0,0,'Données projet'!$E$15+1,1))-AVERAGE(OFFSET($H$3,0,0,'Données projet'!$E$15+1,1))</f>
        <v>312.1172301514103</v>
      </c>
      <c r="EP143" s="59">
        <f t="shared" si="154"/>
        <v>369.85500533493212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0.30593740272183839</v>
      </c>
      <c r="EW143" s="21">
        <f>EXP(-LN(2)/25)*EW142+(1-EXP(-LN(2)/25))/(LN(2)/25)*Calculateur!ER143*Calculateur!ET143*VLOOKUP('Données projet'!$B$15,Paramètres!$A$1:$I$89,3,0)*0.475*44/12</f>
        <v>0.71236434284481354</v>
      </c>
      <c r="EX143" s="21">
        <f>EXP(-LN(2)/2)*EX142+(1-EXP(-LN(2)/2))/(LN(2)/2)*ER143*EU143*VLOOKUP('Données projet'!$B$15,Paramètres!$A$1:$I$89,3,0)*0.475*44/12</f>
        <v>8.7920153622295882E-16</v>
      </c>
      <c r="EY143" s="22">
        <f t="shared" si="129"/>
        <v>1.0183017455666528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-7.9808160080574461E-14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87.187251664304199</v>
      </c>
      <c r="FK143" s="59">
        <f t="shared" si="156"/>
        <v>148.84938257884147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0.38194463894610237</v>
      </c>
      <c r="FS143" s="21">
        <f>EXP(-LN(2)/2)*FS142+(1-EXP(-LN(2)/2))/(LN(2)/2)*FM143*FP143*VLOOKUP('Données projet'!$B$16,Paramètres!$A$1:$I$89,3,0)*0.475*44/12</f>
        <v>1.6886284750389222E-16</v>
      </c>
      <c r="FT143" s="22">
        <f t="shared" si="132"/>
        <v>0.38194463894610253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-1.1368683772161603E-13</v>
      </c>
      <c r="GA143" s="17">
        <f>FZ143*VLOOKUP('Données projet'!$B$17,Paramètres!$A$1:$I$89,3,0)*VLOOKUP('Données projet'!$B$17,Paramètres!$A$1:$I$89,5,0)</f>
        <v>-6.7984728957526396E-14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282.94722676586207</v>
      </c>
      <c r="GF143" s="59">
        <f t="shared" si="158"/>
        <v>310.63647941571298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0.50764736585827619</v>
      </c>
      <c r="GN143" s="21">
        <f>EXP(-LN(2)/2)*GN142+(1-EXP(-LN(2)/2))/(LN(2)/2)*GH143*GK143*VLOOKUP('Données projet'!$B$17,Paramètres!$A$1:$I$89,3,0)*0.475*44/12</f>
        <v>7.116039146101441E-16</v>
      </c>
      <c r="GO143" s="21">
        <f t="shared" si="135"/>
        <v>0.50764736585827686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-1.1368683772161603E-13</v>
      </c>
      <c r="GV143" s="17">
        <f>GU143*VLOOKUP('Données projet'!$B$18,Paramètres!$A$1:$I$89,3,0)*VLOOKUP('Données projet'!$B$18,Paramètres!$A$1:$I$89,5,0)</f>
        <v>-6.7984728957526396E-14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255.54398581450459</v>
      </c>
      <c r="HA143" s="59">
        <f t="shared" si="160"/>
        <v>276.52622328061204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</v>
      </c>
      <c r="HH143" s="21">
        <f>EXP(-LN(2)/25)*HH142+(1-EXP(-LN(2)/25))/(LN(2)/25)*Calculateur!HC143*Calculateur!HE143*VLOOKUP('Données projet'!$B$18,Paramètres!$A$1:$I$89,3,0)*0.475*44/12</f>
        <v>0.2533001109298299</v>
      </c>
      <c r="HI143" s="21">
        <f>EXP(-LN(2)/2)*HI142+(1-EXP(-LN(2)/2))/(LN(2)/2)*HC143*HF143*VLOOKUP('Données projet'!$B$18,Paramètres!$A$1:$I$89,3,0)*0.475*44/12</f>
        <v>4.1264447437703286E-16</v>
      </c>
      <c r="HJ143" s="22">
        <f t="shared" si="138"/>
        <v>0.25330011092983029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4.9658410716801891E-14</v>
      </c>
      <c r="P144" s="13">
        <f t="shared" si="141"/>
        <v>8.0934058173791862E-13</v>
      </c>
      <c r="Q144" s="20">
        <f t="shared" si="108"/>
        <v>1.4960899118586383E-12</v>
      </c>
      <c r="R144" s="59">
        <f t="shared" si="109"/>
        <v>293.33333333333479</v>
      </c>
      <c r="S144" s="59">
        <f ca="1">AVERAGE(OFFSET($R$3,0,0,'Données projet'!$E$9+1,1))-AVERAGE(OFFSET($H$3,0,0,'Données projet'!$E$9+1,1))</f>
        <v>248.50221719467663</v>
      </c>
      <c r="T144" s="59">
        <f t="shared" si="142"/>
        <v>366.09064580347183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0.87629043589097733</v>
      </c>
      <c r="AA144" s="21">
        <f>EXP(-LN(2)/25)*AA143+(1-EXP(-LN(2)/25))/(LN(2)/25)*Calculateur!V144*Calculateur!X144*VLOOKUP('Données projet'!$B$9,Paramètres!$A$1:$I$89,3,0)*0.475*44/12</f>
        <v>1.10892214824339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1.9852125841343673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263.22346936777603</v>
      </c>
      <c r="AO144" s="59">
        <f t="shared" si="144"/>
        <v>217.14714468707939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0.33522370380838851</v>
      </c>
      <c r="AW144" s="21">
        <f>EXP(-LN(2)/2)*AW143+(1-EXP(-LN(2)/2))/(LN(2)/2)*AQ144*AT144*VLOOKUP('Données projet'!$B$10,Paramètres!$A$1:$I$89,3,0)*0.475*44/12</f>
        <v>3.5034180446839868E-16</v>
      </c>
      <c r="AX144" s="21">
        <f t="shared" si="114"/>
        <v>0.33522370380838884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4.4337866711430253E-14</v>
      </c>
      <c r="BF144" s="13">
        <f t="shared" si="145"/>
        <v>7.3222115536967035E-13</v>
      </c>
      <c r="BG144" s="20">
        <f t="shared" si="115"/>
        <v>1.3525069634579169E-12</v>
      </c>
      <c r="BH144" s="59">
        <f t="shared" si="116"/>
        <v>293.33333333333468</v>
      </c>
      <c r="BI144" s="59">
        <f ca="1">AVERAGE(OFFSET($BH$3,0,0,'Données projet'!$E$11+1,1))-AVERAGE(OFFSET($H$3,0,0,'Données projet'!$E$11+1,1))</f>
        <v>219.22204054948094</v>
      </c>
      <c r="BJ144" s="59">
        <f t="shared" si="146"/>
        <v>222.41711966122034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0.14445908103294972</v>
      </c>
      <c r="BR144" s="21">
        <f>EXP(-LN(2)/2)*BR143+(1-EXP(-LN(2)/2))/(LN(2)/2)*BL144*BO144*VLOOKUP('Données projet'!$B$11,Paramètres!$A$1:$I$89,3,0)*0.475*44/12</f>
        <v>6.4179637810894008E-17</v>
      </c>
      <c r="BS144" s="22">
        <f t="shared" si="117"/>
        <v>0.14445908103294977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-3.979039320256561E-13</v>
      </c>
      <c r="BZ144" s="13">
        <f>BY144*VLOOKUP('Données projet'!$B$12,Paramètres!$A$1:$I$89,3,0)*VLOOKUP('Données projet'!$B$12,Paramètres!$A$1:$I$89,5,0)</f>
        <v>-3.41401573678013E-13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237.27357081252273</v>
      </c>
      <c r="CE144" s="59">
        <f t="shared" si="148"/>
        <v>68.768479693848576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-3.4106051316484809E-13</v>
      </c>
      <c r="CU144" s="17">
        <f>CT144*VLOOKUP('Données projet'!$B$13,Paramètres!$A$1:$I$89,3,0)*VLOOKUP('Données projet'!$B$13,Paramètres!$A$1:$I$89,5,0)</f>
        <v>-1.9065282685915009E-13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474.03051418249999</v>
      </c>
      <c r="CZ144" s="59">
        <f t="shared" si="150"/>
        <v>649.52271992719091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0.60661413120917962</v>
      </c>
      <c r="DG144" s="21">
        <f>EXP(-LN(2)/25)*DG143+(1-EXP(-LN(2)/25))/(LN(2)/25)*Calculateur!DB144*Calculateur!DD144*VLOOKUP('Données projet'!$B$13,Paramètres!$A$1:$I$89,3,0)*0.475*44/12</f>
        <v>1.1145968745214936</v>
      </c>
      <c r="DH144" s="21">
        <f>EXP(-LN(2)/2)*DH143+(1-EXP(-LN(2)/2))/(LN(2)/2)*DB144*DE144*VLOOKUP('Données projet'!$B$13,Paramètres!$A$1:$I$89,3,0)*0.475*44/12</f>
        <v>2.2961950721317852E-16</v>
      </c>
      <c r="DI144" s="22">
        <f t="shared" si="123"/>
        <v>1.7212110057306733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-5.6843418860808015E-14</v>
      </c>
      <c r="DP144" s="17">
        <f>DO144*VLOOKUP('Données projet'!$B$14,Paramètres!$A$1:$I$89,3,0)*VLOOKUP('Données projet'!$B$14,Paramètres!$A$1:$I$89,5,0)</f>
        <v>-3.1036506698001178E-14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164.0740581424559</v>
      </c>
      <c r="DU144" s="59">
        <f t="shared" si="152"/>
        <v>280.99861170359793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0.73319704906239647</v>
      </c>
      <c r="EB144" s="21">
        <f>EXP(-LN(2)/25)*EB143+(1-EXP(-LN(2)/25))/(LN(2)/25)*Calculateur!DW144*Calculateur!DY144*VLOOKUP('Données projet'!$B$14,Paramètres!$A$1:$I$89,3,0)*0.475*44/12</f>
        <v>1.1930832538624498</v>
      </c>
      <c r="EC144" s="21">
        <f>EXP(-LN(2)/2)*EC143+(1-EXP(-LN(2)/2))/(LN(2)/2)*DW144*DZ144*VLOOKUP('Données projet'!$B$14,Paramètres!$A$1:$I$89,3,0)*0.475*44/12</f>
        <v>2.9789979021853928E-16</v>
      </c>
      <c r="ED144" s="22">
        <f t="shared" si="126"/>
        <v>1.9262803029248465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1.1368683772161603E-13</v>
      </c>
      <c r="EK144" s="17">
        <f>EJ144*VLOOKUP('Données projet'!$B$15,Paramètres!$A$1:$I$89,3,0)*VLOOKUP('Données projet'!$B$15,Paramètres!$A$1:$I$89,5,0)</f>
        <v>5.4683368944097308E-14</v>
      </c>
      <c r="EL144" s="13">
        <f t="shared" si="153"/>
        <v>8.8129432816788268E-13</v>
      </c>
      <c r="EM144" s="20">
        <f t="shared" si="127"/>
        <v>1.6301611558033651E-12</v>
      </c>
      <c r="EN144" s="59">
        <f t="shared" si="128"/>
        <v>293.33333333333496</v>
      </c>
      <c r="EO144" s="59">
        <f ca="1">AVERAGE(OFFSET($EN$3,0,0,'Données projet'!$E$15+1,1))-AVERAGE(OFFSET($H$3,0,0,'Données projet'!$E$15+1,1))</f>
        <v>312.1172301514103</v>
      </c>
      <c r="EP144" s="59">
        <f t="shared" si="154"/>
        <v>369.85500533493212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0.29993815685785324</v>
      </c>
      <c r="EW144" s="21">
        <f>EXP(-LN(2)/25)*EW143+(1-EXP(-LN(2)/25))/(LN(2)/25)*Calculateur!ER144*Calculateur!ET144*VLOOKUP('Données projet'!$B$15,Paramètres!$A$1:$I$89,3,0)*0.475*44/12</f>
        <v>0.6928847024281094</v>
      </c>
      <c r="EX144" s="21">
        <f>EXP(-LN(2)/2)*EX143+(1-EXP(-LN(2)/2))/(LN(2)/2)*ER144*EU144*VLOOKUP('Données projet'!$B$15,Paramètres!$A$1:$I$89,3,0)*0.475*44/12</f>
        <v>6.2168936829288426E-16</v>
      </c>
      <c r="EY144" s="22">
        <f t="shared" si="129"/>
        <v>0.99282285928596337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-7.9808160080574461E-14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87.187251664304199</v>
      </c>
      <c r="FK144" s="59">
        <f t="shared" si="156"/>
        <v>148.84938257884147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0.37150034270852555</v>
      </c>
      <c r="FS144" s="21">
        <f>EXP(-LN(2)/2)*FS143+(1-EXP(-LN(2)/2))/(LN(2)/2)*FM144*FP144*VLOOKUP('Données projet'!$B$16,Paramètres!$A$1:$I$89,3,0)*0.475*44/12</f>
        <v>1.1940406456047206E-16</v>
      </c>
      <c r="FT144" s="22">
        <f t="shared" si="132"/>
        <v>0.37150034270852567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-1.1368683772161603E-13</v>
      </c>
      <c r="GA144" s="17">
        <f>FZ144*VLOOKUP('Données projet'!$B$17,Paramètres!$A$1:$I$89,3,0)*VLOOKUP('Données projet'!$B$17,Paramètres!$A$1:$I$89,5,0)</f>
        <v>-6.7984728957526396E-14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282.94722676586207</v>
      </c>
      <c r="GF144" s="59">
        <f t="shared" si="158"/>
        <v>310.63647941571298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0.49376572194286689</v>
      </c>
      <c r="GN144" s="21">
        <f>EXP(-LN(2)/2)*GN143+(1-EXP(-LN(2)/2))/(LN(2)/2)*GH144*GK144*VLOOKUP('Données projet'!$B$17,Paramètres!$A$1:$I$89,3,0)*0.475*44/12</f>
        <v>5.031799535397258E-16</v>
      </c>
      <c r="GO144" s="21">
        <f t="shared" si="135"/>
        <v>0.49376572194286739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-1.1368683772161603E-13</v>
      </c>
      <c r="GV144" s="17">
        <f>GU144*VLOOKUP('Données projet'!$B$18,Paramètres!$A$1:$I$89,3,0)*VLOOKUP('Données projet'!$B$18,Paramètres!$A$1:$I$89,5,0)</f>
        <v>-6.7984728957526396E-14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255.54398581450459</v>
      </c>
      <c r="HA144" s="59">
        <f t="shared" si="160"/>
        <v>276.52622328061204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</v>
      </c>
      <c r="HH144" s="21">
        <f>EXP(-LN(2)/25)*HH143+(1-EXP(-LN(2)/25))/(LN(2)/25)*Calculateur!HC144*Calculateur!HE144*VLOOKUP('Données projet'!$B$18,Paramètres!$A$1:$I$89,3,0)*0.475*44/12</f>
        <v>0.2463736060759798</v>
      </c>
      <c r="HI144" s="21">
        <f>EXP(-LN(2)/2)*HI143+(1-EXP(-LN(2)/2))/(LN(2)/2)*HC144*HF144*VLOOKUP('Données projet'!$B$18,Paramètres!$A$1:$I$89,3,0)*0.475*44/12</f>
        <v>2.9178370605115849E-16</v>
      </c>
      <c r="HJ144" s="22">
        <f t="shared" si="138"/>
        <v>0.24637360607598011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4.9658410716801891E-14</v>
      </c>
      <c r="P145" s="13">
        <f t="shared" si="141"/>
        <v>8.0934058173791862E-13</v>
      </c>
      <c r="Q145" s="20">
        <f t="shared" si="108"/>
        <v>1.4960899118586383E-12</v>
      </c>
      <c r="R145" s="59">
        <f t="shared" si="109"/>
        <v>293.33333333333479</v>
      </c>
      <c r="S145" s="59">
        <f ca="1">AVERAGE(OFFSET($R$3,0,0,'Données projet'!$E$9+1,1))-AVERAGE(OFFSET($H$3,0,0,'Données projet'!$E$9+1,1))</f>
        <v>248.50221719467663</v>
      </c>
      <c r="T145" s="59">
        <f t="shared" si="142"/>
        <v>366.09064580347183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0.85910691492754521</v>
      </c>
      <c r="AA145" s="21">
        <f>EXP(-LN(2)/25)*AA144+(1-EXP(-LN(2)/25))/(LN(2)/25)*Calculateur!V145*Calculateur!X145*VLOOKUP('Données projet'!$B$9,Paramètres!$A$1:$I$89,3,0)*0.475*44/12</f>
        <v>1.0785986137839931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1.9377055287115383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263.22346936777603</v>
      </c>
      <c r="AO145" s="59">
        <f t="shared" si="144"/>
        <v>217.14714468707939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0.32605699399909971</v>
      </c>
      <c r="AW145" s="21">
        <f>EXP(-LN(2)/2)*AW144+(1-EXP(-LN(2)/2))/(LN(2)/2)*AQ145*AT145*VLOOKUP('Données projet'!$B$10,Paramètres!$A$1:$I$89,3,0)*0.475*44/12</f>
        <v>2.477290656727362E-16</v>
      </c>
      <c r="AX145" s="21">
        <f t="shared" si="114"/>
        <v>0.32605699399909993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4.4337866711430253E-14</v>
      </c>
      <c r="BF145" s="13">
        <f t="shared" si="145"/>
        <v>7.3222115536967035E-13</v>
      </c>
      <c r="BG145" s="20">
        <f t="shared" si="115"/>
        <v>1.3525069634579169E-12</v>
      </c>
      <c r="BH145" s="59">
        <f t="shared" si="116"/>
        <v>293.33333333333468</v>
      </c>
      <c r="BI145" s="59">
        <f ca="1">AVERAGE(OFFSET($BH$3,0,0,'Données projet'!$E$11+1,1))-AVERAGE(OFFSET($H$3,0,0,'Données projet'!$E$11+1,1))</f>
        <v>219.22204054948094</v>
      </c>
      <c r="BJ145" s="59">
        <f t="shared" si="146"/>
        <v>222.41711966122034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0.1405088398653308</v>
      </c>
      <c r="BR145" s="21">
        <f>EXP(-LN(2)/2)*BR144+(1-EXP(-LN(2)/2))/(LN(2)/2)*BL145*BO145*VLOOKUP('Données projet'!$B$11,Paramètres!$A$1:$I$89,3,0)*0.475*44/12</f>
        <v>4.5381857110179702E-17</v>
      </c>
      <c r="BS145" s="22">
        <f t="shared" si="117"/>
        <v>0.14050883986533086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-3.979039320256561E-13</v>
      </c>
      <c r="BZ145" s="13">
        <f>BY145*VLOOKUP('Données projet'!$B$12,Paramètres!$A$1:$I$89,3,0)*VLOOKUP('Données projet'!$B$12,Paramètres!$A$1:$I$89,5,0)</f>
        <v>-3.41401573678013E-13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237.27357081252273</v>
      </c>
      <c r="CE145" s="59">
        <f t="shared" si="148"/>
        <v>68.768479693848576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-3.4106051316484809E-13</v>
      </c>
      <c r="CU145" s="17">
        <f>CT145*VLOOKUP('Données projet'!$B$13,Paramètres!$A$1:$I$89,3,0)*VLOOKUP('Données projet'!$B$13,Paramètres!$A$1:$I$89,5,0)</f>
        <v>-1.9065282685915009E-13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474.03051418249999</v>
      </c>
      <c r="CZ145" s="59">
        <f t="shared" si="150"/>
        <v>649.52271992719091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0.59471879809425332</v>
      </c>
      <c r="DG145" s="21">
        <f>EXP(-LN(2)/25)*DG144+(1-EXP(-LN(2)/25))/(LN(2)/25)*Calculateur!DB145*Calculateur!DD145*VLOOKUP('Données projet'!$B$13,Paramètres!$A$1:$I$89,3,0)*0.475*44/12</f>
        <v>1.0841181643736011</v>
      </c>
      <c r="DH145" s="21">
        <f>EXP(-LN(2)/2)*DH144+(1-EXP(-LN(2)/2))/(LN(2)/2)*DB145*DE145*VLOOKUP('Données projet'!$B$13,Paramètres!$A$1:$I$89,3,0)*0.475*44/12</f>
        <v>1.6236551064315189E-16</v>
      </c>
      <c r="DI145" s="22">
        <f t="shared" si="123"/>
        <v>1.6788369624678545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-5.6843418860808015E-14</v>
      </c>
      <c r="DP145" s="17">
        <f>DO145*VLOOKUP('Données projet'!$B$14,Paramètres!$A$1:$I$89,3,0)*VLOOKUP('Données projet'!$B$14,Paramètres!$A$1:$I$89,5,0)</f>
        <v>-3.1036506698001178E-14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164.0740581424559</v>
      </c>
      <c r="DU145" s="59">
        <f t="shared" si="152"/>
        <v>280.99861170359793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0.71881950213632484</v>
      </c>
      <c r="EB145" s="21">
        <f>EXP(-LN(2)/25)*EB144+(1-EXP(-LN(2)/25))/(LN(2)/25)*Calculateur!DW145*Calculateur!DY145*VLOOKUP('Données projet'!$B$14,Paramètres!$A$1:$I$89,3,0)*0.475*44/12</f>
        <v>1.1604583295440596</v>
      </c>
      <c r="EC145" s="21">
        <f>EXP(-LN(2)/2)*EC144+(1-EXP(-LN(2)/2))/(LN(2)/2)*DW145*DZ145*VLOOKUP('Données projet'!$B$14,Paramètres!$A$1:$I$89,3,0)*0.475*44/12</f>
        <v>2.1064696177757907E-16</v>
      </c>
      <c r="ED145" s="22">
        <f t="shared" si="126"/>
        <v>1.8792778316803846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1.1368683772161603E-13</v>
      </c>
      <c r="EK145" s="17">
        <f>EJ145*VLOOKUP('Données projet'!$B$15,Paramètres!$A$1:$I$89,3,0)*VLOOKUP('Données projet'!$B$15,Paramètres!$A$1:$I$89,5,0)</f>
        <v>5.4683368944097308E-14</v>
      </c>
      <c r="EL145" s="13">
        <f t="shared" si="153"/>
        <v>8.8129432816788268E-13</v>
      </c>
      <c r="EM145" s="20">
        <f t="shared" si="127"/>
        <v>1.6301611558033651E-12</v>
      </c>
      <c r="EN145" s="59">
        <f t="shared" si="128"/>
        <v>293.33333333333496</v>
      </c>
      <c r="EO145" s="59">
        <f ca="1">AVERAGE(OFFSET($EN$3,0,0,'Données projet'!$E$15+1,1))-AVERAGE(OFFSET($H$3,0,0,'Données projet'!$E$15+1,1))</f>
        <v>312.1172301514103</v>
      </c>
      <c r="EP145" s="59">
        <f t="shared" si="154"/>
        <v>369.85500533493212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0.29405655254608221</v>
      </c>
      <c r="EW145" s="21">
        <f>EXP(-LN(2)/25)*EW144+(1-EXP(-LN(2)/25))/(LN(2)/25)*Calculateur!ER145*Calculateur!ET145*VLOOKUP('Données projet'!$B$15,Paramètres!$A$1:$I$89,3,0)*0.475*44/12</f>
        <v>0.67393773380298982</v>
      </c>
      <c r="EX145" s="21">
        <f>EXP(-LN(2)/2)*EX144+(1-EXP(-LN(2)/2))/(LN(2)/2)*ER145*EU145*VLOOKUP('Données projet'!$B$15,Paramètres!$A$1:$I$89,3,0)*0.475*44/12</f>
        <v>4.3960076811147951E-16</v>
      </c>
      <c r="EY145" s="22">
        <f t="shared" si="129"/>
        <v>0.96799428634907247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-7.9808160080574461E-14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87.187251664304199</v>
      </c>
      <c r="FK145" s="59">
        <f t="shared" si="156"/>
        <v>148.84938257884147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0.36134164630080695</v>
      </c>
      <c r="FS145" s="21">
        <f>EXP(-LN(2)/2)*FS144+(1-EXP(-LN(2)/2))/(LN(2)/2)*FM145*FP145*VLOOKUP('Données projet'!$B$16,Paramètres!$A$1:$I$89,3,0)*0.475*44/12</f>
        <v>8.4431423751946108E-17</v>
      </c>
      <c r="FT145" s="22">
        <f t="shared" si="132"/>
        <v>0.36134164630080706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-1.1368683772161603E-13</v>
      </c>
      <c r="GA145" s="17">
        <f>FZ145*VLOOKUP('Données projet'!$B$17,Paramètres!$A$1:$I$89,3,0)*VLOOKUP('Données projet'!$B$17,Paramètres!$A$1:$I$89,5,0)</f>
        <v>-6.7984728957526396E-14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282.94722676586207</v>
      </c>
      <c r="GF145" s="59">
        <f t="shared" si="158"/>
        <v>310.63647941571298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0.4802636723103284</v>
      </c>
      <c r="GN145" s="21">
        <f>EXP(-LN(2)/2)*GN144+(1-EXP(-LN(2)/2))/(LN(2)/2)*GH145*GK145*VLOOKUP('Données projet'!$B$17,Paramètres!$A$1:$I$89,3,0)*0.475*44/12</f>
        <v>3.5580195730507205E-16</v>
      </c>
      <c r="GO145" s="21">
        <f t="shared" si="135"/>
        <v>0.48026367231032874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-1.1368683772161603E-13</v>
      </c>
      <c r="GV145" s="17">
        <f>GU145*VLOOKUP('Données projet'!$B$18,Paramètres!$A$1:$I$89,3,0)*VLOOKUP('Données projet'!$B$18,Paramètres!$A$1:$I$89,5,0)</f>
        <v>-6.7984728957526396E-14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255.54398581450459</v>
      </c>
      <c r="HA145" s="59">
        <f t="shared" si="160"/>
        <v>276.52622328061204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</v>
      </c>
      <c r="HH145" s="21">
        <f>EXP(-LN(2)/25)*HH144+(1-EXP(-LN(2)/25))/(LN(2)/25)*Calculateur!HC145*Calculateur!HE145*VLOOKUP('Données projet'!$B$18,Paramètres!$A$1:$I$89,3,0)*0.475*44/12</f>
        <v>0.23963650686160728</v>
      </c>
      <c r="HI145" s="21">
        <f>EXP(-LN(2)/2)*HI144+(1-EXP(-LN(2)/2))/(LN(2)/2)*HC145*HF145*VLOOKUP('Données projet'!$B$18,Paramètres!$A$1:$I$89,3,0)*0.475*44/12</f>
        <v>2.0632223718851643E-16</v>
      </c>
      <c r="HJ145" s="22">
        <f t="shared" si="138"/>
        <v>0.23963650686160748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4.9658410716801891E-14</v>
      </c>
      <c r="P146" s="13">
        <f t="shared" si="141"/>
        <v>8.0934058173791862E-13</v>
      </c>
      <c r="Q146" s="20">
        <f t="shared" si="108"/>
        <v>1.4960899118586383E-12</v>
      </c>
      <c r="R146" s="59">
        <f t="shared" si="109"/>
        <v>293.33333333333479</v>
      </c>
      <c r="S146" s="59">
        <f ca="1">AVERAGE(OFFSET($R$3,0,0,'Données projet'!$E$9+1,1))-AVERAGE(OFFSET($H$3,0,0,'Données projet'!$E$9+1,1))</f>
        <v>248.50221719467663</v>
      </c>
      <c r="T146" s="59">
        <f t="shared" si="142"/>
        <v>366.09064580347183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0.84226035232929308</v>
      </c>
      <c r="AA146" s="21">
        <f>EXP(-LN(2)/25)*AA145+(1-EXP(-LN(2)/25))/(LN(2)/25)*Calculateur!V146*Calculateur!X146*VLOOKUP('Données projet'!$B$9,Paramètres!$A$1:$I$89,3,0)*0.475*44/12</f>
        <v>1.0491042779690338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1.8913646302983269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263.22346936777603</v>
      </c>
      <c r="AO146" s="59">
        <f t="shared" si="144"/>
        <v>217.14714468707939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0.31714094835160223</v>
      </c>
      <c r="AW146" s="21">
        <f>EXP(-LN(2)/2)*AW145+(1-EXP(-LN(2)/2))/(LN(2)/2)*AQ146*AT146*VLOOKUP('Données projet'!$B$10,Paramètres!$A$1:$I$89,3,0)*0.475*44/12</f>
        <v>1.7517090223419934E-16</v>
      </c>
      <c r="AX146" s="21">
        <f t="shared" si="114"/>
        <v>0.31714094835160239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4.4337866711430253E-14</v>
      </c>
      <c r="BF146" s="13">
        <f t="shared" si="145"/>
        <v>7.3222115536967035E-13</v>
      </c>
      <c r="BG146" s="20">
        <f t="shared" si="115"/>
        <v>1.3525069634579169E-12</v>
      </c>
      <c r="BH146" s="59">
        <f t="shared" si="116"/>
        <v>293.33333333333468</v>
      </c>
      <c r="BI146" s="59">
        <f ca="1">AVERAGE(OFFSET($BH$3,0,0,'Données projet'!$E$11+1,1))-AVERAGE(OFFSET($H$3,0,0,'Données projet'!$E$11+1,1))</f>
        <v>219.22204054948094</v>
      </c>
      <c r="BJ146" s="59">
        <f t="shared" si="146"/>
        <v>222.41711966122034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0.13666661825017459</v>
      </c>
      <c r="BR146" s="21">
        <f>EXP(-LN(2)/2)*BR145+(1-EXP(-LN(2)/2))/(LN(2)/2)*BL146*BO146*VLOOKUP('Données projet'!$B$11,Paramètres!$A$1:$I$89,3,0)*0.475*44/12</f>
        <v>3.2089818905447004E-17</v>
      </c>
      <c r="BS146" s="22">
        <f t="shared" si="117"/>
        <v>0.13666661825017462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-3.979039320256561E-13</v>
      </c>
      <c r="BZ146" s="13">
        <f>BY146*VLOOKUP('Données projet'!$B$12,Paramètres!$A$1:$I$89,3,0)*VLOOKUP('Données projet'!$B$12,Paramètres!$A$1:$I$89,5,0)</f>
        <v>-3.41401573678013E-13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237.27357081252273</v>
      </c>
      <c r="CE146" s="59">
        <f t="shared" si="148"/>
        <v>68.768479693848576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-3.4106051316484809E-13</v>
      </c>
      <c r="CU146" s="17">
        <f>CT146*VLOOKUP('Données projet'!$B$13,Paramètres!$A$1:$I$89,3,0)*VLOOKUP('Données projet'!$B$13,Paramètres!$A$1:$I$89,5,0)</f>
        <v>-1.9065282685915009E-13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474.03051418249999</v>
      </c>
      <c r="CZ146" s="59">
        <f t="shared" si="150"/>
        <v>649.52271992719091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0.58305672520627394</v>
      </c>
      <c r="DG146" s="21">
        <f>EXP(-LN(2)/25)*DG145+(1-EXP(-LN(2)/25))/(LN(2)/25)*Calculateur!DB146*Calculateur!DD146*VLOOKUP('Données projet'!$B$13,Paramètres!$A$1:$I$89,3,0)*0.475*44/12</f>
        <v>1.0544728961575085</v>
      </c>
      <c r="DH146" s="21">
        <f>EXP(-LN(2)/2)*DH145+(1-EXP(-LN(2)/2))/(LN(2)/2)*DB146*DE146*VLOOKUP('Données projet'!$B$13,Paramètres!$A$1:$I$89,3,0)*0.475*44/12</f>
        <v>1.1480975360658926E-16</v>
      </c>
      <c r="DI146" s="22">
        <f t="shared" si="123"/>
        <v>1.6375296213637827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-5.6843418860808015E-14</v>
      </c>
      <c r="DP146" s="17">
        <f>DO146*VLOOKUP('Données projet'!$B$14,Paramètres!$A$1:$I$89,3,0)*VLOOKUP('Données projet'!$B$14,Paramètres!$A$1:$I$89,5,0)</f>
        <v>-3.1036506698001178E-14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164.0740581424559</v>
      </c>
      <c r="DU146" s="59">
        <f t="shared" si="152"/>
        <v>280.99861170359793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0.70472389013603576</v>
      </c>
      <c r="EB146" s="21">
        <f>EXP(-LN(2)/25)*EB145+(1-EXP(-LN(2)/25))/(LN(2)/25)*Calculateur!DW146*Calculateur!DY146*VLOOKUP('Données projet'!$B$14,Paramètres!$A$1:$I$89,3,0)*0.475*44/12</f>
        <v>1.128725535496826</v>
      </c>
      <c r="EC146" s="21">
        <f>EXP(-LN(2)/2)*EC145+(1-EXP(-LN(2)/2))/(LN(2)/2)*DW146*DZ146*VLOOKUP('Données projet'!$B$14,Paramètres!$A$1:$I$89,3,0)*0.475*44/12</f>
        <v>1.4894989510926964E-16</v>
      </c>
      <c r="ED146" s="22">
        <f t="shared" si="126"/>
        <v>1.833449425632862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1.1368683772161603E-13</v>
      </c>
      <c r="EK146" s="17">
        <f>EJ146*VLOOKUP('Données projet'!$B$15,Paramètres!$A$1:$I$89,3,0)*VLOOKUP('Données projet'!$B$15,Paramètres!$A$1:$I$89,5,0)</f>
        <v>5.4683368944097308E-14</v>
      </c>
      <c r="EL146" s="13">
        <f t="shared" si="153"/>
        <v>8.8129432816788268E-13</v>
      </c>
      <c r="EM146" s="20">
        <f t="shared" si="127"/>
        <v>1.6301611558033651E-12</v>
      </c>
      <c r="EN146" s="59">
        <f t="shared" si="128"/>
        <v>293.33333333333496</v>
      </c>
      <c r="EO146" s="59">
        <f ca="1">AVERAGE(OFFSET($EN$3,0,0,'Données projet'!$E$15+1,1))-AVERAGE(OFFSET($H$3,0,0,'Données projet'!$E$15+1,1))</f>
        <v>312.1172301514103</v>
      </c>
      <c r="EP146" s="59">
        <f t="shared" si="154"/>
        <v>369.85500533493212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0.28829028290744058</v>
      </c>
      <c r="EW146" s="21">
        <f>EXP(-LN(2)/25)*EW145+(1-EXP(-LN(2)/25))/(LN(2)/25)*Calculateur!ER146*Calculateur!ET146*VLOOKUP('Données projet'!$B$15,Paramètres!$A$1:$I$89,3,0)*0.475*44/12</f>
        <v>0.65550887103130195</v>
      </c>
      <c r="EX146" s="21">
        <f>EXP(-LN(2)/2)*EX145+(1-EXP(-LN(2)/2))/(LN(2)/2)*ER146*EU146*VLOOKUP('Données projet'!$B$15,Paramètres!$A$1:$I$89,3,0)*0.475*44/12</f>
        <v>3.1084468414644218E-16</v>
      </c>
      <c r="EY146" s="22">
        <f t="shared" si="129"/>
        <v>0.94379915393874281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-7.9808160080574461E-14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87.187251664304199</v>
      </c>
      <c r="FK146" s="59">
        <f t="shared" si="156"/>
        <v>148.84938257884147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0.35146073998058008</v>
      </c>
      <c r="FS146" s="21">
        <f>EXP(-LN(2)/2)*FS145+(1-EXP(-LN(2)/2))/(LN(2)/2)*FM146*FP146*VLOOKUP('Données projet'!$B$16,Paramètres!$A$1:$I$89,3,0)*0.475*44/12</f>
        <v>5.9702032280236028E-17</v>
      </c>
      <c r="FT146" s="22">
        <f t="shared" si="132"/>
        <v>0.35146073998058014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-1.1368683772161603E-13</v>
      </c>
      <c r="GA146" s="17">
        <f>FZ146*VLOOKUP('Données projet'!$B$17,Paramètres!$A$1:$I$89,3,0)*VLOOKUP('Données projet'!$B$17,Paramètres!$A$1:$I$89,5,0)</f>
        <v>-6.7984728957526396E-14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282.94722676586207</v>
      </c>
      <c r="GF146" s="59">
        <f t="shared" si="158"/>
        <v>310.63647941571298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0.4671308369350336</v>
      </c>
      <c r="GN146" s="21">
        <f>EXP(-LN(2)/2)*GN145+(1-EXP(-LN(2)/2))/(LN(2)/2)*GH146*GK146*VLOOKUP('Données projet'!$B$17,Paramètres!$A$1:$I$89,3,0)*0.475*44/12</f>
        <v>2.515899767698629E-16</v>
      </c>
      <c r="GO146" s="21">
        <f t="shared" si="135"/>
        <v>0.46713083693503388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-1.1368683772161603E-13</v>
      </c>
      <c r="GV146" s="17">
        <f>GU146*VLOOKUP('Données projet'!$B$18,Paramètres!$A$1:$I$89,3,0)*VLOOKUP('Données projet'!$B$18,Paramètres!$A$1:$I$89,5,0)</f>
        <v>-6.7984728957526396E-14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255.54398581450459</v>
      </c>
      <c r="HA146" s="59">
        <f t="shared" si="160"/>
        <v>276.52622328061204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</v>
      </c>
      <c r="HH146" s="21">
        <f>EXP(-LN(2)/25)*HH145+(1-EXP(-LN(2)/25))/(LN(2)/25)*Calculateur!HC146*Calculateur!HE146*VLOOKUP('Données projet'!$B$18,Paramètres!$A$1:$I$89,3,0)*0.475*44/12</f>
        <v>0.23308363397954043</v>
      </c>
      <c r="HI146" s="21">
        <f>EXP(-LN(2)/2)*HI145+(1-EXP(-LN(2)/2))/(LN(2)/2)*HC146*HF146*VLOOKUP('Données projet'!$B$18,Paramètres!$A$1:$I$89,3,0)*0.475*44/12</f>
        <v>1.4589185302557925E-16</v>
      </c>
      <c r="HJ146" s="22">
        <f t="shared" si="138"/>
        <v>0.23308363397954057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4.9658410716801891E-14</v>
      </c>
      <c r="P147" s="13">
        <f t="shared" si="141"/>
        <v>8.0934058173791862E-13</v>
      </c>
      <c r="Q147" s="20">
        <f t="shared" si="108"/>
        <v>1.4960899118586383E-12</v>
      </c>
      <c r="R147" s="59">
        <f t="shared" si="109"/>
        <v>293.33333333333479</v>
      </c>
      <c r="S147" s="59">
        <f ca="1">AVERAGE(OFFSET($R$3,0,0,'Données projet'!$E$9+1,1))-AVERAGE(OFFSET($H$3,0,0,'Données projet'!$E$9+1,1))</f>
        <v>248.50221719467663</v>
      </c>
      <c r="T147" s="59">
        <f t="shared" si="142"/>
        <v>366.09064580347183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0.82574414054820411</v>
      </c>
      <c r="AA147" s="21">
        <f>EXP(-LN(2)/25)*AA146+(1-EXP(-LN(2)/25))/(LN(2)/25)*Calculateur!V147*Calculateur!X147*VLOOKUP('Données projet'!$B$9,Paramètres!$A$1:$I$89,3,0)*0.475*44/12</f>
        <v>1.0204164663179744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1.8461606068661784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263.22346936777603</v>
      </c>
      <c r="AO147" s="59">
        <f t="shared" si="144"/>
        <v>217.14714468707939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0.30846871244121005</v>
      </c>
      <c r="AW147" s="21">
        <f>EXP(-LN(2)/2)*AW146+(1-EXP(-LN(2)/2))/(LN(2)/2)*AQ147*AT147*VLOOKUP('Données projet'!$B$10,Paramètres!$A$1:$I$89,3,0)*0.475*44/12</f>
        <v>1.238645328363681E-16</v>
      </c>
      <c r="AX147" s="21">
        <f t="shared" si="114"/>
        <v>0.30846871244121016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4.4337866711430253E-14</v>
      </c>
      <c r="BF147" s="13">
        <f t="shared" si="145"/>
        <v>7.3222115536967035E-13</v>
      </c>
      <c r="BG147" s="20">
        <f t="shared" si="115"/>
        <v>1.3525069634579169E-12</v>
      </c>
      <c r="BH147" s="59">
        <f t="shared" si="116"/>
        <v>293.33333333333468</v>
      </c>
      <c r="BI147" s="59">
        <f ca="1">AVERAGE(OFFSET($BH$3,0,0,'Données projet'!$E$11+1,1))-AVERAGE(OFFSET($H$3,0,0,'Données projet'!$E$11+1,1))</f>
        <v>219.22204054948094</v>
      </c>
      <c r="BJ147" s="59">
        <f t="shared" si="146"/>
        <v>222.41711966122034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0.13292946238713846</v>
      </c>
      <c r="BR147" s="21">
        <f>EXP(-LN(2)/2)*BR146+(1-EXP(-LN(2)/2))/(LN(2)/2)*BL147*BO147*VLOOKUP('Données projet'!$B$11,Paramètres!$A$1:$I$89,3,0)*0.475*44/12</f>
        <v>2.2690928555089851E-17</v>
      </c>
      <c r="BS147" s="22">
        <f t="shared" si="117"/>
        <v>0.13292946238713849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-3.979039320256561E-13</v>
      </c>
      <c r="BZ147" s="13">
        <f>BY147*VLOOKUP('Données projet'!$B$12,Paramètres!$A$1:$I$89,3,0)*VLOOKUP('Données projet'!$B$12,Paramètres!$A$1:$I$89,5,0)</f>
        <v>-3.41401573678013E-13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237.27357081252273</v>
      </c>
      <c r="CE147" s="59">
        <f t="shared" si="148"/>
        <v>68.768479693848576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-3.4106051316484809E-13</v>
      </c>
      <c r="CU147" s="17">
        <f>CT147*VLOOKUP('Données projet'!$B$13,Paramètres!$A$1:$I$89,3,0)*VLOOKUP('Données projet'!$B$13,Paramètres!$A$1:$I$89,5,0)</f>
        <v>-1.9065282685915009E-13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474.03051418249999</v>
      </c>
      <c r="CZ147" s="59">
        <f t="shared" si="150"/>
        <v>649.52271992719091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0.57162333845446578</v>
      </c>
      <c r="DG147" s="21">
        <f>EXP(-LN(2)/25)*DG146+(1-EXP(-LN(2)/25))/(LN(2)/25)*Calculateur!DB147*Calculateur!DD147*VLOOKUP('Données projet'!$B$13,Paramètres!$A$1:$I$89,3,0)*0.475*44/12</f>
        <v>1.0256382793597618</v>
      </c>
      <c r="DH147" s="21">
        <f>EXP(-LN(2)/2)*DH146+(1-EXP(-LN(2)/2))/(LN(2)/2)*DB147*DE147*VLOOKUP('Données projet'!$B$13,Paramètres!$A$1:$I$89,3,0)*0.475*44/12</f>
        <v>8.1182755321575947E-17</v>
      </c>
      <c r="DI147" s="22">
        <f t="shared" si="123"/>
        <v>1.5972616178142276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-5.6843418860808015E-14</v>
      </c>
      <c r="DP147" s="17">
        <f>DO147*VLOOKUP('Données projet'!$B$14,Paramètres!$A$1:$I$89,3,0)*VLOOKUP('Données projet'!$B$14,Paramètres!$A$1:$I$89,5,0)</f>
        <v>-3.1036506698001178E-14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164.0740581424559</v>
      </c>
      <c r="DU147" s="59">
        <f t="shared" si="152"/>
        <v>280.99861170359793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0.69090468448959796</v>
      </c>
      <c r="EB147" s="21">
        <f>EXP(-LN(2)/25)*EB146+(1-EXP(-LN(2)/25))/(LN(2)/25)*Calculateur!DW147*Calculateur!DY147*VLOOKUP('Données projet'!$B$14,Paramètres!$A$1:$I$89,3,0)*0.475*44/12</f>
        <v>1.0978604763715691</v>
      </c>
      <c r="EC147" s="21">
        <f>EXP(-LN(2)/2)*EC146+(1-EXP(-LN(2)/2))/(LN(2)/2)*DW147*DZ147*VLOOKUP('Données projet'!$B$14,Paramètres!$A$1:$I$89,3,0)*0.475*44/12</f>
        <v>1.0532348088878953E-16</v>
      </c>
      <c r="ED147" s="22">
        <f t="shared" si="126"/>
        <v>1.7887651608611672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1.1368683772161603E-13</v>
      </c>
      <c r="EK147" s="17">
        <f>EJ147*VLOOKUP('Données projet'!$B$15,Paramètres!$A$1:$I$89,3,0)*VLOOKUP('Données projet'!$B$15,Paramètres!$A$1:$I$89,5,0)</f>
        <v>5.4683368944097308E-14</v>
      </c>
      <c r="EL147" s="13">
        <f t="shared" si="153"/>
        <v>8.8129432816788268E-13</v>
      </c>
      <c r="EM147" s="20">
        <f t="shared" si="127"/>
        <v>1.6301611558033651E-12</v>
      </c>
      <c r="EN147" s="59">
        <f t="shared" si="128"/>
        <v>293.33333333333496</v>
      </c>
      <c r="EO147" s="59">
        <f ca="1">AVERAGE(OFFSET($EN$3,0,0,'Données projet'!$E$15+1,1))-AVERAGE(OFFSET($H$3,0,0,'Données projet'!$E$15+1,1))</f>
        <v>312.1172301514103</v>
      </c>
      <c r="EP147" s="59">
        <f t="shared" si="154"/>
        <v>369.85500533493212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0.28263708629933554</v>
      </c>
      <c r="EW147" s="21">
        <f>EXP(-LN(2)/25)*EW146+(1-EXP(-LN(2)/25))/(LN(2)/25)*Calculateur!ER147*Calculateur!ET147*VLOOKUP('Données projet'!$B$15,Paramètres!$A$1:$I$89,3,0)*0.475*44/12</f>
        <v>0.63758394648123762</v>
      </c>
      <c r="EX147" s="21">
        <f>EXP(-LN(2)/2)*EX146+(1-EXP(-LN(2)/2))/(LN(2)/2)*ER147*EU147*VLOOKUP('Données projet'!$B$15,Paramètres!$A$1:$I$89,3,0)*0.475*44/12</f>
        <v>2.1980038405573978E-16</v>
      </c>
      <c r="EY147" s="22">
        <f t="shared" si="129"/>
        <v>0.92022103278057332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-7.9808160080574461E-14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87.187251664304199</v>
      </c>
      <c r="FK147" s="59">
        <f t="shared" si="156"/>
        <v>148.84938257884147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0.34185002756329408</v>
      </c>
      <c r="FS147" s="21">
        <f>EXP(-LN(2)/2)*FS146+(1-EXP(-LN(2)/2))/(LN(2)/2)*FM147*FP147*VLOOKUP('Données projet'!$B$16,Paramètres!$A$1:$I$89,3,0)*0.475*44/12</f>
        <v>4.2215711875973054E-17</v>
      </c>
      <c r="FT147" s="22">
        <f t="shared" si="132"/>
        <v>0.34185002756329413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-1.1368683772161603E-13</v>
      </c>
      <c r="GA147" s="17">
        <f>FZ147*VLOOKUP('Données projet'!$B$17,Paramètres!$A$1:$I$89,3,0)*VLOOKUP('Données projet'!$B$17,Paramètres!$A$1:$I$89,5,0)</f>
        <v>-6.7984728957526396E-14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282.94722676586207</v>
      </c>
      <c r="GF147" s="59">
        <f t="shared" si="158"/>
        <v>310.63647941571298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0.45435711963370201</v>
      </c>
      <c r="GN147" s="21">
        <f>EXP(-LN(2)/2)*GN146+(1-EXP(-LN(2)/2))/(LN(2)/2)*GH147*GK147*VLOOKUP('Données projet'!$B$17,Paramètres!$A$1:$I$89,3,0)*0.475*44/12</f>
        <v>1.7790097865253603E-16</v>
      </c>
      <c r="GO147" s="21">
        <f t="shared" si="135"/>
        <v>0.45435711963370218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-1.1368683772161603E-13</v>
      </c>
      <c r="GV147" s="17">
        <f>GU147*VLOOKUP('Données projet'!$B$18,Paramètres!$A$1:$I$89,3,0)*VLOOKUP('Données projet'!$B$18,Paramètres!$A$1:$I$89,5,0)</f>
        <v>-6.7984728957526396E-14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255.54398581450459</v>
      </c>
      <c r="HA147" s="59">
        <f t="shared" si="160"/>
        <v>276.52622328061204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</v>
      </c>
      <c r="HH147" s="21">
        <f>EXP(-LN(2)/25)*HH146+(1-EXP(-LN(2)/25))/(LN(2)/25)*Calculateur!HC147*Calculateur!HE147*VLOOKUP('Données projet'!$B$18,Paramètres!$A$1:$I$89,3,0)*0.475*44/12</f>
        <v>0.22670994975103431</v>
      </c>
      <c r="HI147" s="21">
        <f>EXP(-LN(2)/2)*HI146+(1-EXP(-LN(2)/2))/(LN(2)/2)*HC147*HF147*VLOOKUP('Données projet'!$B$18,Paramètres!$A$1:$I$89,3,0)*0.475*44/12</f>
        <v>1.0316111859425822E-16</v>
      </c>
      <c r="HJ147" s="22">
        <f t="shared" si="138"/>
        <v>0.22670994975103442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4.9658410716801891E-14</v>
      </c>
      <c r="P148" s="13">
        <f t="shared" si="141"/>
        <v>8.0934058173791862E-13</v>
      </c>
      <c r="Q148" s="20">
        <f t="shared" si="108"/>
        <v>1.4960899118586383E-12</v>
      </c>
      <c r="R148" s="59">
        <f t="shared" si="109"/>
        <v>293.33333333333479</v>
      </c>
      <c r="S148" s="59">
        <f ca="1">AVERAGE(OFFSET($R$3,0,0,'Données projet'!$E$9+1,1))-AVERAGE(OFFSET($H$3,0,0,'Données projet'!$E$9+1,1))</f>
        <v>248.50221719467663</v>
      </c>
      <c r="T148" s="59">
        <f t="shared" si="142"/>
        <v>366.09064580347183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0.80955180160624785</v>
      </c>
      <c r="AA148" s="21">
        <f>EXP(-LN(2)/25)*AA147+(1-EXP(-LN(2)/25))/(LN(2)/25)*Calculateur!V148*Calculateur!X148*VLOOKUP('Données projet'!$B$9,Paramètres!$A$1:$I$89,3,0)*0.475*44/12</f>
        <v>0.99251312438513961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1.8020649259913875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263.22346936777603</v>
      </c>
      <c r="AO148" s="59">
        <f t="shared" si="144"/>
        <v>217.14714468707939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0.30003361927784061</v>
      </c>
      <c r="AW148" s="21">
        <f>EXP(-LN(2)/2)*AW147+(1-EXP(-LN(2)/2))/(LN(2)/2)*AQ148*AT148*VLOOKUP('Données projet'!$B$10,Paramètres!$A$1:$I$89,3,0)*0.475*44/12</f>
        <v>8.7585451117099669E-17</v>
      </c>
      <c r="AX148" s="21">
        <f t="shared" si="114"/>
        <v>0.30003361927784072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4.4337866711430253E-14</v>
      </c>
      <c r="BF148" s="13">
        <f t="shared" si="145"/>
        <v>7.3222115536967035E-13</v>
      </c>
      <c r="BG148" s="20">
        <f t="shared" si="115"/>
        <v>1.3525069634579169E-12</v>
      </c>
      <c r="BH148" s="59">
        <f t="shared" si="116"/>
        <v>293.33333333333468</v>
      </c>
      <c r="BI148" s="59">
        <f ca="1">AVERAGE(OFFSET($BH$3,0,0,'Données projet'!$E$11+1,1))-AVERAGE(OFFSET($H$3,0,0,'Données projet'!$E$11+1,1))</f>
        <v>219.22204054948094</v>
      </c>
      <c r="BJ148" s="59">
        <f t="shared" si="146"/>
        <v>222.41711966122034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0.12929449924770556</v>
      </c>
      <c r="BR148" s="21">
        <f>EXP(-LN(2)/2)*BR147+(1-EXP(-LN(2)/2))/(LN(2)/2)*BL148*BO148*VLOOKUP('Données projet'!$B$11,Paramètres!$A$1:$I$89,3,0)*0.475*44/12</f>
        <v>1.6044909452723502E-17</v>
      </c>
      <c r="BS148" s="22">
        <f t="shared" si="117"/>
        <v>0.12929449924770559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-3.979039320256561E-13</v>
      </c>
      <c r="BZ148" s="13">
        <f>BY148*VLOOKUP('Données projet'!$B$12,Paramètres!$A$1:$I$89,3,0)*VLOOKUP('Données projet'!$B$12,Paramètres!$A$1:$I$89,5,0)</f>
        <v>-3.41401573678013E-13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237.27357081252273</v>
      </c>
      <c r="CE148" s="59">
        <f t="shared" si="148"/>
        <v>68.768479693848576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-3.4106051316484809E-13</v>
      </c>
      <c r="CU148" s="17">
        <f>CT148*VLOOKUP('Données projet'!$B$13,Paramètres!$A$1:$I$89,3,0)*VLOOKUP('Données projet'!$B$13,Paramètres!$A$1:$I$89,5,0)</f>
        <v>-1.9065282685915009E-13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474.03051418249999</v>
      </c>
      <c r="CZ148" s="59">
        <f t="shared" si="150"/>
        <v>649.52271992719091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0.56041415344318324</v>
      </c>
      <c r="DG148" s="21">
        <f>EXP(-LN(2)/25)*DG147+(1-EXP(-LN(2)/25))/(LN(2)/25)*Calculateur!DB148*Calculateur!DD148*VLOOKUP('Données projet'!$B$13,Paramètres!$A$1:$I$89,3,0)*0.475*44/12</f>
        <v>0.9975921466746962</v>
      </c>
      <c r="DH148" s="21">
        <f>EXP(-LN(2)/2)*DH147+(1-EXP(-LN(2)/2))/(LN(2)/2)*DB148*DE148*VLOOKUP('Données projet'!$B$13,Paramètres!$A$1:$I$89,3,0)*0.475*44/12</f>
        <v>5.740487680329463E-17</v>
      </c>
      <c r="DI148" s="22">
        <f t="shared" si="123"/>
        <v>1.5580063001178794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-5.6843418860808015E-14</v>
      </c>
      <c r="DP148" s="17">
        <f>DO148*VLOOKUP('Données projet'!$B$14,Paramètres!$A$1:$I$89,3,0)*VLOOKUP('Données projet'!$B$14,Paramètres!$A$1:$I$89,5,0)</f>
        <v>-3.1036506698001178E-14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164.0740581424559</v>
      </c>
      <c r="DU148" s="59">
        <f t="shared" si="152"/>
        <v>280.99861170359793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0.67735646503700364</v>
      </c>
      <c r="EB148" s="21">
        <f>EXP(-LN(2)/25)*EB147+(1-EXP(-LN(2)/25))/(LN(2)/25)*Calculateur!DW148*Calculateur!DY148*VLOOKUP('Données projet'!$B$14,Paramètres!$A$1:$I$89,3,0)*0.475*44/12</f>
        <v>1.0678394239112152</v>
      </c>
      <c r="EC148" s="21">
        <f>EXP(-LN(2)/2)*EC147+(1-EXP(-LN(2)/2))/(LN(2)/2)*DW148*DZ148*VLOOKUP('Données projet'!$B$14,Paramètres!$A$1:$I$89,3,0)*0.475*44/12</f>
        <v>7.4474947554634819E-17</v>
      </c>
      <c r="ED148" s="22">
        <f t="shared" si="126"/>
        <v>1.7451958889482189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1.1368683772161603E-13</v>
      </c>
      <c r="EK148" s="17">
        <f>EJ148*VLOOKUP('Données projet'!$B$15,Paramètres!$A$1:$I$89,3,0)*VLOOKUP('Données projet'!$B$15,Paramètres!$A$1:$I$89,5,0)</f>
        <v>5.4683368944097308E-14</v>
      </c>
      <c r="EL148" s="13">
        <f t="shared" si="153"/>
        <v>8.8129432816788268E-13</v>
      </c>
      <c r="EM148" s="20">
        <f t="shared" si="127"/>
        <v>1.6301611558033651E-12</v>
      </c>
      <c r="EN148" s="59">
        <f t="shared" si="128"/>
        <v>293.33333333333496</v>
      </c>
      <c r="EO148" s="59">
        <f ca="1">AVERAGE(OFFSET($EN$3,0,0,'Données projet'!$E$15+1,1))-AVERAGE(OFFSET($H$3,0,0,'Données projet'!$E$15+1,1))</f>
        <v>312.1172301514103</v>
      </c>
      <c r="EP148" s="59">
        <f t="shared" si="154"/>
        <v>369.85500533493212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0.27709474542860596</v>
      </c>
      <c r="EW148" s="21">
        <f>EXP(-LN(2)/25)*EW147+(1-EXP(-LN(2)/25))/(LN(2)/25)*Calculateur!ER148*Calculateur!ET148*VLOOKUP('Données projet'!$B$15,Paramètres!$A$1:$I$89,3,0)*0.475*44/12</f>
        <v>0.62014917993562568</v>
      </c>
      <c r="EX148" s="21">
        <f>EXP(-LN(2)/2)*EX147+(1-EXP(-LN(2)/2))/(LN(2)/2)*ER148*EU148*VLOOKUP('Données projet'!$B$15,Paramètres!$A$1:$I$89,3,0)*0.475*44/12</f>
        <v>1.5542234207322111E-16</v>
      </c>
      <c r="EY148" s="22">
        <f t="shared" si="129"/>
        <v>0.89724392536423181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-7.9808160080574461E-14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87.187251664304199</v>
      </c>
      <c r="FK148" s="59">
        <f t="shared" si="156"/>
        <v>148.84938257884147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0.33250212058246414</v>
      </c>
      <c r="FS148" s="21">
        <f>EXP(-LN(2)/2)*FS147+(1-EXP(-LN(2)/2))/(LN(2)/2)*FM148*FP148*VLOOKUP('Données projet'!$B$16,Paramètres!$A$1:$I$89,3,0)*0.475*44/12</f>
        <v>2.9851016140118014E-17</v>
      </c>
      <c r="FT148" s="22">
        <f t="shared" si="132"/>
        <v>0.3325021205824642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-1.1368683772161603E-13</v>
      </c>
      <c r="GA148" s="17">
        <f>FZ148*VLOOKUP('Données projet'!$B$17,Paramètres!$A$1:$I$89,3,0)*VLOOKUP('Données projet'!$B$17,Paramètres!$A$1:$I$89,5,0)</f>
        <v>-6.7984728957526396E-14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282.94722676586207</v>
      </c>
      <c r="GF148" s="59">
        <f t="shared" si="158"/>
        <v>310.63647941571298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0.44193270030371595</v>
      </c>
      <c r="GN148" s="21">
        <f>EXP(-LN(2)/2)*GN147+(1-EXP(-LN(2)/2))/(LN(2)/2)*GH148*GK148*VLOOKUP('Données projet'!$B$17,Paramètres!$A$1:$I$89,3,0)*0.475*44/12</f>
        <v>1.2579498838493145E-16</v>
      </c>
      <c r="GO148" s="21">
        <f t="shared" si="135"/>
        <v>0.44193270030371606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-1.1368683772161603E-13</v>
      </c>
      <c r="GV148" s="17">
        <f>GU148*VLOOKUP('Données projet'!$B$18,Paramètres!$A$1:$I$89,3,0)*VLOOKUP('Données projet'!$B$18,Paramètres!$A$1:$I$89,5,0)</f>
        <v>-6.7984728957526396E-14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255.54398581450459</v>
      </c>
      <c r="HA148" s="59">
        <f t="shared" si="160"/>
        <v>276.52622328061204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</v>
      </c>
      <c r="HH148" s="21">
        <f>EXP(-LN(2)/25)*HH147+(1-EXP(-LN(2)/25))/(LN(2)/25)*Calculateur!HC148*Calculateur!HE148*VLOOKUP('Données projet'!$B$18,Paramètres!$A$1:$I$89,3,0)*0.475*44/12</f>
        <v>0.22051055425293417</v>
      </c>
      <c r="HI148" s="21">
        <f>EXP(-LN(2)/2)*HI147+(1-EXP(-LN(2)/2))/(LN(2)/2)*HC148*HF148*VLOOKUP('Données projet'!$B$18,Paramètres!$A$1:$I$89,3,0)*0.475*44/12</f>
        <v>7.2945926512789623E-17</v>
      </c>
      <c r="HJ148" s="22">
        <f t="shared" si="138"/>
        <v>0.22051055425293425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4.9658410716801891E-14</v>
      </c>
      <c r="P149" s="13">
        <f t="shared" si="141"/>
        <v>8.0934058173791862E-13</v>
      </c>
      <c r="Q149" s="20">
        <f t="shared" si="108"/>
        <v>1.4960899118586383E-12</v>
      </c>
      <c r="R149" s="59">
        <f t="shared" si="109"/>
        <v>293.33333333333479</v>
      </c>
      <c r="S149" s="59">
        <f ca="1">AVERAGE(OFFSET($R$3,0,0,'Données projet'!$E$9+1,1))-AVERAGE(OFFSET($H$3,0,0,'Données projet'!$E$9+1,1))</f>
        <v>248.50221719467663</v>
      </c>
      <c r="T149" s="59">
        <f t="shared" si="142"/>
        <v>366.09064580347183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0.79367698455459179</v>
      </c>
      <c r="AA149" s="21">
        <f>EXP(-LN(2)/25)*AA148+(1-EXP(-LN(2)/25))/(LN(2)/25)*Calculateur!V149*Calculateur!X149*VLOOKUP('Données projet'!$B$9,Paramètres!$A$1:$I$89,3,0)*0.475*44/12</f>
        <v>0.96537280080483112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1.7590497853594229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263.22346936777603</v>
      </c>
      <c r="AO149" s="59">
        <f t="shared" si="144"/>
        <v>217.14714468707939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0.29182918418060577</v>
      </c>
      <c r="AW149" s="21">
        <f>EXP(-LN(2)/2)*AW148+(1-EXP(-LN(2)/2))/(LN(2)/2)*AQ149*AT149*VLOOKUP('Données projet'!$B$10,Paramètres!$A$1:$I$89,3,0)*0.475*44/12</f>
        <v>6.1932266418184049E-17</v>
      </c>
      <c r="AX149" s="21">
        <f t="shared" si="114"/>
        <v>0.29182918418060583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4.4337866711430253E-14</v>
      </c>
      <c r="BF149" s="13">
        <f t="shared" si="145"/>
        <v>7.3222115536967035E-13</v>
      </c>
      <c r="BG149" s="20">
        <f t="shared" si="115"/>
        <v>1.3525069634579169E-12</v>
      </c>
      <c r="BH149" s="59">
        <f t="shared" si="116"/>
        <v>293.33333333333468</v>
      </c>
      <c r="BI149" s="59">
        <f ca="1">AVERAGE(OFFSET($BH$3,0,0,'Données projet'!$E$11+1,1))-AVERAGE(OFFSET($H$3,0,0,'Données projet'!$E$11+1,1))</f>
        <v>219.22204054948094</v>
      </c>
      <c r="BJ149" s="59">
        <f t="shared" si="146"/>
        <v>222.41711966122034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0.12575893436647484</v>
      </c>
      <c r="BR149" s="21">
        <f>EXP(-LN(2)/2)*BR148+(1-EXP(-LN(2)/2))/(LN(2)/2)*BL149*BO149*VLOOKUP('Données projet'!$B$11,Paramètres!$A$1:$I$89,3,0)*0.475*44/12</f>
        <v>1.1345464277544925E-17</v>
      </c>
      <c r="BS149" s="22">
        <f t="shared" si="117"/>
        <v>0.12575893436647484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-3.979039320256561E-13</v>
      </c>
      <c r="BZ149" s="13">
        <f>BY149*VLOOKUP('Données projet'!$B$12,Paramètres!$A$1:$I$89,3,0)*VLOOKUP('Données projet'!$B$12,Paramètres!$A$1:$I$89,5,0)</f>
        <v>-3.41401573678013E-13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237.27357081252273</v>
      </c>
      <c r="CE149" s="59">
        <f t="shared" si="148"/>
        <v>68.768479693848576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-3.4106051316484809E-13</v>
      </c>
      <c r="CU149" s="17">
        <f>CT149*VLOOKUP('Données projet'!$B$13,Paramètres!$A$1:$I$89,3,0)*VLOOKUP('Données projet'!$B$13,Paramètres!$A$1:$I$89,5,0)</f>
        <v>-1.9065282685915009E-13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474.03051418249999</v>
      </c>
      <c r="CZ149" s="59">
        <f t="shared" si="150"/>
        <v>649.52271992719091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0.54942477371304421</v>
      </c>
      <c r="DG149" s="21">
        <f>EXP(-LN(2)/25)*DG148+(1-EXP(-LN(2)/25))/(LN(2)/25)*Calculateur!DB149*Calculateur!DD149*VLOOKUP('Données projet'!$B$13,Paramètres!$A$1:$I$89,3,0)*0.475*44/12</f>
        <v>0.97031293696278564</v>
      </c>
      <c r="DH149" s="21">
        <f>EXP(-LN(2)/2)*DH148+(1-EXP(-LN(2)/2))/(LN(2)/2)*DB149*DE149*VLOOKUP('Données projet'!$B$13,Paramètres!$A$1:$I$89,3,0)*0.475*44/12</f>
        <v>4.0591377660787974E-17</v>
      </c>
      <c r="DI149" s="22">
        <f t="shared" si="123"/>
        <v>1.5197377106758299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-5.6843418860808015E-14</v>
      </c>
      <c r="DP149" s="17">
        <f>DO149*VLOOKUP('Données projet'!$B$14,Paramètres!$A$1:$I$89,3,0)*VLOOKUP('Données projet'!$B$14,Paramètres!$A$1:$I$89,5,0)</f>
        <v>-3.1036506698001178E-14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164.0740581424559</v>
      </c>
      <c r="DU149" s="59">
        <f t="shared" si="152"/>
        <v>280.99861170359793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0.66407391790427683</v>
      </c>
      <c r="EB149" s="21">
        <f>EXP(-LN(2)/25)*EB148+(1-EXP(-LN(2)/25))/(LN(2)/25)*Calculateur!DW149*Calculateur!DY149*VLOOKUP('Données projet'!$B$14,Paramètres!$A$1:$I$89,3,0)*0.475*44/12</f>
        <v>1.0386392987091284</v>
      </c>
      <c r="EC149" s="21">
        <f>EXP(-LN(2)/2)*EC148+(1-EXP(-LN(2)/2))/(LN(2)/2)*DW149*DZ149*VLOOKUP('Données projet'!$B$14,Paramètres!$A$1:$I$89,3,0)*0.475*44/12</f>
        <v>5.2661740444394767E-17</v>
      </c>
      <c r="ED149" s="22">
        <f t="shared" si="126"/>
        <v>1.7027132166134051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1.1368683772161603E-13</v>
      </c>
      <c r="EK149" s="17">
        <f>EJ149*VLOOKUP('Données projet'!$B$15,Paramètres!$A$1:$I$89,3,0)*VLOOKUP('Données projet'!$B$15,Paramètres!$A$1:$I$89,5,0)</f>
        <v>5.4683368944097308E-14</v>
      </c>
      <c r="EL149" s="13">
        <f t="shared" si="153"/>
        <v>8.8129432816788268E-13</v>
      </c>
      <c r="EM149" s="20">
        <f t="shared" si="127"/>
        <v>1.6301611558033651E-12</v>
      </c>
      <c r="EN149" s="59">
        <f t="shared" si="128"/>
        <v>293.33333333333496</v>
      </c>
      <c r="EO149" s="59">
        <f ca="1">AVERAGE(OFFSET($EN$3,0,0,'Données projet'!$E$15+1,1))-AVERAGE(OFFSET($H$3,0,0,'Données projet'!$E$15+1,1))</f>
        <v>312.1172301514103</v>
      </c>
      <c r="EP149" s="59">
        <f t="shared" si="154"/>
        <v>369.85500533493212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0.27166108648185727</v>
      </c>
      <c r="EW149" s="21">
        <f>EXP(-LN(2)/25)*EW148+(1-EXP(-LN(2)/25))/(LN(2)/25)*Calculateur!ER149*Calculateur!ET149*VLOOKUP('Données projet'!$B$15,Paramètres!$A$1:$I$89,3,0)*0.475*44/12</f>
        <v>0.60319116799805794</v>
      </c>
      <c r="EX149" s="21">
        <f>EXP(-LN(2)/2)*EX148+(1-EXP(-LN(2)/2))/(LN(2)/2)*ER149*EU149*VLOOKUP('Données projet'!$B$15,Paramètres!$A$1:$I$89,3,0)*0.475*44/12</f>
        <v>1.0990019202786991E-16</v>
      </c>
      <c r="EY149" s="22">
        <f t="shared" si="129"/>
        <v>0.87485225447991533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-7.9808160080574461E-14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87.187251664304199</v>
      </c>
      <c r="FK149" s="59">
        <f t="shared" si="156"/>
        <v>148.84938257884147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0.32340983260961009</v>
      </c>
      <c r="FS149" s="21">
        <f>EXP(-LN(2)/2)*FS148+(1-EXP(-LN(2)/2))/(LN(2)/2)*FM149*FP149*VLOOKUP('Données projet'!$B$16,Paramètres!$A$1:$I$89,3,0)*0.475*44/12</f>
        <v>2.1107855937986527E-17</v>
      </c>
      <c r="FT149" s="22">
        <f t="shared" si="132"/>
        <v>0.32340983260961009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-1.1368683772161603E-13</v>
      </c>
      <c r="GA149" s="17">
        <f>FZ149*VLOOKUP('Données projet'!$B$17,Paramètres!$A$1:$I$89,3,0)*VLOOKUP('Données projet'!$B$17,Paramètres!$A$1:$I$89,5,0)</f>
        <v>-6.7984728957526396E-14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282.94722676586207</v>
      </c>
      <c r="GF149" s="59">
        <f t="shared" si="158"/>
        <v>310.63647941571298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0.42984802737368016</v>
      </c>
      <c r="GN149" s="21">
        <f>EXP(-LN(2)/2)*GN148+(1-EXP(-LN(2)/2))/(LN(2)/2)*GH149*GK149*VLOOKUP('Données projet'!$B$17,Paramètres!$A$1:$I$89,3,0)*0.475*44/12</f>
        <v>8.8950489326268013E-17</v>
      </c>
      <c r="GO149" s="21">
        <f t="shared" si="135"/>
        <v>0.42984802737368027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-1.1368683772161603E-13</v>
      </c>
      <c r="GV149" s="17">
        <f>GU149*VLOOKUP('Données projet'!$B$18,Paramètres!$A$1:$I$89,3,0)*VLOOKUP('Données projet'!$B$18,Paramètres!$A$1:$I$89,5,0)</f>
        <v>-6.7984728957526396E-14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255.54398581450459</v>
      </c>
      <c r="HA149" s="59">
        <f t="shared" si="160"/>
        <v>276.52622328061204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</v>
      </c>
      <c r="HH149" s="21">
        <f>EXP(-LN(2)/25)*HH148+(1-EXP(-LN(2)/25))/(LN(2)/25)*Calculateur!HC149*Calculateur!HE149*VLOOKUP('Données projet'!$B$18,Paramètres!$A$1:$I$89,3,0)*0.475*44/12</f>
        <v>0.21448068155074163</v>
      </c>
      <c r="HI149" s="21">
        <f>EXP(-LN(2)/2)*HI148+(1-EXP(-LN(2)/2))/(LN(2)/2)*HC149*HF149*VLOOKUP('Données projet'!$B$18,Paramètres!$A$1:$I$89,3,0)*0.475*44/12</f>
        <v>5.1580559297129108E-17</v>
      </c>
      <c r="HJ149" s="22">
        <f t="shared" si="138"/>
        <v>0.21448068155074168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4.9658410716801891E-14</v>
      </c>
      <c r="P150" s="13">
        <f t="shared" si="141"/>
        <v>8.0934058173791862E-13</v>
      </c>
      <c r="Q150" s="20">
        <f t="shared" si="108"/>
        <v>1.4960899118586383E-12</v>
      </c>
      <c r="R150" s="59">
        <f t="shared" si="109"/>
        <v>293.33333333333479</v>
      </c>
      <c r="S150" s="59">
        <f ca="1">AVERAGE(OFFSET($R$3,0,0,'Données projet'!$E$9+1,1))-AVERAGE(OFFSET($H$3,0,0,'Données projet'!$E$9+1,1))</f>
        <v>248.50221719467663</v>
      </c>
      <c r="T150" s="59">
        <f t="shared" si="142"/>
        <v>366.09064580347183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0.77811346298263639</v>
      </c>
      <c r="AA150" s="21">
        <f>EXP(-LN(2)/25)*AA149+(1-EXP(-LN(2)/25))/(LN(2)/25)*Calculateur!V150*Calculateur!X150*VLOOKUP('Données projet'!$B$9,Paramètres!$A$1:$I$89,3,0)*0.475*44/12</f>
        <v>0.93897463080007382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1.7170880937827102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263.22346936777603</v>
      </c>
      <c r="AO150" s="59">
        <f t="shared" si="144"/>
        <v>217.14714468707939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0.28384909979255729</v>
      </c>
      <c r="AW150" s="21">
        <f>EXP(-LN(2)/2)*AW149+(1-EXP(-LN(2)/2))/(LN(2)/2)*AQ150*AT150*VLOOKUP('Données projet'!$B$10,Paramètres!$A$1:$I$89,3,0)*0.475*44/12</f>
        <v>4.3792725558549834E-17</v>
      </c>
      <c r="AX150" s="21">
        <f t="shared" si="114"/>
        <v>0.28384909979255735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4.4337866711430253E-14</v>
      </c>
      <c r="BF150" s="13">
        <f t="shared" si="145"/>
        <v>7.3222115536967035E-13</v>
      </c>
      <c r="BG150" s="20">
        <f t="shared" si="115"/>
        <v>1.3525069634579169E-12</v>
      </c>
      <c r="BH150" s="59">
        <f t="shared" si="116"/>
        <v>293.33333333333468</v>
      </c>
      <c r="BI150" s="59">
        <f ca="1">AVERAGE(OFFSET($BH$3,0,0,'Données projet'!$E$11+1,1))-AVERAGE(OFFSET($H$3,0,0,'Données projet'!$E$11+1,1))</f>
        <v>219.22204054948094</v>
      </c>
      <c r="BJ150" s="59">
        <f t="shared" si="146"/>
        <v>222.41711966122034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0.12232004969284865</v>
      </c>
      <c r="BR150" s="21">
        <f>EXP(-LN(2)/2)*BR149+(1-EXP(-LN(2)/2))/(LN(2)/2)*BL150*BO150*VLOOKUP('Données projet'!$B$11,Paramètres!$A$1:$I$89,3,0)*0.475*44/12</f>
        <v>8.022454726361751E-18</v>
      </c>
      <c r="BS150" s="22">
        <f t="shared" si="117"/>
        <v>0.12232004969284867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-3.979039320256561E-13</v>
      </c>
      <c r="BZ150" s="13">
        <f>BY150*VLOOKUP('Données projet'!$B$12,Paramètres!$A$1:$I$89,3,0)*VLOOKUP('Données projet'!$B$12,Paramètres!$A$1:$I$89,5,0)</f>
        <v>-3.41401573678013E-13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237.27357081252273</v>
      </c>
      <c r="CE150" s="59">
        <f t="shared" si="148"/>
        <v>68.768479693848576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-3.4106051316484809E-13</v>
      </c>
      <c r="CU150" s="17">
        <f>CT150*VLOOKUP('Données projet'!$B$13,Paramètres!$A$1:$I$89,3,0)*VLOOKUP('Données projet'!$B$13,Paramètres!$A$1:$I$89,5,0)</f>
        <v>-1.9065282685915009E-13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474.03051418249999</v>
      </c>
      <c r="CZ150" s="59">
        <f t="shared" si="150"/>
        <v>649.52271992719091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0.53865088901655345</v>
      </c>
      <c r="DG150" s="21">
        <f>EXP(-LN(2)/25)*DG149+(1-EXP(-LN(2)/25))/(LN(2)/25)*Calculateur!DB150*Calculateur!DD150*VLOOKUP('Données projet'!$B$13,Paramètres!$A$1:$I$89,3,0)*0.475*44/12</f>
        <v>0.94377967867499857</v>
      </c>
      <c r="DH150" s="21">
        <f>EXP(-LN(2)/2)*DH149+(1-EXP(-LN(2)/2))/(LN(2)/2)*DB150*DE150*VLOOKUP('Données projet'!$B$13,Paramètres!$A$1:$I$89,3,0)*0.475*44/12</f>
        <v>2.8702438401647315E-17</v>
      </c>
      <c r="DI150" s="22">
        <f t="shared" si="123"/>
        <v>1.4824305676915519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-5.6843418860808015E-14</v>
      </c>
      <c r="DP150" s="17">
        <f>DO150*VLOOKUP('Données projet'!$B$14,Paramètres!$A$1:$I$89,3,0)*VLOOKUP('Données projet'!$B$14,Paramètres!$A$1:$I$89,5,0)</f>
        <v>-3.1036506698001178E-14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164.0740581424559</v>
      </c>
      <c r="DU150" s="59">
        <f t="shared" si="152"/>
        <v>280.99861170359793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0.65105183341926898</v>
      </c>
      <c r="EB150" s="21">
        <f>EXP(-LN(2)/25)*EB149+(1-EXP(-LN(2)/25))/(LN(2)/25)*Calculateur!DW150*Calculateur!DY150*VLOOKUP('Données projet'!$B$14,Paramètres!$A$1:$I$89,3,0)*0.475*44/12</f>
        <v>1.0102376524662604</v>
      </c>
      <c r="EC150" s="21">
        <f>EXP(-LN(2)/2)*EC149+(1-EXP(-LN(2)/2))/(LN(2)/2)*DW150*DZ150*VLOOKUP('Données projet'!$B$14,Paramètres!$A$1:$I$89,3,0)*0.475*44/12</f>
        <v>3.723747377731741E-17</v>
      </c>
      <c r="ED150" s="22">
        <f t="shared" si="126"/>
        <v>1.6612894858855294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1.1368683772161603E-13</v>
      </c>
      <c r="EK150" s="17">
        <f>EJ150*VLOOKUP('Données projet'!$B$15,Paramètres!$A$1:$I$89,3,0)*VLOOKUP('Données projet'!$B$15,Paramètres!$A$1:$I$89,5,0)</f>
        <v>5.4683368944097308E-14</v>
      </c>
      <c r="EL150" s="13">
        <f t="shared" si="153"/>
        <v>8.8129432816788268E-13</v>
      </c>
      <c r="EM150" s="20">
        <f t="shared" si="127"/>
        <v>1.6301611558033651E-12</v>
      </c>
      <c r="EN150" s="59">
        <f t="shared" si="128"/>
        <v>293.33333333333496</v>
      </c>
      <c r="EO150" s="59">
        <f ca="1">AVERAGE(OFFSET($EN$3,0,0,'Données projet'!$E$15+1,1))-AVERAGE(OFFSET($H$3,0,0,'Données projet'!$E$15+1,1))</f>
        <v>312.1172301514103</v>
      </c>
      <c r="EP150" s="59">
        <f t="shared" si="154"/>
        <v>369.85500533493212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0.2663339782728496</v>
      </c>
      <c r="EW150" s="21">
        <f>EXP(-LN(2)/25)*EW149+(1-EXP(-LN(2)/25))/(LN(2)/25)*Calculateur!ER150*Calculateur!ET150*VLOOKUP('Données projet'!$B$15,Paramètres!$A$1:$I$89,3,0)*0.475*44/12</f>
        <v>0.58669687378870616</v>
      </c>
      <c r="EX150" s="21">
        <f>EXP(-LN(2)/2)*EX149+(1-EXP(-LN(2)/2))/(LN(2)/2)*ER150*EU150*VLOOKUP('Données projet'!$B$15,Paramètres!$A$1:$I$89,3,0)*0.475*44/12</f>
        <v>7.7711171036610569E-17</v>
      </c>
      <c r="EY150" s="22">
        <f t="shared" si="129"/>
        <v>0.85303085206155582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-7.9808160080574461E-14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87.187251664304199</v>
      </c>
      <c r="FK150" s="59">
        <f t="shared" si="156"/>
        <v>148.84938257884147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0.3145661737295164</v>
      </c>
      <c r="FS150" s="21">
        <f>EXP(-LN(2)/2)*FS149+(1-EXP(-LN(2)/2))/(LN(2)/2)*FM150*FP150*VLOOKUP('Données projet'!$B$16,Paramètres!$A$1:$I$89,3,0)*0.475*44/12</f>
        <v>1.4925508070059007E-17</v>
      </c>
      <c r="FT150" s="22">
        <f t="shared" si="132"/>
        <v>0.3145661737295164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-1.1368683772161603E-13</v>
      </c>
      <c r="GA150" s="17">
        <f>FZ150*VLOOKUP('Données projet'!$B$17,Paramètres!$A$1:$I$89,3,0)*VLOOKUP('Données projet'!$B$17,Paramètres!$A$1:$I$89,5,0)</f>
        <v>-6.7984728957526396E-14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282.94722676586207</v>
      </c>
      <c r="GF150" s="59">
        <f t="shared" si="158"/>
        <v>310.63647941571298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0.41809381046042154</v>
      </c>
      <c r="GN150" s="21">
        <f>EXP(-LN(2)/2)*GN149+(1-EXP(-LN(2)/2))/(LN(2)/2)*GH150*GK150*VLOOKUP('Données projet'!$B$17,Paramètres!$A$1:$I$89,3,0)*0.475*44/12</f>
        <v>6.2897494192465726E-17</v>
      </c>
      <c r="GO150" s="21">
        <f t="shared" si="135"/>
        <v>0.4180938104604216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-1.1368683772161603E-13</v>
      </c>
      <c r="GV150" s="17">
        <f>GU150*VLOOKUP('Données projet'!$B$18,Paramètres!$A$1:$I$89,3,0)*VLOOKUP('Données projet'!$B$18,Paramètres!$A$1:$I$89,5,0)</f>
        <v>-6.7984728957526396E-14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255.54398581450459</v>
      </c>
      <c r="HA150" s="59">
        <f t="shared" si="160"/>
        <v>276.52622328061204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</v>
      </c>
      <c r="HH150" s="21">
        <f>EXP(-LN(2)/25)*HH149+(1-EXP(-LN(2)/25))/(LN(2)/25)*Calculateur!HC150*Calculateur!HE150*VLOOKUP('Données projet'!$B$18,Paramètres!$A$1:$I$89,3,0)*0.475*44/12</f>
        <v>0.20861569603468774</v>
      </c>
      <c r="HI150" s="21">
        <f>EXP(-LN(2)/2)*HI149+(1-EXP(-LN(2)/2))/(LN(2)/2)*HC150*HF150*VLOOKUP('Données projet'!$B$18,Paramètres!$A$1:$I$89,3,0)*0.475*44/12</f>
        <v>3.6472963256394811E-17</v>
      </c>
      <c r="HJ150" s="22">
        <f t="shared" si="138"/>
        <v>0.20861569603468777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4.9658410716801891E-14</v>
      </c>
      <c r="P151" s="13">
        <f t="shared" si="141"/>
        <v>8.0934058173791862E-13</v>
      </c>
      <c r="Q151" s="20">
        <f t="shared" si="108"/>
        <v>1.4960899118586383E-12</v>
      </c>
      <c r="R151" s="59">
        <f t="shared" si="109"/>
        <v>293.33333333333479</v>
      </c>
      <c r="S151" s="59">
        <f ca="1">AVERAGE(OFFSET($R$3,0,0,'Données projet'!$E$9+1,1))-AVERAGE(OFFSET($H$3,0,0,'Données projet'!$E$9+1,1))</f>
        <v>248.50221719467663</v>
      </c>
      <c r="T151" s="59">
        <f t="shared" si="142"/>
        <v>366.09064580347183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0.76285513257589621</v>
      </c>
      <c r="AA151" s="21">
        <f>EXP(-LN(2)/25)*AA150+(1-EXP(-LN(2)/25))/(LN(2)/25)*Calculateur!V151*Calculateur!X151*VLOOKUP('Données projet'!$B$9,Paramètres!$A$1:$I$89,3,0)*0.475*44/12</f>
        <v>0.91329832014231604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1.6761534527182123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263.22346936777603</v>
      </c>
      <c r="AO151" s="59">
        <f t="shared" si="144"/>
        <v>217.14714468707939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0.27608723123175438</v>
      </c>
      <c r="AW151" s="21">
        <f>EXP(-LN(2)/2)*AW150+(1-EXP(-LN(2)/2))/(LN(2)/2)*AQ151*AT151*VLOOKUP('Données projet'!$B$10,Paramètres!$A$1:$I$89,3,0)*0.475*44/12</f>
        <v>3.0966133209092025E-17</v>
      </c>
      <c r="AX151" s="21">
        <f t="shared" si="114"/>
        <v>0.27608723123175444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4.4337866711430253E-14</v>
      </c>
      <c r="BF151" s="13">
        <f t="shared" si="145"/>
        <v>7.3222115536967035E-13</v>
      </c>
      <c r="BG151" s="20">
        <f t="shared" si="115"/>
        <v>1.3525069634579169E-12</v>
      </c>
      <c r="BH151" s="59">
        <f t="shared" si="116"/>
        <v>293.33333333333468</v>
      </c>
      <c r="BI151" s="59">
        <f ca="1">AVERAGE(OFFSET($BH$3,0,0,'Données projet'!$E$11+1,1))-AVERAGE(OFFSET($H$3,0,0,'Données projet'!$E$11+1,1))</f>
        <v>219.22204054948094</v>
      </c>
      <c r="BJ151" s="59">
        <f t="shared" si="146"/>
        <v>222.41711966122034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0.11897520150146586</v>
      </c>
      <c r="BR151" s="21">
        <f>EXP(-LN(2)/2)*BR150+(1-EXP(-LN(2)/2))/(LN(2)/2)*BL151*BO151*VLOOKUP('Données projet'!$B$11,Paramètres!$A$1:$I$89,3,0)*0.475*44/12</f>
        <v>5.6727321387724627E-18</v>
      </c>
      <c r="BS151" s="22">
        <f t="shared" si="117"/>
        <v>0.11897520150146586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-3.979039320256561E-13</v>
      </c>
      <c r="BZ151" s="13">
        <f>BY151*VLOOKUP('Données projet'!$B$12,Paramètres!$A$1:$I$89,3,0)*VLOOKUP('Données projet'!$B$12,Paramètres!$A$1:$I$89,5,0)</f>
        <v>-3.41401573678013E-13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237.27357081252273</v>
      </c>
      <c r="CE151" s="59">
        <f t="shared" si="148"/>
        <v>68.768479693848576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-3.4106051316484809E-13</v>
      </c>
      <c r="CU151" s="17">
        <f>CT151*VLOOKUP('Données projet'!$B$13,Paramètres!$A$1:$I$89,3,0)*VLOOKUP('Données projet'!$B$13,Paramètres!$A$1:$I$89,5,0)</f>
        <v>-1.9065282685915009E-13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474.03051418249999</v>
      </c>
      <c r="CZ151" s="59">
        <f t="shared" si="150"/>
        <v>649.52271992719091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0.52808827362754007</v>
      </c>
      <c r="DG151" s="21">
        <f>EXP(-LN(2)/25)*DG150+(1-EXP(-LN(2)/25))/(LN(2)/25)*Calculateur!DB151*Calculateur!DD151*VLOOKUP('Données projet'!$B$13,Paramètres!$A$1:$I$89,3,0)*0.475*44/12</f>
        <v>0.9179719737304145</v>
      </c>
      <c r="DH151" s="21">
        <f>EXP(-LN(2)/2)*DH150+(1-EXP(-LN(2)/2))/(LN(2)/2)*DB151*DE151*VLOOKUP('Données projet'!$B$13,Paramètres!$A$1:$I$89,3,0)*0.475*44/12</f>
        <v>2.0295688830393987E-17</v>
      </c>
      <c r="DI151" s="22">
        <f t="shared" si="123"/>
        <v>1.4460602473579547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-5.6843418860808015E-14</v>
      </c>
      <c r="DP151" s="17">
        <f>DO151*VLOOKUP('Données projet'!$B$14,Paramètres!$A$1:$I$89,3,0)*VLOOKUP('Données projet'!$B$14,Paramètres!$A$1:$I$89,5,0)</f>
        <v>-3.1036506698001178E-14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164.0740581424559</v>
      </c>
      <c r="DU151" s="59">
        <f t="shared" si="152"/>
        <v>280.99861170359793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0.63828510406832484</v>
      </c>
      <c r="EB151" s="21">
        <f>EXP(-LN(2)/25)*EB150+(1-EXP(-LN(2)/25))/(LN(2)/25)*Calculateur!DW151*Calculateur!DY151*VLOOKUP('Données projet'!$B$14,Paramètres!$A$1:$I$89,3,0)*0.475*44/12</f>
        <v>0.98261265073348125</v>
      </c>
      <c r="EC151" s="21">
        <f>EXP(-LN(2)/2)*EC150+(1-EXP(-LN(2)/2))/(LN(2)/2)*DW151*DZ151*VLOOKUP('Données projet'!$B$14,Paramètres!$A$1:$I$89,3,0)*0.475*44/12</f>
        <v>2.6330870222197383E-17</v>
      </c>
      <c r="ED151" s="22">
        <f t="shared" si="126"/>
        <v>1.6208977548018062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1.1368683772161603E-13</v>
      </c>
      <c r="EK151" s="17">
        <f>EJ151*VLOOKUP('Données projet'!$B$15,Paramètres!$A$1:$I$89,3,0)*VLOOKUP('Données projet'!$B$15,Paramètres!$A$1:$I$89,5,0)</f>
        <v>5.4683368944097308E-14</v>
      </c>
      <c r="EL151" s="13">
        <f t="shared" si="153"/>
        <v>8.8129432816788268E-13</v>
      </c>
      <c r="EM151" s="20">
        <f t="shared" si="127"/>
        <v>1.6301611558033651E-12</v>
      </c>
      <c r="EN151" s="59">
        <f t="shared" si="128"/>
        <v>293.33333333333496</v>
      </c>
      <c r="EO151" s="59">
        <f ca="1">AVERAGE(OFFSET($EN$3,0,0,'Données projet'!$E$15+1,1))-AVERAGE(OFFSET($H$3,0,0,'Données projet'!$E$15+1,1))</f>
        <v>312.1172301514103</v>
      </c>
      <c r="EP151" s="59">
        <f t="shared" si="154"/>
        <v>369.85500533493212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0.26111133140660542</v>
      </c>
      <c r="EW151" s="21">
        <f>EXP(-LN(2)/25)*EW150+(1-EXP(-LN(2)/25))/(LN(2)/25)*Calculateur!ER151*Calculateur!ET151*VLOOKUP('Données projet'!$B$15,Paramètres!$A$1:$I$89,3,0)*0.475*44/12</f>
        <v>0.5706536169219063</v>
      </c>
      <c r="EX151" s="21">
        <f>EXP(-LN(2)/2)*EX150+(1-EXP(-LN(2)/2))/(LN(2)/2)*ER151*EU151*VLOOKUP('Données projet'!$B$15,Paramètres!$A$1:$I$89,3,0)*0.475*44/12</f>
        <v>5.4950096013934963E-17</v>
      </c>
      <c r="EY151" s="22">
        <f t="shared" si="129"/>
        <v>0.83176494832851167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-7.9808160080574461E-14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87.187251664304199</v>
      </c>
      <c r="FK151" s="59">
        <f t="shared" si="156"/>
        <v>148.84938257884147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0.30596434516656662</v>
      </c>
      <c r="FS151" s="21">
        <f>EXP(-LN(2)/2)*FS150+(1-EXP(-LN(2)/2))/(LN(2)/2)*FM151*FP151*VLOOKUP('Données projet'!$B$16,Paramètres!$A$1:$I$89,3,0)*0.475*44/12</f>
        <v>1.0553927968993264E-17</v>
      </c>
      <c r="FT151" s="22">
        <f t="shared" si="132"/>
        <v>0.30596434516656662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-1.1368683772161603E-13</v>
      </c>
      <c r="GA151" s="17">
        <f>FZ151*VLOOKUP('Données projet'!$B$17,Paramètres!$A$1:$I$89,3,0)*VLOOKUP('Données projet'!$B$17,Paramètres!$A$1:$I$89,5,0)</f>
        <v>-6.7984728957526396E-14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282.94722676586207</v>
      </c>
      <c r="GF151" s="59">
        <f t="shared" si="158"/>
        <v>310.63647941571298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0.40666101322678339</v>
      </c>
      <c r="GN151" s="21">
        <f>EXP(-LN(2)/2)*GN150+(1-EXP(-LN(2)/2))/(LN(2)/2)*GH151*GK151*VLOOKUP('Données projet'!$B$17,Paramètres!$A$1:$I$89,3,0)*0.475*44/12</f>
        <v>4.4475244663134006E-17</v>
      </c>
      <c r="GO151" s="21">
        <f t="shared" si="135"/>
        <v>0.40666101322678344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-1.1368683772161603E-13</v>
      </c>
      <c r="GV151" s="17">
        <f>GU151*VLOOKUP('Données projet'!$B$18,Paramètres!$A$1:$I$89,3,0)*VLOOKUP('Données projet'!$B$18,Paramètres!$A$1:$I$89,5,0)</f>
        <v>-6.7984728957526396E-14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255.54398581450459</v>
      </c>
      <c r="HA151" s="59">
        <f t="shared" si="160"/>
        <v>276.52622328061204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</v>
      </c>
      <c r="HH151" s="21">
        <f>EXP(-LN(2)/25)*HH150+(1-EXP(-LN(2)/25))/(LN(2)/25)*Calculateur!HC151*Calculateur!HE151*VLOOKUP('Données projet'!$B$18,Paramètres!$A$1:$I$89,3,0)*0.475*44/12</f>
        <v>0.20291108885599654</v>
      </c>
      <c r="HI151" s="21">
        <f>EXP(-LN(2)/2)*HI150+(1-EXP(-LN(2)/2))/(LN(2)/2)*HC151*HF151*VLOOKUP('Données projet'!$B$18,Paramètres!$A$1:$I$89,3,0)*0.475*44/12</f>
        <v>2.5790279648564554E-17</v>
      </c>
      <c r="HJ151" s="22">
        <f t="shared" si="138"/>
        <v>0.20291108885599657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4.9658410716801891E-14</v>
      </c>
      <c r="P152" s="13">
        <f t="shared" si="141"/>
        <v>8.0934058173791862E-13</v>
      </c>
      <c r="Q152" s="20">
        <f t="shared" si="108"/>
        <v>1.4960899118586383E-12</v>
      </c>
      <c r="R152" s="59">
        <f t="shared" si="109"/>
        <v>293.33333333333479</v>
      </c>
      <c r="S152" s="59">
        <f ca="1">AVERAGE(OFFSET($R$3,0,0,'Données projet'!$E$9+1,1))-AVERAGE(OFFSET($H$3,0,0,'Données projet'!$E$9+1,1))</f>
        <v>248.50221719467663</v>
      </c>
      <c r="T152" s="59">
        <f t="shared" si="142"/>
        <v>366.09064580347183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0.74789600872176965</v>
      </c>
      <c r="AA152" s="21">
        <f>EXP(-LN(2)/25)*AA151+(1-EXP(-LN(2)/25))/(LN(2)/25)*Calculateur!V152*Calculateur!X152*VLOOKUP('Données projet'!$B$9,Paramètres!$A$1:$I$89,3,0)*0.475*44/12</f>
        <v>0.88832412954975315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1.6362201382715229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263.22346936777603</v>
      </c>
      <c r="AO152" s="59">
        <f t="shared" si="144"/>
        <v>217.14714468707939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0.2685376113749256</v>
      </c>
      <c r="AW152" s="21">
        <f>EXP(-LN(2)/2)*AW151+(1-EXP(-LN(2)/2))/(LN(2)/2)*AQ152*AT152*VLOOKUP('Données projet'!$B$10,Paramètres!$A$1:$I$89,3,0)*0.475*44/12</f>
        <v>2.1896362779274917E-17</v>
      </c>
      <c r="AX152" s="21">
        <f t="shared" si="114"/>
        <v>0.2685376113749256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4.4337866711430253E-14</v>
      </c>
      <c r="BF152" s="13">
        <f t="shared" si="145"/>
        <v>7.3222115536967035E-13</v>
      </c>
      <c r="BG152" s="20">
        <f t="shared" si="115"/>
        <v>1.3525069634579169E-12</v>
      </c>
      <c r="BH152" s="59">
        <f t="shared" si="116"/>
        <v>293.33333333333468</v>
      </c>
      <c r="BI152" s="59">
        <f ca="1">AVERAGE(OFFSET($BH$3,0,0,'Données projet'!$E$11+1,1))-AVERAGE(OFFSET($H$3,0,0,'Données projet'!$E$11+1,1))</f>
        <v>219.22204054948094</v>
      </c>
      <c r="BJ152" s="59">
        <f t="shared" si="146"/>
        <v>222.41711966122034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0.11572181835977435</v>
      </c>
      <c r="BR152" s="21">
        <f>EXP(-LN(2)/2)*BR151+(1-EXP(-LN(2)/2))/(LN(2)/2)*BL152*BO152*VLOOKUP('Données projet'!$B$11,Paramètres!$A$1:$I$89,3,0)*0.475*44/12</f>
        <v>4.0112273631808755E-18</v>
      </c>
      <c r="BS152" s="22">
        <f t="shared" si="117"/>
        <v>0.11572181835977435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-3.979039320256561E-13</v>
      </c>
      <c r="BZ152" s="13">
        <f>BY152*VLOOKUP('Données projet'!$B$12,Paramètres!$A$1:$I$89,3,0)*VLOOKUP('Données projet'!$B$12,Paramètres!$A$1:$I$89,5,0)</f>
        <v>-3.41401573678013E-13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237.27357081252273</v>
      </c>
      <c r="CE152" s="59">
        <f t="shared" si="148"/>
        <v>68.768479693848576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-3.4106051316484809E-13</v>
      </c>
      <c r="CU152" s="17">
        <f>CT152*VLOOKUP('Données projet'!$B$13,Paramètres!$A$1:$I$89,3,0)*VLOOKUP('Données projet'!$B$13,Paramètres!$A$1:$I$89,5,0)</f>
        <v>-1.9065282685915009E-13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474.03051418249999</v>
      </c>
      <c r="CZ152" s="59">
        <f t="shared" si="150"/>
        <v>649.52271992719091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0.51773278468374595</v>
      </c>
      <c r="DG152" s="21">
        <f>EXP(-LN(2)/25)*DG151+(1-EXP(-LN(2)/25))/(LN(2)/25)*Calculateur!DB152*Calculateur!DD152*VLOOKUP('Données projet'!$B$13,Paramètres!$A$1:$I$89,3,0)*0.475*44/12</f>
        <v>0.89286998183470823</v>
      </c>
      <c r="DH152" s="21">
        <f>EXP(-LN(2)/2)*DH151+(1-EXP(-LN(2)/2))/(LN(2)/2)*DB152*DE152*VLOOKUP('Données projet'!$B$13,Paramètres!$A$1:$I$89,3,0)*0.475*44/12</f>
        <v>1.4351219200823657E-17</v>
      </c>
      <c r="DI152" s="22">
        <f t="shared" si="123"/>
        <v>1.4106027665184542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-5.6843418860808015E-14</v>
      </c>
      <c r="DP152" s="17">
        <f>DO152*VLOOKUP('Données projet'!$B$14,Paramètres!$A$1:$I$89,3,0)*VLOOKUP('Données projet'!$B$14,Paramètres!$A$1:$I$89,5,0)</f>
        <v>-3.1036506698001178E-14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164.0740581424559</v>
      </c>
      <c r="DU152" s="59">
        <f t="shared" si="152"/>
        <v>280.99861170359793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0.62576872249301674</v>
      </c>
      <c r="EB152" s="21">
        <f>EXP(-LN(2)/25)*EB151+(1-EXP(-LN(2)/25))/(LN(2)/25)*Calculateur!DW152*Calculateur!DY152*VLOOKUP('Données projet'!$B$14,Paramètres!$A$1:$I$89,3,0)*0.475*44/12</f>
        <v>0.95574305612582067</v>
      </c>
      <c r="EC152" s="21">
        <f>EXP(-LN(2)/2)*EC151+(1-EXP(-LN(2)/2))/(LN(2)/2)*DW152*DZ152*VLOOKUP('Données projet'!$B$14,Paramètres!$A$1:$I$89,3,0)*0.475*44/12</f>
        <v>1.8618736888658705E-17</v>
      </c>
      <c r="ED152" s="22">
        <f t="shared" si="126"/>
        <v>1.5815117786188373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1.1368683772161603E-13</v>
      </c>
      <c r="EK152" s="17">
        <f>EJ152*VLOOKUP('Données projet'!$B$15,Paramètres!$A$1:$I$89,3,0)*VLOOKUP('Données projet'!$B$15,Paramètres!$A$1:$I$89,5,0)</f>
        <v>5.4683368944097308E-14</v>
      </c>
      <c r="EL152" s="13">
        <f t="shared" si="153"/>
        <v>8.8129432816788268E-13</v>
      </c>
      <c r="EM152" s="20">
        <f t="shared" si="127"/>
        <v>1.6301611558033651E-12</v>
      </c>
      <c r="EN152" s="59">
        <f t="shared" si="128"/>
        <v>293.33333333333496</v>
      </c>
      <c r="EO152" s="59">
        <f ca="1">AVERAGE(OFFSET($EN$3,0,0,'Données projet'!$E$15+1,1))-AVERAGE(OFFSET($H$3,0,0,'Données projet'!$E$15+1,1))</f>
        <v>312.1172301514103</v>
      </c>
      <c r="EP152" s="59">
        <f t="shared" si="154"/>
        <v>369.85500533493212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0.25599109745990822</v>
      </c>
      <c r="EW152" s="21">
        <f>EXP(-LN(2)/25)*EW151+(1-EXP(-LN(2)/25))/(LN(2)/25)*Calculateur!ER152*Calculateur!ET152*VLOOKUP('Données projet'!$B$15,Paramètres!$A$1:$I$89,3,0)*0.475*44/12</f>
        <v>0.55504906375780727</v>
      </c>
      <c r="EX152" s="21">
        <f>EXP(-LN(2)/2)*EX151+(1-EXP(-LN(2)/2))/(LN(2)/2)*ER152*EU152*VLOOKUP('Données projet'!$B$15,Paramètres!$A$1:$I$89,3,0)*0.475*44/12</f>
        <v>3.8855585518305291E-17</v>
      </c>
      <c r="EY152" s="22">
        <f t="shared" si="129"/>
        <v>0.81104016121771549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-7.9808160080574461E-14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87.187251664304199</v>
      </c>
      <c r="FK152" s="59">
        <f t="shared" si="156"/>
        <v>148.84938257884147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0.29759773405802126</v>
      </c>
      <c r="FS152" s="21">
        <f>EXP(-LN(2)/2)*FS151+(1-EXP(-LN(2)/2))/(LN(2)/2)*FM152*FP152*VLOOKUP('Données projet'!$B$16,Paramètres!$A$1:$I$89,3,0)*0.475*44/12</f>
        <v>7.4627540350295035E-18</v>
      </c>
      <c r="FT152" s="22">
        <f t="shared" si="132"/>
        <v>0.29759773405802126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-1.1368683772161603E-13</v>
      </c>
      <c r="GA152" s="17">
        <f>FZ152*VLOOKUP('Données projet'!$B$17,Paramètres!$A$1:$I$89,3,0)*VLOOKUP('Données projet'!$B$17,Paramètres!$A$1:$I$89,5,0)</f>
        <v>-6.7984728957526396E-14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282.94722676586207</v>
      </c>
      <c r="GF152" s="59">
        <f t="shared" si="158"/>
        <v>310.63647941571298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0.39554084643472376</v>
      </c>
      <c r="GN152" s="21">
        <f>EXP(-LN(2)/2)*GN151+(1-EXP(-LN(2)/2))/(LN(2)/2)*GH152*GK152*VLOOKUP('Données projet'!$B$17,Paramètres!$A$1:$I$89,3,0)*0.475*44/12</f>
        <v>3.1448747096232863E-17</v>
      </c>
      <c r="GO152" s="21">
        <f t="shared" si="135"/>
        <v>0.39554084643472381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-1.1368683772161603E-13</v>
      </c>
      <c r="GV152" s="17">
        <f>GU152*VLOOKUP('Données projet'!$B$18,Paramètres!$A$1:$I$89,3,0)*VLOOKUP('Données projet'!$B$18,Paramètres!$A$1:$I$89,5,0)</f>
        <v>-6.7984728957526396E-14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255.54398581450459</v>
      </c>
      <c r="HA152" s="59">
        <f t="shared" si="160"/>
        <v>276.52622328061204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</v>
      </c>
      <c r="HH152" s="21">
        <f>EXP(-LN(2)/25)*HH151+(1-EXP(-LN(2)/25))/(LN(2)/25)*Calculateur!HC152*Calculateur!HE152*VLOOKUP('Données projet'!$B$18,Paramètres!$A$1:$I$89,3,0)*0.475*44/12</f>
        <v>0.1973624744605989</v>
      </c>
      <c r="HI152" s="21">
        <f>EXP(-LN(2)/2)*HI151+(1-EXP(-LN(2)/2))/(LN(2)/2)*HC152*HF152*VLOOKUP('Données projet'!$B$18,Paramètres!$A$1:$I$89,3,0)*0.475*44/12</f>
        <v>1.8236481628197406E-17</v>
      </c>
      <c r="HJ152" s="22">
        <f t="shared" si="138"/>
        <v>0.19736247446059893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4.9658410716801891E-14</v>
      </c>
      <c r="P153" s="13">
        <f t="shared" si="141"/>
        <v>8.0934058173791862E-13</v>
      </c>
      <c r="Q153" s="20">
        <f t="shared" si="108"/>
        <v>1.4960899118586383E-12</v>
      </c>
      <c r="R153" s="59">
        <f t="shared" si="109"/>
        <v>293.33333333333479</v>
      </c>
      <c r="S153" s="59">
        <f ca="1">AVERAGE(OFFSET($R$3,0,0,'Données projet'!$E$9+1,1))-AVERAGE(OFFSET($H$3,0,0,'Données projet'!$E$9+1,1))</f>
        <v>248.50221719467663</v>
      </c>
      <c r="T153" s="59">
        <f t="shared" si="142"/>
        <v>366.09064580347183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0.73323022416225792</v>
      </c>
      <c r="AA153" s="21">
        <f>EXP(-LN(2)/25)*AA152+(1-EXP(-LN(2)/25))/(LN(2)/25)*Calculateur!V153*Calculateur!X153*VLOOKUP('Données projet'!$B$9,Paramètres!$A$1:$I$89,3,0)*0.475*44/12</f>
        <v>0.86403285951227948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1.5972630836745374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263.22346936777603</v>
      </c>
      <c r="AO153" s="59">
        <f t="shared" si="144"/>
        <v>217.14714468707939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0.26119443627009903</v>
      </c>
      <c r="AW153" s="21">
        <f>EXP(-LN(2)/2)*AW152+(1-EXP(-LN(2)/2))/(LN(2)/2)*AQ153*AT153*VLOOKUP('Données projet'!$B$10,Paramètres!$A$1:$I$89,3,0)*0.475*44/12</f>
        <v>1.5483066604546012E-17</v>
      </c>
      <c r="AX153" s="21">
        <f t="shared" si="114"/>
        <v>0.26119443627009903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4.4337866711430253E-14</v>
      </c>
      <c r="BF153" s="13">
        <f t="shared" si="145"/>
        <v>7.3222115536967035E-13</v>
      </c>
      <c r="BG153" s="20">
        <f t="shared" si="115"/>
        <v>1.3525069634579169E-12</v>
      </c>
      <c r="BH153" s="59">
        <f t="shared" si="116"/>
        <v>293.33333333333468</v>
      </c>
      <c r="BI153" s="59">
        <f ca="1">AVERAGE(OFFSET($BH$3,0,0,'Données projet'!$E$11+1,1))-AVERAGE(OFFSET($H$3,0,0,'Données projet'!$E$11+1,1))</f>
        <v>219.22204054948094</v>
      </c>
      <c r="BJ153" s="59">
        <f t="shared" si="146"/>
        <v>222.41711966122034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0.11255739915118038</v>
      </c>
      <c r="BR153" s="21">
        <f>EXP(-LN(2)/2)*BR152+(1-EXP(-LN(2)/2))/(LN(2)/2)*BL153*BO153*VLOOKUP('Données projet'!$B$11,Paramètres!$A$1:$I$89,3,0)*0.475*44/12</f>
        <v>2.8363660693862314E-18</v>
      </c>
      <c r="BS153" s="22">
        <f t="shared" si="117"/>
        <v>0.11255739915118038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-3.979039320256561E-13</v>
      </c>
      <c r="BZ153" s="13">
        <f>BY153*VLOOKUP('Données projet'!$B$12,Paramètres!$A$1:$I$89,3,0)*VLOOKUP('Données projet'!$B$12,Paramètres!$A$1:$I$89,5,0)</f>
        <v>-3.41401573678013E-13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237.27357081252273</v>
      </c>
      <c r="CE153" s="59">
        <f t="shared" si="148"/>
        <v>68.768479693848576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-3.4106051316484809E-13</v>
      </c>
      <c r="CU153" s="17">
        <f>CT153*VLOOKUP('Données projet'!$B$13,Paramètres!$A$1:$I$89,3,0)*VLOOKUP('Données projet'!$B$13,Paramètres!$A$1:$I$89,5,0)</f>
        <v>-1.9065282685915009E-13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474.03051418249999</v>
      </c>
      <c r="CZ153" s="59">
        <f t="shared" si="150"/>
        <v>649.52271992719091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0.50758036056191513</v>
      </c>
      <c r="DG153" s="21">
        <f>EXP(-LN(2)/25)*DG152+(1-EXP(-LN(2)/25))/(LN(2)/25)*Calculateur!DB153*Calculateur!DD153*VLOOKUP('Données projet'!$B$13,Paramètres!$A$1:$I$89,3,0)*0.475*44/12</f>
        <v>0.86845440522744644</v>
      </c>
      <c r="DH153" s="21">
        <f>EXP(-LN(2)/2)*DH152+(1-EXP(-LN(2)/2))/(LN(2)/2)*DB153*DE153*VLOOKUP('Données projet'!$B$13,Paramètres!$A$1:$I$89,3,0)*0.475*44/12</f>
        <v>1.0147844415196993E-17</v>
      </c>
      <c r="DI153" s="22">
        <f t="shared" si="123"/>
        <v>1.3760347657893615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-5.6843418860808015E-14</v>
      </c>
      <c r="DP153" s="17">
        <f>DO153*VLOOKUP('Données projet'!$B$14,Paramètres!$A$1:$I$89,3,0)*VLOOKUP('Données projet'!$B$14,Paramètres!$A$1:$I$89,5,0)</f>
        <v>-3.1036506698001178E-14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164.0740581424559</v>
      </c>
      <c r="DU153" s="59">
        <f t="shared" si="152"/>
        <v>280.99861170359793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0.61349777952616147</v>
      </c>
      <c r="EB153" s="21">
        <f>EXP(-LN(2)/25)*EB152+(1-EXP(-LN(2)/25))/(LN(2)/25)*Calculateur!DW153*Calculateur!DY153*VLOOKUP('Données projet'!$B$14,Paramètres!$A$1:$I$89,3,0)*0.475*44/12</f>
        <v>0.92960821199571719</v>
      </c>
      <c r="EC153" s="21">
        <f>EXP(-LN(2)/2)*EC152+(1-EXP(-LN(2)/2))/(LN(2)/2)*DW153*DZ153*VLOOKUP('Données projet'!$B$14,Paramètres!$A$1:$I$89,3,0)*0.475*44/12</f>
        <v>1.3165435111098692E-17</v>
      </c>
      <c r="ED153" s="22">
        <f t="shared" si="126"/>
        <v>1.5431059915218786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1.1368683772161603E-13</v>
      </c>
      <c r="EK153" s="17">
        <f>EJ153*VLOOKUP('Données projet'!$B$15,Paramètres!$A$1:$I$89,3,0)*VLOOKUP('Données projet'!$B$15,Paramètres!$A$1:$I$89,5,0)</f>
        <v>5.4683368944097308E-14</v>
      </c>
      <c r="EL153" s="13">
        <f t="shared" si="153"/>
        <v>8.8129432816788268E-13</v>
      </c>
      <c r="EM153" s="20">
        <f t="shared" si="127"/>
        <v>1.6301611558033651E-12</v>
      </c>
      <c r="EN153" s="59">
        <f t="shared" si="128"/>
        <v>293.33333333333496</v>
      </c>
      <c r="EO153" s="59">
        <f ca="1">AVERAGE(OFFSET($EN$3,0,0,'Données projet'!$E$15+1,1))-AVERAGE(OFFSET($H$3,0,0,'Données projet'!$E$15+1,1))</f>
        <v>312.1172301514103</v>
      </c>
      <c r="EP153" s="59">
        <f t="shared" si="154"/>
        <v>369.85500533493212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0.25097126817787141</v>
      </c>
      <c r="EW153" s="21">
        <f>EXP(-LN(2)/25)*EW152+(1-EXP(-LN(2)/25))/(LN(2)/25)*Calculateur!ER153*Calculateur!ET153*VLOOKUP('Données projet'!$B$15,Paramètres!$A$1:$I$89,3,0)*0.475*44/12</f>
        <v>0.53987121792058834</v>
      </c>
      <c r="EX153" s="21">
        <f>EXP(-LN(2)/2)*EX152+(1-EXP(-LN(2)/2))/(LN(2)/2)*ER153*EU153*VLOOKUP('Données projet'!$B$15,Paramètres!$A$1:$I$89,3,0)*0.475*44/12</f>
        <v>2.7475048006967485E-17</v>
      </c>
      <c r="EY153" s="22">
        <f t="shared" si="129"/>
        <v>0.79084248609845975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-7.9808160080574461E-14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87.187251664304199</v>
      </c>
      <c r="FK153" s="59">
        <f t="shared" si="156"/>
        <v>148.84938257884147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0.28945990837022001</v>
      </c>
      <c r="FS153" s="21">
        <f>EXP(-LN(2)/2)*FS152+(1-EXP(-LN(2)/2))/(LN(2)/2)*FM153*FP153*VLOOKUP('Données projet'!$B$16,Paramètres!$A$1:$I$89,3,0)*0.475*44/12</f>
        <v>5.2769639844966318E-18</v>
      </c>
      <c r="FT153" s="22">
        <f t="shared" si="132"/>
        <v>0.28945990837022001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-1.1368683772161603E-13</v>
      </c>
      <c r="GA153" s="17">
        <f>FZ153*VLOOKUP('Données projet'!$B$17,Paramètres!$A$1:$I$89,3,0)*VLOOKUP('Données projet'!$B$17,Paramètres!$A$1:$I$89,5,0)</f>
        <v>-6.7984728957526396E-14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282.94722676586207</v>
      </c>
      <c r="GF153" s="59">
        <f t="shared" si="158"/>
        <v>310.63647941571298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0.38472476118837712</v>
      </c>
      <c r="GN153" s="21">
        <f>EXP(-LN(2)/2)*GN152+(1-EXP(-LN(2)/2))/(LN(2)/2)*GH153*GK153*VLOOKUP('Données projet'!$B$17,Paramètres!$A$1:$I$89,3,0)*0.475*44/12</f>
        <v>2.2237622331567003E-17</v>
      </c>
      <c r="GO153" s="21">
        <f t="shared" si="135"/>
        <v>0.38472476118837712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-1.1368683772161603E-13</v>
      </c>
      <c r="GV153" s="17">
        <f>GU153*VLOOKUP('Données projet'!$B$18,Paramètres!$A$1:$I$89,3,0)*VLOOKUP('Données projet'!$B$18,Paramètres!$A$1:$I$89,5,0)</f>
        <v>-6.7984728957526396E-14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255.54398581450459</v>
      </c>
      <c r="HA153" s="59">
        <f t="shared" si="160"/>
        <v>276.52622328061204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</v>
      </c>
      <c r="HH153" s="21">
        <f>EXP(-LN(2)/25)*HH152+(1-EXP(-LN(2)/25))/(LN(2)/25)*Calculateur!HC153*Calculateur!HE153*VLOOKUP('Données projet'!$B$18,Paramètres!$A$1:$I$89,3,0)*0.475*44/12</f>
        <v>0.19196558721763238</v>
      </c>
      <c r="HI153" s="21">
        <f>EXP(-LN(2)/2)*HI152+(1-EXP(-LN(2)/2))/(LN(2)/2)*HC153*HF153*VLOOKUP('Données projet'!$B$18,Paramètres!$A$1:$I$89,3,0)*0.475*44/12</f>
        <v>1.2895139824282277E-17</v>
      </c>
      <c r="HJ153" s="22">
        <f t="shared" si="138"/>
        <v>0.19196558721763238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4.9658410716801891E-14</v>
      </c>
      <c r="P154" s="13">
        <f t="shared" si="141"/>
        <v>8.0934058173791862E-13</v>
      </c>
      <c r="Q154" s="20">
        <f t="shared" ref="Q154:Q203" si="162">(O154+P154)*0.475*44/12</f>
        <v>1.4960899118586383E-12</v>
      </c>
      <c r="R154" s="59">
        <f t="shared" si="109"/>
        <v>293.33333333333479</v>
      </c>
      <c r="S154" s="59">
        <f ca="1">AVERAGE(OFFSET($R$3,0,0,'Données projet'!$E$9+1,1))-AVERAGE(OFFSET($H$3,0,0,'Données projet'!$E$9+1,1))</f>
        <v>248.50221719467663</v>
      </c>
      <c r="T154" s="59">
        <f t="shared" si="142"/>
        <v>366.09064580347183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0.71885202669271286</v>
      </c>
      <c r="AA154" s="21">
        <f>EXP(-LN(2)/25)*AA153+(1-EXP(-LN(2)/25))/(LN(2)/25)*Calculateur!V154*Calculateur!X154*VLOOKUP('Données projet'!$B$9,Paramètres!$A$1:$I$89,3,0)*0.475*44/12</f>
        <v>0.84040583553140291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1.5592578622241158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263.22346936777603</v>
      </c>
      <c r="AO154" s="59">
        <f t="shared" si="144"/>
        <v>217.14714468707939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0.25405206067467473</v>
      </c>
      <c r="AW154" s="21">
        <f>EXP(-LN(2)/2)*AW153+(1-EXP(-LN(2)/2))/(LN(2)/2)*AQ154*AT154*VLOOKUP('Données projet'!$B$10,Paramètres!$A$1:$I$89,3,0)*0.475*44/12</f>
        <v>1.0948181389637459E-17</v>
      </c>
      <c r="AX154" s="21">
        <f t="shared" ref="AX154:AX203" si="166">SUM(AU154:AW154)</f>
        <v>0.25405206067467473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4.4337866711430253E-14</v>
      </c>
      <c r="BF154" s="13">
        <f t="shared" ref="BF154:BF203" si="167">EXP(-1.0587+0.8836*LN(BE154)+0.284)</f>
        <v>7.3222115536967035E-13</v>
      </c>
      <c r="BG154" s="20">
        <f t="shared" ref="BG154:BG203" si="168">(BE154+BF154)*0.475*44/12</f>
        <v>1.3525069634579169E-12</v>
      </c>
      <c r="BH154" s="59">
        <f t="shared" si="116"/>
        <v>293.33333333333468</v>
      </c>
      <c r="BI154" s="59">
        <f ca="1">AVERAGE(OFFSET($BH$3,0,0,'Données projet'!$E$11+1,1))-AVERAGE(OFFSET($H$3,0,0,'Données projet'!$E$11+1,1))</f>
        <v>219.22204054948094</v>
      </c>
      <c r="BJ154" s="59">
        <f t="shared" si="146"/>
        <v>222.41711966122034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0.10947951115225497</v>
      </c>
      <c r="BR154" s="21">
        <f>EXP(-LN(2)/2)*BR153+(1-EXP(-LN(2)/2))/(LN(2)/2)*BL154*BO154*VLOOKUP('Données projet'!$B$11,Paramètres!$A$1:$I$89,3,0)*0.475*44/12</f>
        <v>2.0056136815904378E-18</v>
      </c>
      <c r="BS154" s="22">
        <f t="shared" ref="BS154:BS203" si="169">SUM(BP154:BR154)</f>
        <v>0.10947951115225497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-3.979039320256561E-13</v>
      </c>
      <c r="BZ154" s="13">
        <f>BY154*VLOOKUP('Données projet'!$B$12,Paramètres!$A$1:$I$89,3,0)*VLOOKUP('Données projet'!$B$12,Paramètres!$A$1:$I$89,5,0)</f>
        <v>-3.41401573678013E-13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237.27357081252273</v>
      </c>
      <c r="CE154" s="59">
        <f t="shared" si="148"/>
        <v>68.768479693848576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-3.4106051316484809E-13</v>
      </c>
      <c r="CU154" s="17">
        <f>CT154*VLOOKUP('Données projet'!$B$13,Paramètres!$A$1:$I$89,3,0)*VLOOKUP('Données projet'!$B$13,Paramètres!$A$1:$I$89,5,0)</f>
        <v>-1.9065282685915009E-13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474.03051418249999</v>
      </c>
      <c r="CZ154" s="59">
        <f t="shared" si="150"/>
        <v>649.52271992719091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0.49762701928474612</v>
      </c>
      <c r="DG154" s="21">
        <f>EXP(-LN(2)/25)*DG153+(1-EXP(-LN(2)/25))/(LN(2)/25)*Calculateur!DB154*Calculateur!DD154*VLOOKUP('Données projet'!$B$13,Paramètres!$A$1:$I$89,3,0)*0.475*44/12</f>
        <v>0.84470647384646957</v>
      </c>
      <c r="DH154" s="21">
        <f>EXP(-LN(2)/2)*DH153+(1-EXP(-LN(2)/2))/(LN(2)/2)*DB154*DE154*VLOOKUP('Données projet'!$B$13,Paramètres!$A$1:$I$89,3,0)*0.475*44/12</f>
        <v>7.1756096004118287E-18</v>
      </c>
      <c r="DI154" s="22">
        <f t="shared" ref="DI154:DI203" si="175">SUM(DF154:DH154)</f>
        <v>1.3423334931312156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-5.6843418860808015E-14</v>
      </c>
      <c r="DP154" s="17">
        <f>DO154*VLOOKUP('Données projet'!$B$14,Paramètres!$A$1:$I$89,3,0)*VLOOKUP('Données projet'!$B$14,Paramètres!$A$1:$I$89,5,0)</f>
        <v>-3.1036506698001178E-14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164.0740581424559</v>
      </c>
      <c r="DU154" s="59">
        <f t="shared" si="152"/>
        <v>280.99861170359793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0.60146746226635006</v>
      </c>
      <c r="EB154" s="21">
        <f>EXP(-LN(2)/25)*EB153+(1-EXP(-LN(2)/25))/(LN(2)/25)*Calculateur!DW154*Calculateur!DY154*VLOOKUP('Données projet'!$B$14,Paramètres!$A$1:$I$89,3,0)*0.475*44/12</f>
        <v>0.90418802655272312</v>
      </c>
      <c r="EC154" s="21">
        <f>EXP(-LN(2)/2)*EC153+(1-EXP(-LN(2)/2))/(LN(2)/2)*DW154*DZ154*VLOOKUP('Données projet'!$B$14,Paramètres!$A$1:$I$89,3,0)*0.475*44/12</f>
        <v>9.3093684443293524E-18</v>
      </c>
      <c r="ED154" s="22">
        <f t="shared" ref="ED154:ED203" si="178">SUM(EA154:EC154)</f>
        <v>1.5056554888190732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1.1368683772161603E-13</v>
      </c>
      <c r="EK154" s="17">
        <f>EJ154*VLOOKUP('Données projet'!$B$15,Paramètres!$A$1:$I$89,3,0)*VLOOKUP('Données projet'!$B$15,Paramètres!$A$1:$I$89,5,0)</f>
        <v>5.4683368944097308E-14</v>
      </c>
      <c r="EL154" s="13">
        <f t="shared" ref="EL154:EL203" si="179">EXP(-1.0587+0.8836*LN(EK154)+0.284)</f>
        <v>8.8129432816788268E-13</v>
      </c>
      <c r="EM154" s="20">
        <f t="shared" ref="EM154:EM203" si="180">(EK154+EL154)*0.475*44/12</f>
        <v>1.6301611558033651E-12</v>
      </c>
      <c r="EN154" s="59">
        <f t="shared" si="128"/>
        <v>293.33333333333496</v>
      </c>
      <c r="EO154" s="59">
        <f ca="1">AVERAGE(OFFSET($EN$3,0,0,'Données projet'!$E$15+1,1))-AVERAGE(OFFSET($H$3,0,0,'Données projet'!$E$15+1,1))</f>
        <v>312.1172301514103</v>
      </c>
      <c r="EP154" s="59">
        <f t="shared" si="154"/>
        <v>369.85500533493212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0.2460498746862618</v>
      </c>
      <c r="EW154" s="21">
        <f>EXP(-LN(2)/25)*EW153+(1-EXP(-LN(2)/25))/(LN(2)/25)*Calculateur!ER154*Calculateur!ET154*VLOOKUP('Données projet'!$B$15,Paramètres!$A$1:$I$89,3,0)*0.475*44/12</f>
        <v>0.5251084110759564</v>
      </c>
      <c r="EX154" s="21">
        <f>EXP(-LN(2)/2)*EX153+(1-EXP(-LN(2)/2))/(LN(2)/2)*ER154*EU154*VLOOKUP('Données projet'!$B$15,Paramètres!$A$1:$I$89,3,0)*0.475*44/12</f>
        <v>1.9427792759152649E-17</v>
      </c>
      <c r="EY154" s="22">
        <f t="shared" ref="EY154:EY203" si="181">SUM(EV154:EX154)</f>
        <v>0.77115828576221823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-7.9808160080574461E-14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87.187251664304199</v>
      </c>
      <c r="FK154" s="59">
        <f t="shared" si="156"/>
        <v>148.84938257884147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0.28154461195380132</v>
      </c>
      <c r="FS154" s="21">
        <f>EXP(-LN(2)/2)*FS153+(1-EXP(-LN(2)/2))/(LN(2)/2)*FM154*FP154*VLOOKUP('Données projet'!$B$16,Paramètres!$A$1:$I$89,3,0)*0.475*44/12</f>
        <v>3.7313770175147517E-18</v>
      </c>
      <c r="FT154" s="22">
        <f t="shared" ref="FT154:FT203" si="184">SUM(FQ154:FS154)</f>
        <v>0.28154461195380132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-1.1368683772161603E-13</v>
      </c>
      <c r="GA154" s="17">
        <f>FZ154*VLOOKUP('Données projet'!$B$17,Paramètres!$A$1:$I$89,3,0)*VLOOKUP('Données projet'!$B$17,Paramètres!$A$1:$I$89,5,0)</f>
        <v>-6.7984728957526396E-14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282.94722676586207</v>
      </c>
      <c r="GF154" s="59">
        <f t="shared" si="158"/>
        <v>310.63647941571298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0.37420444236188505</v>
      </c>
      <c r="GN154" s="21">
        <f>EXP(-LN(2)/2)*GN153+(1-EXP(-LN(2)/2))/(LN(2)/2)*GH154*GK154*VLOOKUP('Données projet'!$B$17,Paramètres!$A$1:$I$89,3,0)*0.475*44/12</f>
        <v>1.5724373548116431E-17</v>
      </c>
      <c r="GO154" s="21">
        <f t="shared" ref="GO154:GO203" si="187">SUM(GL154:GN154)</f>
        <v>0.37420444236188505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-1.1368683772161603E-13</v>
      </c>
      <c r="GV154" s="17">
        <f>GU154*VLOOKUP('Données projet'!$B$18,Paramètres!$A$1:$I$89,3,0)*VLOOKUP('Données projet'!$B$18,Paramètres!$A$1:$I$89,5,0)</f>
        <v>-6.7984728957526396E-14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255.54398581450459</v>
      </c>
      <c r="HA154" s="59">
        <f t="shared" si="160"/>
        <v>276.52622328061204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</v>
      </c>
      <c r="HH154" s="21">
        <f>EXP(-LN(2)/25)*HH153+(1-EXP(-LN(2)/25))/(LN(2)/25)*Calculateur!HC154*Calculateur!HE154*VLOOKUP('Données projet'!$B$18,Paramètres!$A$1:$I$89,3,0)*0.475*44/12</f>
        <v>0.18671627814013472</v>
      </c>
      <c r="HI154" s="21">
        <f>EXP(-LN(2)/2)*HI153+(1-EXP(-LN(2)/2))/(LN(2)/2)*HC154*HF154*VLOOKUP('Données projet'!$B$18,Paramètres!$A$1:$I$89,3,0)*0.475*44/12</f>
        <v>9.1182408140987028E-18</v>
      </c>
      <c r="HJ154" s="22">
        <f t="shared" ref="HJ154:HJ203" si="190">SUM(HG154:HI154)</f>
        <v>0.18671627814013472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4.9658410716801891E-14</v>
      </c>
      <c r="P155" s="13">
        <f t="shared" si="141"/>
        <v>8.0934058173791862E-13</v>
      </c>
      <c r="Q155" s="20">
        <f t="shared" si="162"/>
        <v>1.4960899118586383E-12</v>
      </c>
      <c r="R155" s="59">
        <f t="shared" si="109"/>
        <v>293.33333333333479</v>
      </c>
      <c r="S155" s="59">
        <f ca="1">AVERAGE(OFFSET($R$3,0,0,'Données projet'!$E$9+1,1))-AVERAGE(OFFSET($H$3,0,0,'Données projet'!$E$9+1,1))</f>
        <v>248.50221719467663</v>
      </c>
      <c r="T155" s="59">
        <f t="shared" si="142"/>
        <v>366.09064580347183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0.70475577690571112</v>
      </c>
      <c r="AA155" s="21">
        <f>EXP(-LN(2)/25)*AA154+(1-EXP(-LN(2)/25))/(LN(2)/25)*Calculateur!V155*Calculateur!X155*VLOOKUP('Données projet'!$B$9,Paramètres!$A$1:$I$89,3,0)*0.475*44/12</f>
        <v>0.81742489376377458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1.5221806706694858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263.22346936777603</v>
      </c>
      <c r="AO155" s="59">
        <f t="shared" si="144"/>
        <v>217.14714468707939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0.24710499371550851</v>
      </c>
      <c r="AW155" s="21">
        <f>EXP(-LN(2)/2)*AW154+(1-EXP(-LN(2)/2))/(LN(2)/2)*AQ155*AT155*VLOOKUP('Données projet'!$B$10,Paramètres!$A$1:$I$89,3,0)*0.475*44/12</f>
        <v>7.7415333022730062E-18</v>
      </c>
      <c r="AX155" s="21">
        <f t="shared" si="166"/>
        <v>0.24710499371550851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4.4337866711430253E-14</v>
      </c>
      <c r="BF155" s="13">
        <f t="shared" si="167"/>
        <v>7.3222115536967035E-13</v>
      </c>
      <c r="BG155" s="20">
        <f t="shared" si="168"/>
        <v>1.3525069634579169E-12</v>
      </c>
      <c r="BH155" s="59">
        <f t="shared" si="116"/>
        <v>293.33333333333468</v>
      </c>
      <c r="BI155" s="59">
        <f ca="1">AVERAGE(OFFSET($BH$3,0,0,'Données projet'!$E$11+1,1))-AVERAGE(OFFSET($H$3,0,0,'Données projet'!$E$11+1,1))</f>
        <v>219.22204054948094</v>
      </c>
      <c r="BJ155" s="59">
        <f t="shared" si="146"/>
        <v>222.41711966122034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0.10648578816251929</v>
      </c>
      <c r="BR155" s="21">
        <f>EXP(-LN(2)/2)*BR154+(1-EXP(-LN(2)/2))/(LN(2)/2)*BL155*BO155*VLOOKUP('Données projet'!$B$11,Paramètres!$A$1:$I$89,3,0)*0.475*44/12</f>
        <v>1.4181830346931157E-18</v>
      </c>
      <c r="BS155" s="22">
        <f t="shared" si="169"/>
        <v>0.10648578816251929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-3.979039320256561E-13</v>
      </c>
      <c r="BZ155" s="13">
        <f>BY155*VLOOKUP('Données projet'!$B$12,Paramètres!$A$1:$I$89,3,0)*VLOOKUP('Données projet'!$B$12,Paramètres!$A$1:$I$89,5,0)</f>
        <v>-3.41401573678013E-13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237.27357081252273</v>
      </c>
      <c r="CE155" s="59">
        <f t="shared" si="148"/>
        <v>68.768479693848576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-3.4106051316484809E-13</v>
      </c>
      <c r="CU155" s="17">
        <f>CT155*VLOOKUP('Données projet'!$B$13,Paramètres!$A$1:$I$89,3,0)*VLOOKUP('Données projet'!$B$13,Paramètres!$A$1:$I$89,5,0)</f>
        <v>-1.9065282685915009E-13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474.03051418249999</v>
      </c>
      <c r="CZ155" s="59">
        <f t="shared" si="150"/>
        <v>649.52271992719091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0.48786885695908366</v>
      </c>
      <c r="DG155" s="21">
        <f>EXP(-LN(2)/25)*DG154+(1-EXP(-LN(2)/25))/(LN(2)/25)*Calculateur!DB155*Calculateur!DD155*VLOOKUP('Données projet'!$B$13,Paramètres!$A$1:$I$89,3,0)*0.475*44/12</f>
        <v>0.82160793089795503</v>
      </c>
      <c r="DH155" s="21">
        <f>EXP(-LN(2)/2)*DH154+(1-EXP(-LN(2)/2))/(LN(2)/2)*DB155*DE155*VLOOKUP('Données projet'!$B$13,Paramètres!$A$1:$I$89,3,0)*0.475*44/12</f>
        <v>5.0739222075984967E-18</v>
      </c>
      <c r="DI155" s="22">
        <f t="shared" si="175"/>
        <v>1.3094767878570388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-5.6843418860808015E-14</v>
      </c>
      <c r="DP155" s="17">
        <f>DO155*VLOOKUP('Données projet'!$B$14,Paramètres!$A$1:$I$89,3,0)*VLOOKUP('Données projet'!$B$14,Paramètres!$A$1:$I$89,5,0)</f>
        <v>-3.1036506698001178E-14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164.0740581424559</v>
      </c>
      <c r="DU155" s="59">
        <f t="shared" si="152"/>
        <v>280.99861170359793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0.58967305219023458</v>
      </c>
      <c r="EB155" s="21">
        <f>EXP(-LN(2)/25)*EB154+(1-EXP(-LN(2)/25))/(LN(2)/25)*Calculateur!DW155*Calculateur!DY155*VLOOKUP('Données projet'!$B$14,Paramètres!$A$1:$I$89,3,0)*0.475*44/12</f>
        <v>0.87946295741745717</v>
      </c>
      <c r="EC155" s="21">
        <f>EXP(-LN(2)/2)*EC154+(1-EXP(-LN(2)/2))/(LN(2)/2)*DW155*DZ155*VLOOKUP('Données projet'!$B$14,Paramètres!$A$1:$I$89,3,0)*0.475*44/12</f>
        <v>6.5827175555493458E-18</v>
      </c>
      <c r="ED155" s="22">
        <f t="shared" si="178"/>
        <v>1.4691360096076918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1.1368683772161603E-13</v>
      </c>
      <c r="EK155" s="17">
        <f>EJ155*VLOOKUP('Données projet'!$B$15,Paramètres!$A$1:$I$89,3,0)*VLOOKUP('Données projet'!$B$15,Paramètres!$A$1:$I$89,5,0)</f>
        <v>5.4683368944097308E-14</v>
      </c>
      <c r="EL155" s="13">
        <f t="shared" si="179"/>
        <v>8.8129432816788268E-13</v>
      </c>
      <c r="EM155" s="20">
        <f t="shared" si="180"/>
        <v>1.6301611558033651E-12</v>
      </c>
      <c r="EN155" s="59">
        <f t="shared" si="128"/>
        <v>293.33333333333496</v>
      </c>
      <c r="EO155" s="59">
        <f ca="1">AVERAGE(OFFSET($EN$3,0,0,'Données projet'!$E$15+1,1))-AVERAGE(OFFSET($H$3,0,0,'Données projet'!$E$15+1,1))</f>
        <v>312.1172301514103</v>
      </c>
      <c r="EP155" s="59">
        <f t="shared" si="154"/>
        <v>369.85500533493212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0.24122498671926904</v>
      </c>
      <c r="EW155" s="21">
        <f>EXP(-LN(2)/25)*EW154+(1-EXP(-LN(2)/25))/(LN(2)/25)*Calculateur!ER155*Calculateur!ET155*VLOOKUP('Données projet'!$B$15,Paramètres!$A$1:$I$89,3,0)*0.475*44/12</f>
        <v>0.51074929396083324</v>
      </c>
      <c r="EX155" s="21">
        <f>EXP(-LN(2)/2)*EX154+(1-EXP(-LN(2)/2))/(LN(2)/2)*ER155*EU155*VLOOKUP('Données projet'!$B$15,Paramètres!$A$1:$I$89,3,0)*0.475*44/12</f>
        <v>1.3737524003483745E-17</v>
      </c>
      <c r="EY155" s="22">
        <f t="shared" si="181"/>
        <v>0.7519742806801023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-7.9808160080574461E-14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87.187251664304199</v>
      </c>
      <c r="FK155" s="59">
        <f t="shared" si="156"/>
        <v>148.84938257884147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0.27384575973413694</v>
      </c>
      <c r="FS155" s="21">
        <f>EXP(-LN(2)/2)*FS154+(1-EXP(-LN(2)/2))/(LN(2)/2)*FM155*FP155*VLOOKUP('Données projet'!$B$16,Paramètres!$A$1:$I$89,3,0)*0.475*44/12</f>
        <v>2.6384819922483159E-18</v>
      </c>
      <c r="FT155" s="22">
        <f t="shared" si="184"/>
        <v>0.27384575973413694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-1.1368683772161603E-13</v>
      </c>
      <c r="GA155" s="17">
        <f>FZ155*VLOOKUP('Données projet'!$B$17,Paramètres!$A$1:$I$89,3,0)*VLOOKUP('Données projet'!$B$17,Paramètres!$A$1:$I$89,5,0)</f>
        <v>-6.7984728957526396E-14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282.94722676586207</v>
      </c>
      <c r="GF155" s="59">
        <f t="shared" si="158"/>
        <v>310.63647941571298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0.36397180220694292</v>
      </c>
      <c r="GN155" s="21">
        <f>EXP(-LN(2)/2)*GN154+(1-EXP(-LN(2)/2))/(LN(2)/2)*GH155*GK155*VLOOKUP('Données projet'!$B$17,Paramètres!$A$1:$I$89,3,0)*0.475*44/12</f>
        <v>1.1118811165783502E-17</v>
      </c>
      <c r="GO155" s="21">
        <f t="shared" si="187"/>
        <v>0.36397180220694292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-1.1368683772161603E-13</v>
      </c>
      <c r="GV155" s="17">
        <f>GU155*VLOOKUP('Données projet'!$B$18,Paramètres!$A$1:$I$89,3,0)*VLOOKUP('Données projet'!$B$18,Paramètres!$A$1:$I$89,5,0)</f>
        <v>-6.7984728957526396E-14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255.54398581450459</v>
      </c>
      <c r="HA155" s="59">
        <f t="shared" si="160"/>
        <v>276.52622328061204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</v>
      </c>
      <c r="HH155" s="21">
        <f>EXP(-LN(2)/25)*HH154+(1-EXP(-LN(2)/25))/(LN(2)/25)*Calculateur!HC155*Calculateur!HE155*VLOOKUP('Données projet'!$B$18,Paramètres!$A$1:$I$89,3,0)*0.475*44/12</f>
        <v>0.18161051169541043</v>
      </c>
      <c r="HI155" s="21">
        <f>EXP(-LN(2)/2)*HI154+(1-EXP(-LN(2)/2))/(LN(2)/2)*HC155*HF155*VLOOKUP('Données projet'!$B$18,Paramètres!$A$1:$I$89,3,0)*0.475*44/12</f>
        <v>6.4475699121411385E-18</v>
      </c>
      <c r="HJ155" s="22">
        <f t="shared" si="190"/>
        <v>0.18161051169541043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4.9658410716801891E-14</v>
      </c>
      <c r="P156" s="13">
        <f t="shared" si="141"/>
        <v>8.0934058173791862E-13</v>
      </c>
      <c r="Q156" s="20">
        <f t="shared" si="162"/>
        <v>1.4960899118586383E-12</v>
      </c>
      <c r="R156" s="59">
        <f t="shared" si="109"/>
        <v>293.33333333333479</v>
      </c>
      <c r="S156" s="59">
        <f ca="1">AVERAGE(OFFSET($R$3,0,0,'Données projet'!$E$9+1,1))-AVERAGE(OFFSET($H$3,0,0,'Données projet'!$E$9+1,1))</f>
        <v>248.50221719467663</v>
      </c>
      <c r="T156" s="59">
        <f t="shared" si="142"/>
        <v>366.09064580347183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0.69093594597916907</v>
      </c>
      <c r="AA156" s="21">
        <f>EXP(-LN(2)/25)*AA155+(1-EXP(-LN(2)/25))/(LN(2)/25)*Calculateur!V156*Calculateur!X156*VLOOKUP('Données projet'!$B$9,Paramètres!$A$1:$I$89,3,0)*0.475*44/12</f>
        <v>0.79507236705729722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1.4860083130364663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263.22346936777603</v>
      </c>
      <c r="AO156" s="59">
        <f t="shared" si="144"/>
        <v>217.14714468707939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0.24034789466767106</v>
      </c>
      <c r="AW156" s="21">
        <f>EXP(-LN(2)/2)*AW155+(1-EXP(-LN(2)/2))/(LN(2)/2)*AQ156*AT156*VLOOKUP('Données projet'!$B$10,Paramètres!$A$1:$I$89,3,0)*0.475*44/12</f>
        <v>5.4740906948187293E-18</v>
      </c>
      <c r="AX156" s="21">
        <f t="shared" si="166"/>
        <v>0.24034789466767106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4.4337866711430253E-14</v>
      </c>
      <c r="BF156" s="13">
        <f t="shared" si="167"/>
        <v>7.3222115536967035E-13</v>
      </c>
      <c r="BG156" s="20">
        <f t="shared" si="168"/>
        <v>1.3525069634579169E-12</v>
      </c>
      <c r="BH156" s="59">
        <f t="shared" si="116"/>
        <v>293.33333333333468</v>
      </c>
      <c r="BI156" s="59">
        <f ca="1">AVERAGE(OFFSET($BH$3,0,0,'Données projet'!$E$11+1,1))-AVERAGE(OFFSET($H$3,0,0,'Données projet'!$E$11+1,1))</f>
        <v>219.22204054948094</v>
      </c>
      <c r="BJ156" s="59">
        <f t="shared" si="146"/>
        <v>222.41711966122034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0.10357392868537098</v>
      </c>
      <c r="BR156" s="21">
        <f>EXP(-LN(2)/2)*BR155+(1-EXP(-LN(2)/2))/(LN(2)/2)*BL156*BO156*VLOOKUP('Données projet'!$B$11,Paramètres!$A$1:$I$89,3,0)*0.475*44/12</f>
        <v>1.0028068407952189E-18</v>
      </c>
      <c r="BS156" s="22">
        <f t="shared" si="169"/>
        <v>0.10357392868537098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-3.979039320256561E-13</v>
      </c>
      <c r="BZ156" s="13">
        <f>BY156*VLOOKUP('Données projet'!$B$12,Paramètres!$A$1:$I$89,3,0)*VLOOKUP('Données projet'!$B$12,Paramètres!$A$1:$I$89,5,0)</f>
        <v>-3.41401573678013E-13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237.27357081252273</v>
      </c>
      <c r="CE156" s="59">
        <f t="shared" si="148"/>
        <v>68.768479693848576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-3.4106051316484809E-13</v>
      </c>
      <c r="CU156" s="17">
        <f>CT156*VLOOKUP('Données projet'!$B$13,Paramètres!$A$1:$I$89,3,0)*VLOOKUP('Données projet'!$B$13,Paramètres!$A$1:$I$89,5,0)</f>
        <v>-1.9065282685915009E-13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474.03051418249999</v>
      </c>
      <c r="CZ156" s="59">
        <f t="shared" si="150"/>
        <v>649.52271992719091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0.4783020462447361</v>
      </c>
      <c r="DG156" s="21">
        <f>EXP(-LN(2)/25)*DG155+(1-EXP(-LN(2)/25))/(LN(2)/25)*Calculateur!DB156*Calculateur!DD156*VLOOKUP('Données projet'!$B$13,Paramètres!$A$1:$I$89,3,0)*0.475*44/12</f>
        <v>0.79914101882106714</v>
      </c>
      <c r="DH156" s="21">
        <f>EXP(-LN(2)/2)*DH155+(1-EXP(-LN(2)/2))/(LN(2)/2)*DB156*DE156*VLOOKUP('Données projet'!$B$13,Paramètres!$A$1:$I$89,3,0)*0.475*44/12</f>
        <v>3.5878048002059144E-18</v>
      </c>
      <c r="DI156" s="22">
        <f t="shared" si="175"/>
        <v>1.2774430650658033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-5.6843418860808015E-14</v>
      </c>
      <c r="DP156" s="17">
        <f>DO156*VLOOKUP('Données projet'!$B$14,Paramètres!$A$1:$I$89,3,0)*VLOOKUP('Données projet'!$B$14,Paramètres!$A$1:$I$89,5,0)</f>
        <v>-3.1036506698001178E-14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164.0740581424559</v>
      </c>
      <c r="DU156" s="59">
        <f t="shared" si="152"/>
        <v>280.99861170359793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0.57810992330183197</v>
      </c>
      <c r="EB156" s="21">
        <f>EXP(-LN(2)/25)*EB155+(1-EXP(-LN(2)/25))/(LN(2)/25)*Calculateur!DW156*Calculateur!DY156*VLOOKUP('Données projet'!$B$14,Paramètres!$A$1:$I$89,3,0)*0.475*44/12</f>
        <v>0.85541399659792994</v>
      </c>
      <c r="EC156" s="21">
        <f>EXP(-LN(2)/2)*EC155+(1-EXP(-LN(2)/2))/(LN(2)/2)*DW156*DZ156*VLOOKUP('Données projet'!$B$14,Paramètres!$A$1:$I$89,3,0)*0.475*44/12</f>
        <v>4.6546842221646762E-18</v>
      </c>
      <c r="ED156" s="22">
        <f t="shared" si="178"/>
        <v>1.4335239198997618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1.1368683772161603E-13</v>
      </c>
      <c r="EK156" s="17">
        <f>EJ156*VLOOKUP('Données projet'!$B$15,Paramètres!$A$1:$I$89,3,0)*VLOOKUP('Données projet'!$B$15,Paramètres!$A$1:$I$89,5,0)</f>
        <v>5.4683368944097308E-14</v>
      </c>
      <c r="EL156" s="13">
        <f t="shared" si="179"/>
        <v>8.8129432816788268E-13</v>
      </c>
      <c r="EM156" s="20">
        <f t="shared" si="180"/>
        <v>1.6301611558033651E-12</v>
      </c>
      <c r="EN156" s="59">
        <f t="shared" si="128"/>
        <v>293.33333333333496</v>
      </c>
      <c r="EO156" s="59">
        <f ca="1">AVERAGE(OFFSET($EN$3,0,0,'Données projet'!$E$15+1,1))-AVERAGE(OFFSET($H$3,0,0,'Données projet'!$E$15+1,1))</f>
        <v>312.1172301514103</v>
      </c>
      <c r="EP156" s="59">
        <f t="shared" si="154"/>
        <v>369.85500533493212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0.23649471186241791</v>
      </c>
      <c r="EW156" s="21">
        <f>EXP(-LN(2)/25)*EW155+(1-EXP(-LN(2)/25))/(LN(2)/25)*Calculateur!ER156*Calculateur!ET156*VLOOKUP('Données projet'!$B$15,Paramètres!$A$1:$I$89,3,0)*0.475*44/12</f>
        <v>0.4967828276583362</v>
      </c>
      <c r="EX156" s="21">
        <f>EXP(-LN(2)/2)*EX155+(1-EXP(-LN(2)/2))/(LN(2)/2)*ER156*EU156*VLOOKUP('Données projet'!$B$15,Paramètres!$A$1:$I$89,3,0)*0.475*44/12</f>
        <v>9.7138963795763258E-18</v>
      </c>
      <c r="EY156" s="22">
        <f t="shared" si="181"/>
        <v>0.73327753952075414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-7.9808160080574461E-14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87.187251664304199</v>
      </c>
      <c r="FK156" s="59">
        <f t="shared" si="156"/>
        <v>148.84938257884147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0.26635743303328435</v>
      </c>
      <c r="FS156" s="21">
        <f>EXP(-LN(2)/2)*FS155+(1-EXP(-LN(2)/2))/(LN(2)/2)*FM156*FP156*VLOOKUP('Données projet'!$B$16,Paramètres!$A$1:$I$89,3,0)*0.475*44/12</f>
        <v>1.8656885087573759E-18</v>
      </c>
      <c r="FT156" s="22">
        <f t="shared" si="184"/>
        <v>0.26635743303328435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-1.1368683772161603E-13</v>
      </c>
      <c r="GA156" s="17">
        <f>FZ156*VLOOKUP('Données projet'!$B$17,Paramètres!$A$1:$I$89,3,0)*VLOOKUP('Données projet'!$B$17,Paramètres!$A$1:$I$89,5,0)</f>
        <v>-6.7984728957526396E-14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282.94722676586207</v>
      </c>
      <c r="GF156" s="59">
        <f t="shared" si="158"/>
        <v>310.63647941571298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0.35401897413514888</v>
      </c>
      <c r="GN156" s="21">
        <f>EXP(-LN(2)/2)*GN155+(1-EXP(-LN(2)/2))/(LN(2)/2)*GH156*GK156*VLOOKUP('Données projet'!$B$17,Paramètres!$A$1:$I$89,3,0)*0.475*44/12</f>
        <v>7.8621867740582157E-18</v>
      </c>
      <c r="GO156" s="21">
        <f t="shared" si="187"/>
        <v>0.35401897413514888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-1.1368683772161603E-13</v>
      </c>
      <c r="GV156" s="17">
        <f>GU156*VLOOKUP('Données projet'!$B$18,Paramètres!$A$1:$I$89,3,0)*VLOOKUP('Données projet'!$B$18,Paramètres!$A$1:$I$89,5,0)</f>
        <v>-6.7984728957526396E-14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255.54398581450459</v>
      </c>
      <c r="HA156" s="59">
        <f t="shared" si="160"/>
        <v>276.52622328061204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</v>
      </c>
      <c r="HH156" s="21">
        <f>EXP(-LN(2)/25)*HH155+(1-EXP(-LN(2)/25))/(LN(2)/25)*Calculateur!HC156*Calculateur!HE156*VLOOKUP('Données projet'!$B$18,Paramètres!$A$1:$I$89,3,0)*0.475*44/12</f>
        <v>0.17664436270261769</v>
      </c>
      <c r="HI156" s="21">
        <f>EXP(-LN(2)/2)*HI155+(1-EXP(-LN(2)/2))/(LN(2)/2)*HC156*HF156*VLOOKUP('Données projet'!$B$18,Paramètres!$A$1:$I$89,3,0)*0.475*44/12</f>
        <v>4.5591204070493514E-18</v>
      </c>
      <c r="HJ156" s="22">
        <f t="shared" si="190"/>
        <v>0.17664436270261769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4.9658410716801891E-14</v>
      </c>
      <c r="P157" s="13">
        <f t="shared" si="141"/>
        <v>8.0934058173791862E-13</v>
      </c>
      <c r="Q157" s="20">
        <f t="shared" si="162"/>
        <v>1.4960899118586383E-12</v>
      </c>
      <c r="R157" s="59">
        <f t="shared" si="109"/>
        <v>293.33333333333479</v>
      </c>
      <c r="S157" s="59">
        <f ca="1">AVERAGE(OFFSET($R$3,0,0,'Données projet'!$E$9+1,1))-AVERAGE(OFFSET($H$3,0,0,'Données projet'!$E$9+1,1))</f>
        <v>248.50221719467663</v>
      </c>
      <c r="T157" s="59">
        <f t="shared" si="142"/>
        <v>366.09064580347183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0.67738711350783187</v>
      </c>
      <c r="AA157" s="21">
        <f>EXP(-LN(2)/25)*AA156+(1-EXP(-LN(2)/25))/(LN(2)/25)*Calculateur!V157*Calculateur!X157*VLOOKUP('Données projet'!$B$9,Paramètres!$A$1:$I$89,3,0)*0.475*44/12</f>
        <v>0.77333107136907686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1.4507181848769086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263.22346936777603</v>
      </c>
      <c r="AO157" s="59">
        <f t="shared" si="144"/>
        <v>217.14714468707939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0.23377556884863715</v>
      </c>
      <c r="AW157" s="21">
        <f>EXP(-LN(2)/2)*AW156+(1-EXP(-LN(2)/2))/(LN(2)/2)*AQ157*AT157*VLOOKUP('Données projet'!$B$10,Paramètres!$A$1:$I$89,3,0)*0.475*44/12</f>
        <v>3.8707666511365031E-18</v>
      </c>
      <c r="AX157" s="21">
        <f t="shared" si="166"/>
        <v>0.23377556884863715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4.4337866711430253E-14</v>
      </c>
      <c r="BF157" s="13">
        <f t="shared" si="167"/>
        <v>7.3222115536967035E-13</v>
      </c>
      <c r="BG157" s="20">
        <f t="shared" si="168"/>
        <v>1.3525069634579169E-12</v>
      </c>
      <c r="BH157" s="59">
        <f t="shared" si="116"/>
        <v>293.33333333333468</v>
      </c>
      <c r="BI157" s="59">
        <f ca="1">AVERAGE(OFFSET($BH$3,0,0,'Données projet'!$E$11+1,1))-AVERAGE(OFFSET($H$3,0,0,'Données projet'!$E$11+1,1))</f>
        <v>219.22204054948094</v>
      </c>
      <c r="BJ157" s="59">
        <f t="shared" si="146"/>
        <v>222.41711966122034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0.10074169415875332</v>
      </c>
      <c r="BR157" s="21">
        <f>EXP(-LN(2)/2)*BR156+(1-EXP(-LN(2)/2))/(LN(2)/2)*BL157*BO157*VLOOKUP('Données projet'!$B$11,Paramètres!$A$1:$I$89,3,0)*0.475*44/12</f>
        <v>7.0909151734655784E-19</v>
      </c>
      <c r="BS157" s="22">
        <f t="shared" si="169"/>
        <v>0.10074169415875332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-3.979039320256561E-13</v>
      </c>
      <c r="BZ157" s="13">
        <f>BY157*VLOOKUP('Données projet'!$B$12,Paramètres!$A$1:$I$89,3,0)*VLOOKUP('Données projet'!$B$12,Paramètres!$A$1:$I$89,5,0)</f>
        <v>-3.41401573678013E-13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237.27357081252273</v>
      </c>
      <c r="CE157" s="59">
        <f t="shared" si="148"/>
        <v>68.768479693848576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-3.4106051316484809E-13</v>
      </c>
      <c r="CU157" s="17">
        <f>CT157*VLOOKUP('Données projet'!$B$13,Paramètres!$A$1:$I$89,3,0)*VLOOKUP('Données projet'!$B$13,Paramètres!$A$1:$I$89,5,0)</f>
        <v>-1.9065282685915009E-13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474.03051418249999</v>
      </c>
      <c r="CZ157" s="59">
        <f t="shared" si="150"/>
        <v>649.52271992719091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0.46892283485331854</v>
      </c>
      <c r="DG157" s="21">
        <f>EXP(-LN(2)/25)*DG156+(1-EXP(-LN(2)/25))/(LN(2)/25)*Calculateur!DB157*Calculateur!DD157*VLOOKUP('Données projet'!$B$13,Paramètres!$A$1:$I$89,3,0)*0.475*44/12</f>
        <v>0.7772884656364053</v>
      </c>
      <c r="DH157" s="21">
        <f>EXP(-LN(2)/2)*DH156+(1-EXP(-LN(2)/2))/(LN(2)/2)*DB157*DE157*VLOOKUP('Données projet'!$B$13,Paramètres!$A$1:$I$89,3,0)*0.475*44/12</f>
        <v>2.5369611037992484E-18</v>
      </c>
      <c r="DI157" s="22">
        <f t="shared" si="175"/>
        <v>1.2462113004897239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-5.6843418860808015E-14</v>
      </c>
      <c r="DP157" s="17">
        <f>DO157*VLOOKUP('Données projet'!$B$14,Paramètres!$A$1:$I$89,3,0)*VLOOKUP('Données projet'!$B$14,Paramètres!$A$1:$I$89,5,0)</f>
        <v>-3.1036506698001178E-14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164.0740581424559</v>
      </c>
      <c r="DU157" s="59">
        <f t="shared" si="152"/>
        <v>280.99861170359793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0.56677354031811866</v>
      </c>
      <c r="EB157" s="21">
        <f>EXP(-LN(2)/25)*EB156+(1-EXP(-LN(2)/25))/(LN(2)/25)*Calculateur!DW157*Calculateur!DY157*VLOOKUP('Données projet'!$B$14,Paramètres!$A$1:$I$89,3,0)*0.475*44/12</f>
        <v>0.83202265587669255</v>
      </c>
      <c r="EC157" s="21">
        <f>EXP(-LN(2)/2)*EC156+(1-EXP(-LN(2)/2))/(LN(2)/2)*DW157*DZ157*VLOOKUP('Données projet'!$B$14,Paramètres!$A$1:$I$89,3,0)*0.475*44/12</f>
        <v>3.2913587777746729E-18</v>
      </c>
      <c r="ED157" s="22">
        <f t="shared" si="178"/>
        <v>1.3987961961948112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1.1368683772161603E-13</v>
      </c>
      <c r="EK157" s="17">
        <f>EJ157*VLOOKUP('Données projet'!$B$15,Paramètres!$A$1:$I$89,3,0)*VLOOKUP('Données projet'!$B$15,Paramètres!$A$1:$I$89,5,0)</f>
        <v>5.4683368944097308E-14</v>
      </c>
      <c r="EL157" s="13">
        <f t="shared" si="179"/>
        <v>8.8129432816788268E-13</v>
      </c>
      <c r="EM157" s="20">
        <f t="shared" si="180"/>
        <v>1.6301611558033651E-12</v>
      </c>
      <c r="EN157" s="59">
        <f t="shared" si="128"/>
        <v>293.33333333333496</v>
      </c>
      <c r="EO157" s="59">
        <f ca="1">AVERAGE(OFFSET($EN$3,0,0,'Données projet'!$E$15+1,1))-AVERAGE(OFFSET($H$3,0,0,'Données projet'!$E$15+1,1))</f>
        <v>312.1172301514103</v>
      </c>
      <c r="EP157" s="59">
        <f t="shared" si="154"/>
        <v>369.85500533493212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0.23185719481032688</v>
      </c>
      <c r="EW157" s="21">
        <f>EXP(-LN(2)/25)*EW156+(1-EXP(-LN(2)/25))/(LN(2)/25)*Calculateur!ER157*Calculateur!ET157*VLOOKUP('Données projet'!$B$15,Paramètres!$A$1:$I$89,3,0)*0.475*44/12</f>
        <v>0.4831982751113455</v>
      </c>
      <c r="EX157" s="21">
        <f>EXP(-LN(2)/2)*EX156+(1-EXP(-LN(2)/2))/(LN(2)/2)*ER157*EU157*VLOOKUP('Données projet'!$B$15,Paramètres!$A$1:$I$89,3,0)*0.475*44/12</f>
        <v>6.8687620017418735E-18</v>
      </c>
      <c r="EY157" s="22">
        <f t="shared" si="181"/>
        <v>0.71505546992167235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-7.9808160080574461E-14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87.187251664304199</v>
      </c>
      <c r="FK157" s="59">
        <f t="shared" si="156"/>
        <v>148.84938257884147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0.25907387501986057</v>
      </c>
      <c r="FS157" s="21">
        <f>EXP(-LN(2)/2)*FS156+(1-EXP(-LN(2)/2))/(LN(2)/2)*FM157*FP157*VLOOKUP('Données projet'!$B$16,Paramètres!$A$1:$I$89,3,0)*0.475*44/12</f>
        <v>1.3192409961241579E-18</v>
      </c>
      <c r="FT157" s="22">
        <f t="shared" si="184"/>
        <v>0.25907387501986057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-1.1368683772161603E-13</v>
      </c>
      <c r="GA157" s="17">
        <f>FZ157*VLOOKUP('Données projet'!$B$17,Paramètres!$A$1:$I$89,3,0)*VLOOKUP('Données projet'!$B$17,Paramètres!$A$1:$I$89,5,0)</f>
        <v>-6.7984728957526396E-14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282.94722676586207</v>
      </c>
      <c r="GF157" s="59">
        <f t="shared" si="158"/>
        <v>310.63647941571298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0.34433830667037452</v>
      </c>
      <c r="GN157" s="21">
        <f>EXP(-LN(2)/2)*GN156+(1-EXP(-LN(2)/2))/(LN(2)/2)*GH157*GK157*VLOOKUP('Données projet'!$B$17,Paramètres!$A$1:$I$89,3,0)*0.475*44/12</f>
        <v>5.5594055828917508E-18</v>
      </c>
      <c r="GO157" s="21">
        <f t="shared" si="187"/>
        <v>0.34433830667037452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-1.1368683772161603E-13</v>
      </c>
      <c r="GV157" s="17">
        <f>GU157*VLOOKUP('Données projet'!$B$18,Paramètres!$A$1:$I$89,3,0)*VLOOKUP('Données projet'!$B$18,Paramètres!$A$1:$I$89,5,0)</f>
        <v>-6.7984728957526396E-14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255.54398581450459</v>
      </c>
      <c r="HA157" s="59">
        <f t="shared" si="160"/>
        <v>276.52622328061204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</v>
      </c>
      <c r="HH157" s="21">
        <f>EXP(-LN(2)/25)*HH156+(1-EXP(-LN(2)/25))/(LN(2)/25)*Calculateur!HC157*Calculateur!HE157*VLOOKUP('Données projet'!$B$18,Paramètres!$A$1:$I$89,3,0)*0.475*44/12</f>
        <v>0.17181401331519131</v>
      </c>
      <c r="HI157" s="21">
        <f>EXP(-LN(2)/2)*HI156+(1-EXP(-LN(2)/2))/(LN(2)/2)*HC157*HF157*VLOOKUP('Données projet'!$B$18,Paramètres!$A$1:$I$89,3,0)*0.475*44/12</f>
        <v>3.2237849560705692E-18</v>
      </c>
      <c r="HJ157" s="22">
        <f t="shared" si="190"/>
        <v>0.17181401331519131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4.9658410716801891E-14</v>
      </c>
      <c r="P158" s="13">
        <f t="shared" si="141"/>
        <v>8.0934058173791862E-13</v>
      </c>
      <c r="Q158" s="20">
        <f t="shared" si="162"/>
        <v>1.4960899118586383E-12</v>
      </c>
      <c r="R158" s="59">
        <f t="shared" si="109"/>
        <v>293.33333333333479</v>
      </c>
      <c r="S158" s="59">
        <f ca="1">AVERAGE(OFFSET($R$3,0,0,'Données projet'!$E$9+1,1))-AVERAGE(OFFSET($H$3,0,0,'Données projet'!$E$9+1,1))</f>
        <v>248.50221719467663</v>
      </c>
      <c r="T158" s="59">
        <f t="shared" si="142"/>
        <v>366.09064580347183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0.66410396537728589</v>
      </c>
      <c r="AA158" s="21">
        <f>EXP(-LN(2)/25)*AA157+(1-EXP(-LN(2)/25))/(LN(2)/25)*Calculateur!V158*Calculateur!X158*VLOOKUP('Données projet'!$B$9,Paramètres!$A$1:$I$89,3,0)*0.475*44/12</f>
        <v>0.75218429255477592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1.4162882579320617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263.22346936777603</v>
      </c>
      <c r="AO158" s="59">
        <f t="shared" si="144"/>
        <v>217.14714468707939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0.2273829636247483</v>
      </c>
      <c r="AW158" s="21">
        <f>EXP(-LN(2)/2)*AW157+(1-EXP(-LN(2)/2))/(LN(2)/2)*AQ158*AT158*VLOOKUP('Données projet'!$B$10,Paramètres!$A$1:$I$89,3,0)*0.475*44/12</f>
        <v>2.7370453474093647E-18</v>
      </c>
      <c r="AX158" s="21">
        <f t="shared" si="166"/>
        <v>0.2273829636247483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4.4337866711430253E-14</v>
      </c>
      <c r="BF158" s="13">
        <f t="shared" si="167"/>
        <v>7.3222115536967035E-13</v>
      </c>
      <c r="BG158" s="20">
        <f t="shared" si="168"/>
        <v>1.3525069634579169E-12</v>
      </c>
      <c r="BH158" s="59">
        <f t="shared" si="116"/>
        <v>293.33333333333468</v>
      </c>
      <c r="BI158" s="59">
        <f ca="1">AVERAGE(OFFSET($BH$3,0,0,'Données projet'!$E$11+1,1))-AVERAGE(OFFSET($H$3,0,0,'Données projet'!$E$11+1,1))</f>
        <v>219.22204054948094</v>
      </c>
      <c r="BJ158" s="59">
        <f t="shared" si="146"/>
        <v>222.41711966122034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9.7986907234206763E-2</v>
      </c>
      <c r="BR158" s="21">
        <f>EXP(-LN(2)/2)*BR157+(1-EXP(-LN(2)/2))/(LN(2)/2)*BL158*BO158*VLOOKUP('Données projet'!$B$11,Paramètres!$A$1:$I$89,3,0)*0.475*44/12</f>
        <v>5.0140342039760944E-19</v>
      </c>
      <c r="BS158" s="22">
        <f t="shared" si="169"/>
        <v>9.7986907234206763E-2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-3.979039320256561E-13</v>
      </c>
      <c r="BZ158" s="13">
        <f>BY158*VLOOKUP('Données projet'!$B$12,Paramètres!$A$1:$I$89,3,0)*VLOOKUP('Données projet'!$B$12,Paramètres!$A$1:$I$89,5,0)</f>
        <v>-3.41401573678013E-13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237.27357081252273</v>
      </c>
      <c r="CE158" s="59">
        <f t="shared" si="148"/>
        <v>68.768479693848576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-3.4106051316484809E-13</v>
      </c>
      <c r="CU158" s="17">
        <f>CT158*VLOOKUP('Données projet'!$B$13,Paramètres!$A$1:$I$89,3,0)*VLOOKUP('Données projet'!$B$13,Paramètres!$A$1:$I$89,5,0)</f>
        <v>-1.9065282685915009E-13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474.03051418249999</v>
      </c>
      <c r="CZ158" s="59">
        <f t="shared" si="150"/>
        <v>649.52271992719091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0.4597275440765326</v>
      </c>
      <c r="DG158" s="21">
        <f>EXP(-LN(2)/25)*DG157+(1-EXP(-LN(2)/25))/(LN(2)/25)*Calculateur!DB158*Calculateur!DD158*VLOOKUP('Données projet'!$B$13,Paramètres!$A$1:$I$89,3,0)*0.475*44/12</f>
        <v>0.75603347166775392</v>
      </c>
      <c r="DH158" s="21">
        <f>EXP(-LN(2)/2)*DH157+(1-EXP(-LN(2)/2))/(LN(2)/2)*DB158*DE158*VLOOKUP('Données projet'!$B$13,Paramètres!$A$1:$I$89,3,0)*0.475*44/12</f>
        <v>1.7939024001029572E-18</v>
      </c>
      <c r="DI158" s="22">
        <f t="shared" si="175"/>
        <v>1.2157610157442864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-5.6843418860808015E-14</v>
      </c>
      <c r="DP158" s="17">
        <f>DO158*VLOOKUP('Données projet'!$B$14,Paramètres!$A$1:$I$89,3,0)*VLOOKUP('Données projet'!$B$14,Paramètres!$A$1:$I$89,5,0)</f>
        <v>-3.1036506698001178E-14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164.0740581424559</v>
      </c>
      <c r="DU158" s="59">
        <f t="shared" si="152"/>
        <v>280.99861170359793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0.55565945689020513</v>
      </c>
      <c r="EB158" s="21">
        <f>EXP(-LN(2)/25)*EB157+(1-EXP(-LN(2)/25))/(LN(2)/25)*Calculateur!DW158*Calculateur!DY158*VLOOKUP('Données projet'!$B$14,Paramètres!$A$1:$I$89,3,0)*0.475*44/12</f>
        <v>0.80927095259757453</v>
      </c>
      <c r="EC158" s="21">
        <f>EXP(-LN(2)/2)*EC157+(1-EXP(-LN(2)/2))/(LN(2)/2)*DW158*DZ158*VLOOKUP('Données projet'!$B$14,Paramètres!$A$1:$I$89,3,0)*0.475*44/12</f>
        <v>2.3273421110823381E-18</v>
      </c>
      <c r="ED158" s="22">
        <f t="shared" si="178"/>
        <v>1.3649304094877797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1.1368683772161603E-13</v>
      </c>
      <c r="EK158" s="17">
        <f>EJ158*VLOOKUP('Données projet'!$B$15,Paramètres!$A$1:$I$89,3,0)*VLOOKUP('Données projet'!$B$15,Paramètres!$A$1:$I$89,5,0)</f>
        <v>5.4683368944097308E-14</v>
      </c>
      <c r="EL158" s="13">
        <f t="shared" si="179"/>
        <v>8.8129432816788268E-13</v>
      </c>
      <c r="EM158" s="20">
        <f t="shared" si="180"/>
        <v>1.6301611558033651E-12</v>
      </c>
      <c r="EN158" s="59">
        <f t="shared" si="128"/>
        <v>293.33333333333496</v>
      </c>
      <c r="EO158" s="59">
        <f ca="1">AVERAGE(OFFSET($EN$3,0,0,'Données projet'!$E$15+1,1))-AVERAGE(OFFSET($H$3,0,0,'Données projet'!$E$15+1,1))</f>
        <v>312.1172301514103</v>
      </c>
      <c r="EP158" s="59">
        <f t="shared" si="154"/>
        <v>369.85500533493212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0.22731061663902125</v>
      </c>
      <c r="EW158" s="21">
        <f>EXP(-LN(2)/25)*EW157+(1-EXP(-LN(2)/25))/(LN(2)/25)*Calculateur!ER158*Calculateur!ET158*VLOOKUP('Données projet'!$B$15,Paramètres!$A$1:$I$89,3,0)*0.475*44/12</f>
        <v>0.46998519286813284</v>
      </c>
      <c r="EX158" s="21">
        <f>EXP(-LN(2)/2)*EX157+(1-EXP(-LN(2)/2))/(LN(2)/2)*ER158*EU158*VLOOKUP('Données projet'!$B$15,Paramètres!$A$1:$I$89,3,0)*0.475*44/12</f>
        <v>4.8569481897881637E-18</v>
      </c>
      <c r="EY158" s="22">
        <f t="shared" si="181"/>
        <v>0.69729580950715409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-7.9808160080574461E-14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87.187251664304199</v>
      </c>
      <c r="FK158" s="59">
        <f t="shared" si="156"/>
        <v>148.84938257884147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0.2519894862833395</v>
      </c>
      <c r="FS158" s="21">
        <f>EXP(-LN(2)/2)*FS157+(1-EXP(-LN(2)/2))/(LN(2)/2)*FM158*FP158*VLOOKUP('Données projet'!$B$16,Paramètres!$A$1:$I$89,3,0)*0.475*44/12</f>
        <v>9.3284425437868794E-19</v>
      </c>
      <c r="FT158" s="22">
        <f t="shared" si="184"/>
        <v>0.2519894862833395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-1.1368683772161603E-13</v>
      </c>
      <c r="GA158" s="17">
        <f>FZ158*VLOOKUP('Données projet'!$B$17,Paramètres!$A$1:$I$89,3,0)*VLOOKUP('Données projet'!$B$17,Paramètres!$A$1:$I$89,5,0)</f>
        <v>-6.7984728957526396E-14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282.94722676586207</v>
      </c>
      <c r="GF158" s="59">
        <f t="shared" si="158"/>
        <v>310.63647941571298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0.33492235756650857</v>
      </c>
      <c r="GN158" s="21">
        <f>EXP(-LN(2)/2)*GN157+(1-EXP(-LN(2)/2))/(LN(2)/2)*GH158*GK158*VLOOKUP('Données projet'!$B$17,Paramètres!$A$1:$I$89,3,0)*0.475*44/12</f>
        <v>3.9310933870291079E-18</v>
      </c>
      <c r="GO158" s="21">
        <f t="shared" si="187"/>
        <v>0.33492235756650857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-1.1368683772161603E-13</v>
      </c>
      <c r="GV158" s="17">
        <f>GU158*VLOOKUP('Données projet'!$B$18,Paramètres!$A$1:$I$89,3,0)*VLOOKUP('Données projet'!$B$18,Paramètres!$A$1:$I$89,5,0)</f>
        <v>-6.7984728957526396E-14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255.54398581450459</v>
      </c>
      <c r="HA158" s="59">
        <f t="shared" si="160"/>
        <v>276.52622328061204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</v>
      </c>
      <c r="HH158" s="21">
        <f>EXP(-LN(2)/25)*HH157+(1-EXP(-LN(2)/25))/(LN(2)/25)*Calculateur!HC158*Calculateur!HE158*VLOOKUP('Données projet'!$B$18,Paramètres!$A$1:$I$89,3,0)*0.475*44/12</f>
        <v>0.16711575008578111</v>
      </c>
      <c r="HI158" s="21">
        <f>EXP(-LN(2)/2)*HI157+(1-EXP(-LN(2)/2))/(LN(2)/2)*HC158*HF158*VLOOKUP('Données projet'!$B$18,Paramètres!$A$1:$I$89,3,0)*0.475*44/12</f>
        <v>2.2795602035246757E-18</v>
      </c>
      <c r="HJ158" s="22">
        <f t="shared" si="190"/>
        <v>0.16711575008578111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4.9658410716801891E-14</v>
      </c>
      <c r="P159" s="13">
        <f t="shared" si="141"/>
        <v>8.0934058173791862E-13</v>
      </c>
      <c r="Q159" s="20">
        <f t="shared" si="162"/>
        <v>1.4960899118586383E-12</v>
      </c>
      <c r="R159" s="59">
        <f t="shared" si="109"/>
        <v>293.33333333333479</v>
      </c>
      <c r="S159" s="59">
        <f ca="1">AVERAGE(OFFSET($R$3,0,0,'Données projet'!$E$9+1,1))-AVERAGE(OFFSET($H$3,0,0,'Données projet'!$E$9+1,1))</f>
        <v>248.50221719467663</v>
      </c>
      <c r="T159" s="59">
        <f t="shared" si="142"/>
        <v>366.09064580347183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0.65108129167965945</v>
      </c>
      <c r="AA159" s="21">
        <f>EXP(-LN(2)/25)*AA158+(1-EXP(-LN(2)/25))/(LN(2)/25)*Calculateur!V159*Calculateur!X159*VLOOKUP('Données projet'!$B$9,Paramètres!$A$1:$I$89,3,0)*0.475*44/12</f>
        <v>0.73161577351921281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1.3826970651988724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263.22346936777603</v>
      </c>
      <c r="AO159" s="59">
        <f t="shared" si="144"/>
        <v>217.14714468707939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0.2211651645268792</v>
      </c>
      <c r="AW159" s="21">
        <f>EXP(-LN(2)/2)*AW158+(1-EXP(-LN(2)/2))/(LN(2)/2)*AQ159*AT159*VLOOKUP('Données projet'!$B$10,Paramètres!$A$1:$I$89,3,0)*0.475*44/12</f>
        <v>1.9353833255682515E-18</v>
      </c>
      <c r="AX159" s="21">
        <f t="shared" si="166"/>
        <v>0.2211651645268792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4.4337866711430253E-14</v>
      </c>
      <c r="BF159" s="13">
        <f t="shared" si="167"/>
        <v>7.3222115536967035E-13</v>
      </c>
      <c r="BG159" s="20">
        <f t="shared" si="168"/>
        <v>1.3525069634579169E-12</v>
      </c>
      <c r="BH159" s="59">
        <f t="shared" si="116"/>
        <v>293.33333333333468</v>
      </c>
      <c r="BI159" s="59">
        <f ca="1">AVERAGE(OFFSET($BH$3,0,0,'Données projet'!$E$11+1,1))-AVERAGE(OFFSET($H$3,0,0,'Données projet'!$E$11+1,1))</f>
        <v>219.22204054948094</v>
      </c>
      <c r="BJ159" s="59">
        <f t="shared" si="146"/>
        <v>222.41711966122034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9.5307450102979877E-2</v>
      </c>
      <c r="BR159" s="21">
        <f>EXP(-LN(2)/2)*BR158+(1-EXP(-LN(2)/2))/(LN(2)/2)*BL159*BO159*VLOOKUP('Données projet'!$B$11,Paramètres!$A$1:$I$89,3,0)*0.475*44/12</f>
        <v>3.5454575867327892E-19</v>
      </c>
      <c r="BS159" s="22">
        <f t="shared" si="169"/>
        <v>9.5307450102979877E-2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-3.979039320256561E-13</v>
      </c>
      <c r="BZ159" s="13">
        <f>BY159*VLOOKUP('Données projet'!$B$12,Paramètres!$A$1:$I$89,3,0)*VLOOKUP('Données projet'!$B$12,Paramètres!$A$1:$I$89,5,0)</f>
        <v>-3.41401573678013E-13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237.27357081252273</v>
      </c>
      <c r="CE159" s="59">
        <f t="shared" si="148"/>
        <v>68.768479693848576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-3.4106051316484809E-13</v>
      </c>
      <c r="CU159" s="17">
        <f>CT159*VLOOKUP('Données projet'!$B$13,Paramètres!$A$1:$I$89,3,0)*VLOOKUP('Données projet'!$B$13,Paramètres!$A$1:$I$89,5,0)</f>
        <v>-1.9065282685915009E-13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474.03051418249999</v>
      </c>
      <c r="CZ159" s="59">
        <f t="shared" si="150"/>
        <v>649.52271992719091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0.45071256734330589</v>
      </c>
      <c r="DG159" s="21">
        <f>EXP(-LN(2)/25)*DG158+(1-EXP(-LN(2)/25))/(LN(2)/25)*Calculateur!DB159*Calculateur!DD159*VLOOKUP('Données projet'!$B$13,Paramètres!$A$1:$I$89,3,0)*0.475*44/12</f>
        <v>0.73535969662692691</v>
      </c>
      <c r="DH159" s="21">
        <f>EXP(-LN(2)/2)*DH158+(1-EXP(-LN(2)/2))/(LN(2)/2)*DB159*DE159*VLOOKUP('Données projet'!$B$13,Paramètres!$A$1:$I$89,3,0)*0.475*44/12</f>
        <v>1.2684805518996242E-18</v>
      </c>
      <c r="DI159" s="22">
        <f t="shared" si="175"/>
        <v>1.1860722639702328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-5.6843418860808015E-14</v>
      </c>
      <c r="DP159" s="17">
        <f>DO159*VLOOKUP('Données projet'!$B$14,Paramètres!$A$1:$I$89,3,0)*VLOOKUP('Données projet'!$B$14,Paramètres!$A$1:$I$89,5,0)</f>
        <v>-3.1036506698001178E-14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164.0740581424559</v>
      </c>
      <c r="DU159" s="59">
        <f t="shared" si="152"/>
        <v>280.99861170359793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0.54476331385939147</v>
      </c>
      <c r="EB159" s="21">
        <f>EXP(-LN(2)/25)*EB158+(1-EXP(-LN(2)/25))/(LN(2)/25)*Calculateur!DW159*Calculateur!DY159*VLOOKUP('Données projet'!$B$14,Paramètres!$A$1:$I$89,3,0)*0.475*44/12</f>
        <v>0.78714139584108411</v>
      </c>
      <c r="EC159" s="21">
        <f>EXP(-LN(2)/2)*EC158+(1-EXP(-LN(2)/2))/(LN(2)/2)*DW159*DZ159*VLOOKUP('Données projet'!$B$14,Paramètres!$A$1:$I$89,3,0)*0.475*44/12</f>
        <v>1.6456793888873365E-18</v>
      </c>
      <c r="ED159" s="22">
        <f t="shared" si="178"/>
        <v>1.3319047097004755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1.1368683772161603E-13</v>
      </c>
      <c r="EK159" s="17">
        <f>EJ159*VLOOKUP('Données projet'!$B$15,Paramètres!$A$1:$I$89,3,0)*VLOOKUP('Données projet'!$B$15,Paramètres!$A$1:$I$89,5,0)</f>
        <v>5.4683368944097308E-14</v>
      </c>
      <c r="EL159" s="13">
        <f t="shared" si="179"/>
        <v>8.8129432816788268E-13</v>
      </c>
      <c r="EM159" s="20">
        <f t="shared" si="180"/>
        <v>1.6301611558033651E-12</v>
      </c>
      <c r="EN159" s="59">
        <f t="shared" si="128"/>
        <v>293.33333333333496</v>
      </c>
      <c r="EO159" s="59">
        <f ca="1">AVERAGE(OFFSET($EN$3,0,0,'Données projet'!$E$15+1,1))-AVERAGE(OFFSET($H$3,0,0,'Données projet'!$E$15+1,1))</f>
        <v>312.1172301514103</v>
      </c>
      <c r="EP159" s="59">
        <f t="shared" si="154"/>
        <v>369.85500533493212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0.22285319409251605</v>
      </c>
      <c r="EW159" s="21">
        <f>EXP(-LN(2)/25)*EW158+(1-EXP(-LN(2)/25))/(LN(2)/25)*Calculateur!ER159*Calculateur!ET159*VLOOKUP('Données projet'!$B$15,Paramètres!$A$1:$I$89,3,0)*0.475*44/12</f>
        <v>0.45713342305370663</v>
      </c>
      <c r="EX159" s="21">
        <f>EXP(-LN(2)/2)*EX158+(1-EXP(-LN(2)/2))/(LN(2)/2)*ER159*EU159*VLOOKUP('Données projet'!$B$15,Paramètres!$A$1:$I$89,3,0)*0.475*44/12</f>
        <v>3.4343810008709375E-18</v>
      </c>
      <c r="EY159" s="22">
        <f t="shared" si="181"/>
        <v>0.67998661714622266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-7.9808160080574461E-14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87.187251664304199</v>
      </c>
      <c r="FK159" s="59">
        <f t="shared" si="156"/>
        <v>148.84938257884147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0.24509882052937043</v>
      </c>
      <c r="FS159" s="21">
        <f>EXP(-LN(2)/2)*FS158+(1-EXP(-LN(2)/2))/(LN(2)/2)*FM159*FP159*VLOOKUP('Données projet'!$B$16,Paramètres!$A$1:$I$89,3,0)*0.475*44/12</f>
        <v>6.5962049806207897E-19</v>
      </c>
      <c r="FT159" s="22">
        <f t="shared" si="184"/>
        <v>0.24509882052937043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-1.1368683772161603E-13</v>
      </c>
      <c r="GA159" s="17">
        <f>FZ159*VLOOKUP('Données projet'!$B$17,Paramètres!$A$1:$I$89,3,0)*VLOOKUP('Données projet'!$B$17,Paramètres!$A$1:$I$89,5,0)</f>
        <v>-6.7984728957526396E-14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282.94722676586207</v>
      </c>
      <c r="GF159" s="59">
        <f t="shared" si="158"/>
        <v>310.63647941571298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0.32576388808605106</v>
      </c>
      <c r="GN159" s="21">
        <f>EXP(-LN(2)/2)*GN158+(1-EXP(-LN(2)/2))/(LN(2)/2)*GH159*GK159*VLOOKUP('Données projet'!$B$17,Paramètres!$A$1:$I$89,3,0)*0.475*44/12</f>
        <v>2.7797027914458754E-18</v>
      </c>
      <c r="GO159" s="21">
        <f t="shared" si="187"/>
        <v>0.32576388808605106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-1.1368683772161603E-13</v>
      </c>
      <c r="GV159" s="17">
        <f>GU159*VLOOKUP('Données projet'!$B$18,Paramètres!$A$1:$I$89,3,0)*VLOOKUP('Données projet'!$B$18,Paramètres!$A$1:$I$89,5,0)</f>
        <v>-6.7984728957526396E-14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255.54398581450459</v>
      </c>
      <c r="HA159" s="59">
        <f t="shared" si="160"/>
        <v>276.52622328061204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</v>
      </c>
      <c r="HH159" s="21">
        <f>EXP(-LN(2)/25)*HH158+(1-EXP(-LN(2)/25))/(LN(2)/25)*Calculateur!HC159*Calculateur!HE159*VLOOKUP('Données projet'!$B$18,Paramètres!$A$1:$I$89,3,0)*0.475*44/12</f>
        <v>0.16254596111145009</v>
      </c>
      <c r="HI159" s="21">
        <f>EXP(-LN(2)/2)*HI158+(1-EXP(-LN(2)/2))/(LN(2)/2)*HC159*HF159*VLOOKUP('Données projet'!$B$18,Paramètres!$A$1:$I$89,3,0)*0.475*44/12</f>
        <v>1.6118924780352846E-18</v>
      </c>
      <c r="HJ159" s="22">
        <f t="shared" si="190"/>
        <v>0.16254596111145009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4.9658410716801891E-14</v>
      </c>
      <c r="P160" s="13">
        <f t="shared" si="141"/>
        <v>8.0934058173791862E-13</v>
      </c>
      <c r="Q160" s="20">
        <f t="shared" si="162"/>
        <v>1.4960899118586383E-12</v>
      </c>
      <c r="R160" s="59">
        <f t="shared" si="109"/>
        <v>293.33333333333479</v>
      </c>
      <c r="S160" s="59">
        <f ca="1">AVERAGE(OFFSET($R$3,0,0,'Données projet'!$E$9+1,1))-AVERAGE(OFFSET($H$3,0,0,'Données projet'!$E$9+1,1))</f>
        <v>248.50221719467663</v>
      </c>
      <c r="T160" s="59">
        <f t="shared" si="142"/>
        <v>366.09064580347183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0.63831398467019684</v>
      </c>
      <c r="AA160" s="21">
        <f>EXP(-LN(2)/25)*AA159+(1-EXP(-LN(2)/25))/(LN(2)/25)*Calculateur!V160*Calculateur!X160*VLOOKUP('Données projet'!$B$9,Paramètres!$A$1:$I$89,3,0)*0.475*44/12</f>
        <v>0.71160970171832849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1.3499236863885253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263.22346936777603</v>
      </c>
      <c r="AO160" s="59">
        <f t="shared" si="144"/>
        <v>217.14714468707939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0.21511739147232117</v>
      </c>
      <c r="AW160" s="21">
        <f>EXP(-LN(2)/2)*AW159+(1-EXP(-LN(2)/2))/(LN(2)/2)*AQ160*AT160*VLOOKUP('Données projet'!$B$10,Paramètres!$A$1:$I$89,3,0)*0.475*44/12</f>
        <v>1.3685226737046823E-18</v>
      </c>
      <c r="AX160" s="21">
        <f t="shared" si="166"/>
        <v>0.21511739147232117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4.4337866711430253E-14</v>
      </c>
      <c r="BF160" s="13">
        <f t="shared" si="167"/>
        <v>7.3222115536967035E-13</v>
      </c>
      <c r="BG160" s="20">
        <f t="shared" si="168"/>
        <v>1.3525069634579169E-12</v>
      </c>
      <c r="BH160" s="59">
        <f t="shared" si="116"/>
        <v>293.33333333333468</v>
      </c>
      <c r="BI160" s="59">
        <f ca="1">AVERAGE(OFFSET($BH$3,0,0,'Données projet'!$E$11+1,1))-AVERAGE(OFFSET($H$3,0,0,'Données projet'!$E$11+1,1))</f>
        <v>219.22204054948094</v>
      </c>
      <c r="BJ160" s="59">
        <f t="shared" si="146"/>
        <v>222.41711966122034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9.2701262867912915E-2</v>
      </c>
      <c r="BR160" s="21">
        <f>EXP(-LN(2)/2)*BR159+(1-EXP(-LN(2)/2))/(LN(2)/2)*BL160*BO160*VLOOKUP('Données projet'!$B$11,Paramètres!$A$1:$I$89,3,0)*0.475*44/12</f>
        <v>2.5070171019880472E-19</v>
      </c>
      <c r="BS160" s="22">
        <f t="shared" si="169"/>
        <v>9.2701262867912915E-2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-3.979039320256561E-13</v>
      </c>
      <c r="BZ160" s="13">
        <f>BY160*VLOOKUP('Données projet'!$B$12,Paramètres!$A$1:$I$89,3,0)*VLOOKUP('Données projet'!$B$12,Paramètres!$A$1:$I$89,5,0)</f>
        <v>-3.41401573678013E-13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237.27357081252273</v>
      </c>
      <c r="CE160" s="59">
        <f t="shared" si="148"/>
        <v>68.768479693848576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-3.4106051316484809E-13</v>
      </c>
      <c r="CU160" s="17">
        <f>CT160*VLOOKUP('Données projet'!$B$13,Paramètres!$A$1:$I$89,3,0)*VLOOKUP('Données projet'!$B$13,Paramètres!$A$1:$I$89,5,0)</f>
        <v>-1.9065282685915009E-13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474.03051418249999</v>
      </c>
      <c r="CZ160" s="59">
        <f t="shared" si="150"/>
        <v>649.52271992719091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0.4418743688052249</v>
      </c>
      <c r="DG160" s="21">
        <f>EXP(-LN(2)/25)*DG159+(1-EXP(-LN(2)/25))/(LN(2)/25)*Calculateur!DB160*Calculateur!DD160*VLOOKUP('Données projet'!$B$13,Paramètres!$A$1:$I$89,3,0)*0.475*44/12</f>
        <v>0.71525124705177778</v>
      </c>
      <c r="DH160" s="21">
        <f>EXP(-LN(2)/2)*DH159+(1-EXP(-LN(2)/2))/(LN(2)/2)*DB160*DE160*VLOOKUP('Données projet'!$B$13,Paramètres!$A$1:$I$89,3,0)*0.475*44/12</f>
        <v>8.9695120005147859E-19</v>
      </c>
      <c r="DI160" s="22">
        <f t="shared" si="175"/>
        <v>1.1571256158570027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-5.6843418860808015E-14</v>
      </c>
      <c r="DP160" s="17">
        <f>DO160*VLOOKUP('Données projet'!$B$14,Paramètres!$A$1:$I$89,3,0)*VLOOKUP('Données projet'!$B$14,Paramètres!$A$1:$I$89,5,0)</f>
        <v>-3.1036506698001178E-14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164.0740581424559</v>
      </c>
      <c r="DU160" s="59">
        <f t="shared" si="152"/>
        <v>280.99861170359793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0.53408083754742108</v>
      </c>
      <c r="EB160" s="21">
        <f>EXP(-LN(2)/25)*EB159+(1-EXP(-LN(2)/25))/(LN(2)/25)*Calculateur!DW160*Calculateur!DY160*VLOOKUP('Données projet'!$B$14,Paramètres!$A$1:$I$89,3,0)*0.475*44/12</f>
        <v>0.7656169729778427</v>
      </c>
      <c r="EC160" s="21">
        <f>EXP(-LN(2)/2)*EC159+(1-EXP(-LN(2)/2))/(LN(2)/2)*DW160*DZ160*VLOOKUP('Données projet'!$B$14,Paramètres!$A$1:$I$89,3,0)*0.475*44/12</f>
        <v>1.1636710555411691E-18</v>
      </c>
      <c r="ED160" s="22">
        <f t="shared" si="178"/>
        <v>1.2996978105252639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1.1368683772161603E-13</v>
      </c>
      <c r="EK160" s="17">
        <f>EJ160*VLOOKUP('Données projet'!$B$15,Paramètres!$A$1:$I$89,3,0)*VLOOKUP('Données projet'!$B$15,Paramètres!$A$1:$I$89,5,0)</f>
        <v>5.4683368944097308E-14</v>
      </c>
      <c r="EL160" s="13">
        <f t="shared" si="179"/>
        <v>8.8129432816788268E-13</v>
      </c>
      <c r="EM160" s="20">
        <f t="shared" si="180"/>
        <v>1.6301611558033651E-12</v>
      </c>
      <c r="EN160" s="59">
        <f t="shared" si="128"/>
        <v>293.33333333333496</v>
      </c>
      <c r="EO160" s="59">
        <f ca="1">AVERAGE(OFFSET($EN$3,0,0,'Données projet'!$E$15+1,1))-AVERAGE(OFFSET($H$3,0,0,'Données projet'!$E$15+1,1))</f>
        <v>312.1172301514103</v>
      </c>
      <c r="EP160" s="59">
        <f t="shared" si="154"/>
        <v>369.85500533493212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0.21848317888338853</v>
      </c>
      <c r="EW160" s="21">
        <f>EXP(-LN(2)/25)*EW159+(1-EXP(-LN(2)/25))/(LN(2)/25)*Calculateur!ER160*Calculateur!ET160*VLOOKUP('Données projet'!$B$15,Paramètres!$A$1:$I$89,3,0)*0.475*44/12</f>
        <v>0.44463308556070108</v>
      </c>
      <c r="EX160" s="21">
        <f>EXP(-LN(2)/2)*EX159+(1-EXP(-LN(2)/2))/(LN(2)/2)*ER160*EU160*VLOOKUP('Données projet'!$B$15,Paramètres!$A$1:$I$89,3,0)*0.475*44/12</f>
        <v>2.4284740948940822E-18</v>
      </c>
      <c r="EY160" s="22">
        <f t="shared" si="181"/>
        <v>0.66311626444408955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-7.9808160080574461E-14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87.187251664304199</v>
      </c>
      <c r="FK160" s="59">
        <f t="shared" si="156"/>
        <v>148.84938257884147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0.23839658039280801</v>
      </c>
      <c r="FS160" s="21">
        <f>EXP(-LN(2)/2)*FS159+(1-EXP(-LN(2)/2))/(LN(2)/2)*FM160*FP160*VLOOKUP('Données projet'!$B$16,Paramètres!$A$1:$I$89,3,0)*0.475*44/12</f>
        <v>4.6642212718934397E-19</v>
      </c>
      <c r="FT160" s="22">
        <f t="shared" si="184"/>
        <v>0.23839658039280801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-1.1368683772161603E-13</v>
      </c>
      <c r="GA160" s="17">
        <f>FZ160*VLOOKUP('Données projet'!$B$17,Paramètres!$A$1:$I$89,3,0)*VLOOKUP('Données projet'!$B$17,Paramètres!$A$1:$I$89,5,0)</f>
        <v>-6.7984728957526396E-14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282.94722676586207</v>
      </c>
      <c r="GF160" s="59">
        <f t="shared" si="158"/>
        <v>310.63647941571298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0.31685585743515965</v>
      </c>
      <c r="GN160" s="21">
        <f>EXP(-LN(2)/2)*GN159+(1-EXP(-LN(2)/2))/(LN(2)/2)*GH160*GK160*VLOOKUP('Données projet'!$B$17,Paramètres!$A$1:$I$89,3,0)*0.475*44/12</f>
        <v>1.9655466935145539E-18</v>
      </c>
      <c r="GO160" s="21">
        <f t="shared" si="187"/>
        <v>0.31685585743515965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-1.1368683772161603E-13</v>
      </c>
      <c r="GV160" s="17">
        <f>GU160*VLOOKUP('Données projet'!$B$18,Paramètres!$A$1:$I$89,3,0)*VLOOKUP('Données projet'!$B$18,Paramètres!$A$1:$I$89,5,0)</f>
        <v>-6.7984728957526396E-14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255.54398581450459</v>
      </c>
      <c r="HA160" s="59">
        <f t="shared" si="160"/>
        <v>276.52622328061204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</v>
      </c>
      <c r="HH160" s="21">
        <f>EXP(-LN(2)/25)*HH159+(1-EXP(-LN(2)/25))/(LN(2)/25)*Calculateur!HC160*Calculateur!HE160*VLOOKUP('Données projet'!$B$18,Paramètres!$A$1:$I$89,3,0)*0.475*44/12</f>
        <v>0.15810113325693689</v>
      </c>
      <c r="HI160" s="21">
        <f>EXP(-LN(2)/2)*HI159+(1-EXP(-LN(2)/2))/(LN(2)/2)*HC160*HF160*VLOOKUP('Données projet'!$B$18,Paramètres!$A$1:$I$89,3,0)*0.475*44/12</f>
        <v>1.1397801017623379E-18</v>
      </c>
      <c r="HJ160" s="22">
        <f t="shared" si="190"/>
        <v>0.15810113325693689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4.9658410716801891E-14</v>
      </c>
      <c r="P161" s="13">
        <f t="shared" si="141"/>
        <v>8.0934058173791862E-13</v>
      </c>
      <c r="Q161" s="20">
        <f t="shared" si="162"/>
        <v>1.4960899118586383E-12</v>
      </c>
      <c r="R161" s="59">
        <f t="shared" si="109"/>
        <v>293.33333333333479</v>
      </c>
      <c r="S161" s="59">
        <f ca="1">AVERAGE(OFFSET($R$3,0,0,'Données projet'!$E$9+1,1))-AVERAGE(OFFSET($H$3,0,0,'Données projet'!$E$9+1,1))</f>
        <v>248.50221719467663</v>
      </c>
      <c r="T161" s="59">
        <f t="shared" si="142"/>
        <v>366.09064580347183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0.62579703676390153</v>
      </c>
      <c r="AA161" s="21">
        <f>EXP(-LN(2)/25)*AA160+(1-EXP(-LN(2)/25))/(LN(2)/25)*Calculateur!V161*Calculateur!X161*VLOOKUP('Données projet'!$B$9,Paramètres!$A$1:$I$89,3,0)*0.475*44/12</f>
        <v>0.69215069700291298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1.3179477337668146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263.22346936777603</v>
      </c>
      <c r="AO161" s="59">
        <f t="shared" si="144"/>
        <v>217.14714468707939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0.20923499508997859</v>
      </c>
      <c r="AW161" s="21">
        <f>EXP(-LN(2)/2)*AW160+(1-EXP(-LN(2)/2))/(LN(2)/2)*AQ161*AT161*VLOOKUP('Données projet'!$B$10,Paramètres!$A$1:$I$89,3,0)*0.475*44/12</f>
        <v>9.6769166278412577E-19</v>
      </c>
      <c r="AX161" s="21">
        <f t="shared" si="166"/>
        <v>0.20923499508997859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4.4337866711430253E-14</v>
      </c>
      <c r="BF161" s="13">
        <f t="shared" si="167"/>
        <v>7.3222115536967035E-13</v>
      </c>
      <c r="BG161" s="20">
        <f t="shared" si="168"/>
        <v>1.3525069634579169E-12</v>
      </c>
      <c r="BH161" s="59">
        <f t="shared" si="116"/>
        <v>293.33333333333468</v>
      </c>
      <c r="BI161" s="59">
        <f ca="1">AVERAGE(OFFSET($BH$3,0,0,'Données projet'!$E$11+1,1))-AVERAGE(OFFSET($H$3,0,0,'Données projet'!$E$11+1,1))</f>
        <v>219.22204054948094</v>
      </c>
      <c r="BJ161" s="59">
        <f t="shared" si="146"/>
        <v>222.41711966122034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9.01663419598423E-2</v>
      </c>
      <c r="BR161" s="21">
        <f>EXP(-LN(2)/2)*BR160+(1-EXP(-LN(2)/2))/(LN(2)/2)*BL161*BO161*VLOOKUP('Données projet'!$B$11,Paramètres!$A$1:$I$89,3,0)*0.475*44/12</f>
        <v>1.7727287933663946E-19</v>
      </c>
      <c r="BS161" s="22">
        <f t="shared" si="169"/>
        <v>9.01663419598423E-2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-3.979039320256561E-13</v>
      </c>
      <c r="BZ161" s="13">
        <f>BY161*VLOOKUP('Données projet'!$B$12,Paramètres!$A$1:$I$89,3,0)*VLOOKUP('Données projet'!$B$12,Paramètres!$A$1:$I$89,5,0)</f>
        <v>-3.41401573678013E-13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237.27357081252273</v>
      </c>
      <c r="CE161" s="59">
        <f t="shared" si="148"/>
        <v>68.768479693848576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-3.4106051316484809E-13</v>
      </c>
      <c r="CU161" s="17">
        <f>CT161*VLOOKUP('Données projet'!$B$13,Paramètres!$A$1:$I$89,3,0)*VLOOKUP('Données projet'!$B$13,Paramètres!$A$1:$I$89,5,0)</f>
        <v>-1.9065282685915009E-13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474.03051418249999</v>
      </c>
      <c r="CZ161" s="59">
        <f t="shared" si="150"/>
        <v>649.52271992719091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0.43320948194970682</v>
      </c>
      <c r="DG161" s="21">
        <f>EXP(-LN(2)/25)*DG160+(1-EXP(-LN(2)/25))/(LN(2)/25)*Calculateur!DB161*Calculateur!DD161*VLOOKUP('Données projet'!$B$13,Paramètres!$A$1:$I$89,3,0)*0.475*44/12</f>
        <v>0.69569266408771857</v>
      </c>
      <c r="DH161" s="21">
        <f>EXP(-LN(2)/2)*DH160+(1-EXP(-LN(2)/2))/(LN(2)/2)*DB161*DE161*VLOOKUP('Données projet'!$B$13,Paramètres!$A$1:$I$89,3,0)*0.475*44/12</f>
        <v>6.3424027594981209E-19</v>
      </c>
      <c r="DI161" s="22">
        <f t="shared" si="175"/>
        <v>1.1289021460374253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-5.6843418860808015E-14</v>
      </c>
      <c r="DP161" s="17">
        <f>DO161*VLOOKUP('Données projet'!$B$14,Paramètres!$A$1:$I$89,3,0)*VLOOKUP('Données projet'!$B$14,Paramètres!$A$1:$I$89,5,0)</f>
        <v>-3.1036506698001178E-14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164.0740581424559</v>
      </c>
      <c r="DU161" s="59">
        <f t="shared" si="152"/>
        <v>280.99861170359793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0.52360783808026123</v>
      </c>
      <c r="EB161" s="21">
        <f>EXP(-LN(2)/25)*EB160+(1-EXP(-LN(2)/25))/(LN(2)/25)*Calculateur!DW161*Calculateur!DY161*VLOOKUP('Données projet'!$B$14,Paramètres!$A$1:$I$89,3,0)*0.475*44/12</f>
        <v>0.7446811365897168</v>
      </c>
      <c r="EC161" s="21">
        <f>EXP(-LN(2)/2)*EC160+(1-EXP(-LN(2)/2))/(LN(2)/2)*DW161*DZ161*VLOOKUP('Données projet'!$B$14,Paramètres!$A$1:$I$89,3,0)*0.475*44/12</f>
        <v>8.2283969444366823E-19</v>
      </c>
      <c r="ED161" s="22">
        <f t="shared" si="178"/>
        <v>1.2682889746699781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1.1368683772161603E-13</v>
      </c>
      <c r="EK161" s="17">
        <f>EJ161*VLOOKUP('Données projet'!$B$15,Paramètres!$A$1:$I$89,3,0)*VLOOKUP('Données projet'!$B$15,Paramètres!$A$1:$I$89,5,0)</f>
        <v>5.4683368944097308E-14</v>
      </c>
      <c r="EL161" s="13">
        <f t="shared" si="179"/>
        <v>8.8129432816788268E-13</v>
      </c>
      <c r="EM161" s="20">
        <f t="shared" si="180"/>
        <v>1.6301611558033651E-12</v>
      </c>
      <c r="EN161" s="59">
        <f t="shared" si="128"/>
        <v>293.33333333333496</v>
      </c>
      <c r="EO161" s="59">
        <f ca="1">AVERAGE(OFFSET($EN$3,0,0,'Données projet'!$E$15+1,1))-AVERAGE(OFFSET($H$3,0,0,'Données projet'!$E$15+1,1))</f>
        <v>312.1172301514103</v>
      </c>
      <c r="EP161" s="59">
        <f t="shared" si="154"/>
        <v>369.85500533493212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0.21419885700706592</v>
      </c>
      <c r="EW161" s="21">
        <f>EXP(-LN(2)/25)*EW160+(1-EXP(-LN(2)/25))/(LN(2)/25)*Calculateur!ER161*Calculateur!ET161*VLOOKUP('Données projet'!$B$15,Paramètres!$A$1:$I$89,3,0)*0.475*44/12</f>
        <v>0.43247457045380594</v>
      </c>
      <c r="EX161" s="21">
        <f>EXP(-LN(2)/2)*EX160+(1-EXP(-LN(2)/2))/(LN(2)/2)*ER161*EU161*VLOOKUP('Données projet'!$B$15,Paramètres!$A$1:$I$89,3,0)*0.475*44/12</f>
        <v>1.717190500435469E-18</v>
      </c>
      <c r="EY161" s="22">
        <f t="shared" si="181"/>
        <v>0.64667342746087186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-7.9808160080574461E-14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87.187251664304199</v>
      </c>
      <c r="FK161" s="59">
        <f t="shared" si="156"/>
        <v>148.84938257884147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0.23187761336523538</v>
      </c>
      <c r="FS161" s="21">
        <f>EXP(-LN(2)/2)*FS160+(1-EXP(-LN(2)/2))/(LN(2)/2)*FM161*FP161*VLOOKUP('Données projet'!$B$16,Paramètres!$A$1:$I$89,3,0)*0.475*44/12</f>
        <v>3.2981024903103949E-19</v>
      </c>
      <c r="FT161" s="22">
        <f t="shared" si="184"/>
        <v>0.23187761336523538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-1.1368683772161603E-13</v>
      </c>
      <c r="GA161" s="17">
        <f>FZ161*VLOOKUP('Données projet'!$B$17,Paramètres!$A$1:$I$89,3,0)*VLOOKUP('Données projet'!$B$17,Paramètres!$A$1:$I$89,5,0)</f>
        <v>-6.7984728957526396E-14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282.94722676586207</v>
      </c>
      <c r="GF161" s="59">
        <f t="shared" si="158"/>
        <v>310.63647941571298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0.30819141735086986</v>
      </c>
      <c r="GN161" s="21">
        <f>EXP(-LN(2)/2)*GN160+(1-EXP(-LN(2)/2))/(LN(2)/2)*GH161*GK161*VLOOKUP('Données projet'!$B$17,Paramètres!$A$1:$I$89,3,0)*0.475*44/12</f>
        <v>1.3898513957229377E-18</v>
      </c>
      <c r="GO161" s="21">
        <f t="shared" si="187"/>
        <v>0.30819141735086986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-1.1368683772161603E-13</v>
      </c>
      <c r="GV161" s="17">
        <f>GU161*VLOOKUP('Données projet'!$B$18,Paramètres!$A$1:$I$89,3,0)*VLOOKUP('Données projet'!$B$18,Paramètres!$A$1:$I$89,5,0)</f>
        <v>-6.7984728957526396E-14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255.54398581450459</v>
      </c>
      <c r="HA161" s="59">
        <f t="shared" si="160"/>
        <v>276.52622328061204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</v>
      </c>
      <c r="HH161" s="21">
        <f>EXP(-LN(2)/25)*HH160+(1-EXP(-LN(2)/25))/(LN(2)/25)*Calculateur!HC161*Calculateur!HE161*VLOOKUP('Données projet'!$B$18,Paramètres!$A$1:$I$89,3,0)*0.475*44/12</f>
        <v>0.1537778494538487</v>
      </c>
      <c r="HI161" s="21">
        <f>EXP(-LN(2)/2)*HI160+(1-EXP(-LN(2)/2))/(LN(2)/2)*HC161*HF161*VLOOKUP('Données projet'!$B$18,Paramètres!$A$1:$I$89,3,0)*0.475*44/12</f>
        <v>8.0594623901764231E-19</v>
      </c>
      <c r="HJ161" s="22">
        <f t="shared" si="190"/>
        <v>0.1537778494538487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4.9658410716801891E-14</v>
      </c>
      <c r="P162" s="13">
        <f t="shared" si="141"/>
        <v>8.0934058173791862E-13</v>
      </c>
      <c r="Q162" s="20">
        <f t="shared" si="162"/>
        <v>1.4960899118586383E-12</v>
      </c>
      <c r="R162" s="59">
        <f t="shared" si="109"/>
        <v>293.33333333333479</v>
      </c>
      <c r="S162" s="59">
        <f ca="1">AVERAGE(OFFSET($R$3,0,0,'Données projet'!$E$9+1,1))-AVERAGE(OFFSET($H$3,0,0,'Données projet'!$E$9+1,1))</f>
        <v>248.50221719467663</v>
      </c>
      <c r="T162" s="59">
        <f t="shared" si="142"/>
        <v>366.09064580347183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0.6135255385714643</v>
      </c>
      <c r="AA162" s="21">
        <f>EXP(-LN(2)/25)*AA161+(1-EXP(-LN(2)/25))/(LN(2)/25)*Calculateur!V162*Calculateur!X162*VLOOKUP('Données projet'!$B$9,Paramètres!$A$1:$I$89,3,0)*0.475*44/12</f>
        <v>0.67322379979474511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1.2867493383662094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263.22346936777603</v>
      </c>
      <c r="AO162" s="59">
        <f t="shared" si="144"/>
        <v>217.14714468707939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0.20351345314605293</v>
      </c>
      <c r="AW162" s="21">
        <f>EXP(-LN(2)/2)*AW161+(1-EXP(-LN(2)/2))/(LN(2)/2)*AQ162*AT162*VLOOKUP('Données projet'!$B$10,Paramètres!$A$1:$I$89,3,0)*0.475*44/12</f>
        <v>6.8426133685234116E-19</v>
      </c>
      <c r="AX162" s="21">
        <f t="shared" si="166"/>
        <v>0.20351345314605293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4.4337866711430253E-14</v>
      </c>
      <c r="BF162" s="13">
        <f t="shared" si="167"/>
        <v>7.3222115536967035E-13</v>
      </c>
      <c r="BG162" s="20">
        <f t="shared" si="168"/>
        <v>1.3525069634579169E-12</v>
      </c>
      <c r="BH162" s="59">
        <f t="shared" si="116"/>
        <v>293.33333333333468</v>
      </c>
      <c r="BI162" s="59">
        <f ca="1">AVERAGE(OFFSET($BH$3,0,0,'Données projet'!$E$11+1,1))-AVERAGE(OFFSET($H$3,0,0,'Données projet'!$E$11+1,1))</f>
        <v>219.22204054948094</v>
      </c>
      <c r="BJ162" s="59">
        <f t="shared" si="146"/>
        <v>222.41711966122034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8.7700738597308564E-2</v>
      </c>
      <c r="BR162" s="21">
        <f>EXP(-LN(2)/2)*BR161+(1-EXP(-LN(2)/2))/(LN(2)/2)*BL162*BO162*VLOOKUP('Données projet'!$B$11,Paramètres!$A$1:$I$89,3,0)*0.475*44/12</f>
        <v>1.2535085509940236E-19</v>
      </c>
      <c r="BS162" s="22">
        <f t="shared" si="169"/>
        <v>8.7700738597308564E-2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-3.979039320256561E-13</v>
      </c>
      <c r="BZ162" s="13">
        <f>BY162*VLOOKUP('Données projet'!$B$12,Paramètres!$A$1:$I$89,3,0)*VLOOKUP('Données projet'!$B$12,Paramètres!$A$1:$I$89,5,0)</f>
        <v>-3.41401573678013E-13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237.27357081252273</v>
      </c>
      <c r="CE162" s="59">
        <f t="shared" si="148"/>
        <v>68.768479693848576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-3.4106051316484809E-13</v>
      </c>
      <c r="CU162" s="17">
        <f>CT162*VLOOKUP('Données projet'!$B$13,Paramètres!$A$1:$I$89,3,0)*VLOOKUP('Données projet'!$B$13,Paramètres!$A$1:$I$89,5,0)</f>
        <v>-1.9065282685915009E-13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474.03051418249999</v>
      </c>
      <c r="CZ162" s="59">
        <f t="shared" si="150"/>
        <v>649.52271992719091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0.42471450824036633</v>
      </c>
      <c r="DG162" s="21">
        <f>EXP(-LN(2)/25)*DG161+(1-EXP(-LN(2)/25))/(LN(2)/25)*Calculateur!DB162*Calculateur!DD162*VLOOKUP('Données projet'!$B$13,Paramètres!$A$1:$I$89,3,0)*0.475*44/12</f>
        <v>0.67666891160335274</v>
      </c>
      <c r="DH162" s="21">
        <f>EXP(-LN(2)/2)*DH161+(1-EXP(-LN(2)/2))/(LN(2)/2)*DB162*DE162*VLOOKUP('Données projet'!$B$13,Paramètres!$A$1:$I$89,3,0)*0.475*44/12</f>
        <v>4.4847560002573929E-19</v>
      </c>
      <c r="DI162" s="22">
        <f t="shared" si="175"/>
        <v>1.1013834198437191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-5.6843418860808015E-14</v>
      </c>
      <c r="DP162" s="17">
        <f>DO162*VLOOKUP('Données projet'!$B$14,Paramètres!$A$1:$I$89,3,0)*VLOOKUP('Données projet'!$B$14,Paramètres!$A$1:$I$89,5,0)</f>
        <v>-3.1036506698001178E-14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164.0740581424559</v>
      </c>
      <c r="DU162" s="59">
        <f t="shared" si="152"/>
        <v>280.99861170359793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0.51334020774475342</v>
      </c>
      <c r="EB162" s="21">
        <f>EXP(-LN(2)/25)*EB161+(1-EXP(-LN(2)/25))/(LN(2)/25)*Calculateur!DW162*Calculateur!DY162*VLOOKUP('Données projet'!$B$14,Paramètres!$A$1:$I$89,3,0)*0.475*44/12</f>
        <v>0.72431779174859201</v>
      </c>
      <c r="EC162" s="21">
        <f>EXP(-LN(2)/2)*EC161+(1-EXP(-LN(2)/2))/(LN(2)/2)*DW162*DZ162*VLOOKUP('Données projet'!$B$14,Paramètres!$A$1:$I$89,3,0)*0.475*44/12</f>
        <v>5.8183552777058453E-19</v>
      </c>
      <c r="ED162" s="22">
        <f t="shared" si="178"/>
        <v>1.2376579994933454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1.1368683772161603E-13</v>
      </c>
      <c r="EK162" s="17">
        <f>EJ162*VLOOKUP('Données projet'!$B$15,Paramètres!$A$1:$I$89,3,0)*VLOOKUP('Données projet'!$B$15,Paramètres!$A$1:$I$89,5,0)</f>
        <v>5.4683368944097308E-14</v>
      </c>
      <c r="EL162" s="13">
        <f t="shared" si="179"/>
        <v>8.8129432816788268E-13</v>
      </c>
      <c r="EM162" s="20">
        <f t="shared" si="180"/>
        <v>1.6301611558033651E-12</v>
      </c>
      <c r="EN162" s="59">
        <f t="shared" si="128"/>
        <v>293.33333333333496</v>
      </c>
      <c r="EO162" s="59">
        <f ca="1">AVERAGE(OFFSET($EN$3,0,0,'Données projet'!$E$15+1,1))-AVERAGE(OFFSET($H$3,0,0,'Données projet'!$E$15+1,1))</f>
        <v>312.1172301514103</v>
      </c>
      <c r="EP162" s="59">
        <f t="shared" si="154"/>
        <v>369.85500533493212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0.20999854806955967</v>
      </c>
      <c r="EW162" s="21">
        <f>EXP(-LN(2)/25)*EW161+(1-EXP(-LN(2)/25))/(LN(2)/25)*Calculateur!ER162*Calculateur!ET162*VLOOKUP('Données projet'!$B$15,Paramètres!$A$1:$I$89,3,0)*0.475*44/12</f>
        <v>0.42064853058189738</v>
      </c>
      <c r="EX162" s="21">
        <f>EXP(-LN(2)/2)*EX161+(1-EXP(-LN(2)/2))/(LN(2)/2)*ER162*EU162*VLOOKUP('Données projet'!$B$15,Paramètres!$A$1:$I$89,3,0)*0.475*44/12</f>
        <v>1.2142370474470413E-18</v>
      </c>
      <c r="EY162" s="22">
        <f t="shared" si="181"/>
        <v>0.63064707865145708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-7.9808160080574461E-14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87.187251664304199</v>
      </c>
      <c r="FK162" s="59">
        <f t="shared" si="156"/>
        <v>148.84938257884147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0.2255369078338493</v>
      </c>
      <c r="FS162" s="21">
        <f>EXP(-LN(2)/2)*FS161+(1-EXP(-LN(2)/2))/(LN(2)/2)*FM162*FP162*VLOOKUP('Données projet'!$B$16,Paramètres!$A$1:$I$89,3,0)*0.475*44/12</f>
        <v>2.3321106359467198E-19</v>
      </c>
      <c r="FT162" s="22">
        <f t="shared" si="184"/>
        <v>0.2255369078338493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-1.1368683772161603E-13</v>
      </c>
      <c r="GA162" s="17">
        <f>FZ162*VLOOKUP('Données projet'!$B$17,Paramètres!$A$1:$I$89,3,0)*VLOOKUP('Données projet'!$B$17,Paramètres!$A$1:$I$89,5,0)</f>
        <v>-6.7984728957526396E-14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282.94722676586207</v>
      </c>
      <c r="GF162" s="59">
        <f t="shared" si="158"/>
        <v>310.63647941571298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0.29976390683632809</v>
      </c>
      <c r="GN162" s="21">
        <f>EXP(-LN(2)/2)*GN161+(1-EXP(-LN(2)/2))/(LN(2)/2)*GH162*GK162*VLOOKUP('Données projet'!$B$17,Paramètres!$A$1:$I$89,3,0)*0.475*44/12</f>
        <v>9.8277334675727696E-19</v>
      </c>
      <c r="GO162" s="21">
        <f t="shared" si="187"/>
        <v>0.29976390683632809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-1.1368683772161603E-13</v>
      </c>
      <c r="GV162" s="17">
        <f>GU162*VLOOKUP('Données projet'!$B$18,Paramètres!$A$1:$I$89,3,0)*VLOOKUP('Données projet'!$B$18,Paramètres!$A$1:$I$89,5,0)</f>
        <v>-6.7984728957526396E-14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255.54398581450459</v>
      </c>
      <c r="HA162" s="59">
        <f t="shared" si="160"/>
        <v>276.52622328061204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</v>
      </c>
      <c r="HH162" s="21">
        <f>EXP(-LN(2)/25)*HH161+(1-EXP(-LN(2)/25))/(LN(2)/25)*Calculateur!HC162*Calculateur!HE162*VLOOKUP('Données projet'!$B$18,Paramètres!$A$1:$I$89,3,0)*0.475*44/12</f>
        <v>0.14957278607370758</v>
      </c>
      <c r="HI162" s="21">
        <f>EXP(-LN(2)/2)*HI161+(1-EXP(-LN(2)/2))/(LN(2)/2)*HC162*HF162*VLOOKUP('Données projet'!$B$18,Paramètres!$A$1:$I$89,3,0)*0.475*44/12</f>
        <v>5.6989005088116893E-19</v>
      </c>
      <c r="HJ162" s="22">
        <f t="shared" si="190"/>
        <v>0.14957278607370758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4.9658410716801891E-14</v>
      </c>
      <c r="P163" s="13">
        <f t="shared" si="141"/>
        <v>8.0934058173791862E-13</v>
      </c>
      <c r="Q163" s="20">
        <f t="shared" si="162"/>
        <v>1.4960899118586383E-12</v>
      </c>
      <c r="R163" s="59">
        <f t="shared" si="109"/>
        <v>293.33333333333479</v>
      </c>
      <c r="S163" s="59">
        <f ca="1">AVERAGE(OFFSET($R$3,0,0,'Données projet'!$E$9+1,1))-AVERAGE(OFFSET($H$3,0,0,'Données projet'!$E$9+1,1))</f>
        <v>248.50221719467663</v>
      </c>
      <c r="T163" s="59">
        <f t="shared" si="142"/>
        <v>366.09064580347183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0.60149467697370584</v>
      </c>
      <c r="AA163" s="21">
        <f>EXP(-LN(2)/25)*AA162+(1-EXP(-LN(2)/25))/(LN(2)/25)*Calculateur!V163*Calculateur!X163*VLOOKUP('Données projet'!$B$9,Paramètres!$A$1:$I$89,3,0)*0.475*44/12</f>
        <v>0.65481445958605689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1.2563091365597627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263.22346936777603</v>
      </c>
      <c r="AO163" s="59">
        <f t="shared" si="144"/>
        <v>217.14714468707939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0.19794836706746674</v>
      </c>
      <c r="AW163" s="21">
        <f>EXP(-LN(2)/2)*AW162+(1-EXP(-LN(2)/2))/(LN(2)/2)*AQ163*AT163*VLOOKUP('Données projet'!$B$10,Paramètres!$A$1:$I$89,3,0)*0.475*44/12</f>
        <v>4.8384583139206288E-19</v>
      </c>
      <c r="AX163" s="21">
        <f t="shared" si="166"/>
        <v>0.19794836706746674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4.4337866711430253E-14</v>
      </c>
      <c r="BF163" s="13">
        <f t="shared" si="167"/>
        <v>7.3222115536967035E-13</v>
      </c>
      <c r="BG163" s="20">
        <f t="shared" si="168"/>
        <v>1.3525069634579169E-12</v>
      </c>
      <c r="BH163" s="59">
        <f t="shared" si="116"/>
        <v>293.33333333333468</v>
      </c>
      <c r="BI163" s="59">
        <f ca="1">AVERAGE(OFFSET($BH$3,0,0,'Données projet'!$E$11+1,1))-AVERAGE(OFFSET($H$3,0,0,'Données projet'!$E$11+1,1))</f>
        <v>219.22204054948094</v>
      </c>
      <c r="BJ163" s="59">
        <f t="shared" si="146"/>
        <v>222.41711966122034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8.5302557288383762E-2</v>
      </c>
      <c r="BR163" s="21">
        <f>EXP(-LN(2)/2)*BR162+(1-EXP(-LN(2)/2))/(LN(2)/2)*BL163*BO163*VLOOKUP('Données projet'!$B$11,Paramètres!$A$1:$I$89,3,0)*0.475*44/12</f>
        <v>8.863643966831973E-20</v>
      </c>
      <c r="BS163" s="22">
        <f t="shared" si="169"/>
        <v>8.5302557288383762E-2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-3.979039320256561E-13</v>
      </c>
      <c r="BZ163" s="13">
        <f>BY163*VLOOKUP('Données projet'!$B$12,Paramètres!$A$1:$I$89,3,0)*VLOOKUP('Données projet'!$B$12,Paramètres!$A$1:$I$89,5,0)</f>
        <v>-3.41401573678013E-13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237.27357081252273</v>
      </c>
      <c r="CE163" s="59">
        <f t="shared" si="148"/>
        <v>68.768479693848576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-3.4106051316484809E-13</v>
      </c>
      <c r="CU163" s="17">
        <f>CT163*VLOOKUP('Données projet'!$B$13,Paramètres!$A$1:$I$89,3,0)*VLOOKUP('Données projet'!$B$13,Paramètres!$A$1:$I$89,5,0)</f>
        <v>-1.9065282685915009E-13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474.03051418249999</v>
      </c>
      <c r="CZ163" s="59">
        <f t="shared" si="150"/>
        <v>649.52271992719091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0.41638611578404366</v>
      </c>
      <c r="DG163" s="21">
        <f>EXP(-LN(2)/25)*DG162+(1-EXP(-LN(2)/25))/(LN(2)/25)*Calculateur!DB163*Calculateur!DD163*VLOOKUP('Données projet'!$B$13,Paramètres!$A$1:$I$89,3,0)*0.475*44/12</f>
        <v>0.65816536463108755</v>
      </c>
      <c r="DH163" s="21">
        <f>EXP(-LN(2)/2)*DH162+(1-EXP(-LN(2)/2))/(LN(2)/2)*DB163*DE163*VLOOKUP('Données projet'!$B$13,Paramètres!$A$1:$I$89,3,0)*0.475*44/12</f>
        <v>3.1712013797490604E-19</v>
      </c>
      <c r="DI163" s="22">
        <f t="shared" si="175"/>
        <v>1.0745514804151313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-5.6843418860808015E-14</v>
      </c>
      <c r="DP163" s="17">
        <f>DO163*VLOOKUP('Données projet'!$B$14,Paramètres!$A$1:$I$89,3,0)*VLOOKUP('Données projet'!$B$14,Paramètres!$A$1:$I$89,5,0)</f>
        <v>-3.1036506698001178E-14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164.0740581424559</v>
      </c>
      <c r="DU163" s="59">
        <f t="shared" si="152"/>
        <v>280.99861170359793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0.50327391937748878</v>
      </c>
      <c r="EB163" s="21">
        <f>EXP(-LN(2)/25)*EB162+(1-EXP(-LN(2)/25))/(LN(2)/25)*Calculateur!DW163*Calculateur!DY163*VLOOKUP('Données projet'!$B$14,Paramètres!$A$1:$I$89,3,0)*0.475*44/12</f>
        <v>0.70451128364300952</v>
      </c>
      <c r="EC163" s="21">
        <f>EXP(-LN(2)/2)*EC162+(1-EXP(-LN(2)/2))/(LN(2)/2)*DW163*DZ163*VLOOKUP('Données projet'!$B$14,Paramètres!$A$1:$I$89,3,0)*0.475*44/12</f>
        <v>4.1141984722183411E-19</v>
      </c>
      <c r="ED163" s="22">
        <f t="shared" si="178"/>
        <v>1.2077852030204983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1.1368683772161603E-13</v>
      </c>
      <c r="EK163" s="17">
        <f>EJ163*VLOOKUP('Données projet'!$B$15,Paramètres!$A$1:$I$89,3,0)*VLOOKUP('Données projet'!$B$15,Paramètres!$A$1:$I$89,5,0)</f>
        <v>5.4683368944097308E-14</v>
      </c>
      <c r="EL163" s="13">
        <f t="shared" si="179"/>
        <v>8.8129432816788268E-13</v>
      </c>
      <c r="EM163" s="20">
        <f t="shared" si="180"/>
        <v>1.6301611558033651E-12</v>
      </c>
      <c r="EN163" s="59">
        <f t="shared" si="128"/>
        <v>293.33333333333496</v>
      </c>
      <c r="EO163" s="59">
        <f ca="1">AVERAGE(OFFSET($EN$3,0,0,'Données projet'!$E$15+1,1))-AVERAGE(OFFSET($H$3,0,0,'Données projet'!$E$15+1,1))</f>
        <v>312.1172301514103</v>
      </c>
      <c r="EP163" s="59">
        <f t="shared" si="154"/>
        <v>369.85500533493212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0.20588060462838245</v>
      </c>
      <c r="EW163" s="21">
        <f>EXP(-LN(2)/25)*EW162+(1-EXP(-LN(2)/25))/(LN(2)/25)*Calculateur!ER163*Calculateur!ET163*VLOOKUP('Données projet'!$B$15,Paramètres!$A$1:$I$89,3,0)*0.475*44/12</f>
        <v>0.40914587439219058</v>
      </c>
      <c r="EX163" s="21">
        <f>EXP(-LN(2)/2)*EX162+(1-EXP(-LN(2)/2))/(LN(2)/2)*ER163*EU163*VLOOKUP('Données projet'!$B$15,Paramètres!$A$1:$I$89,3,0)*0.475*44/12</f>
        <v>8.5859525021773457E-19</v>
      </c>
      <c r="EY163" s="22">
        <f t="shared" si="181"/>
        <v>0.61502647902057306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-7.9808160080574461E-14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87.187251664304199</v>
      </c>
      <c r="FK163" s="59">
        <f t="shared" si="156"/>
        <v>148.84938257884147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0.21936958922866218</v>
      </c>
      <c r="FS163" s="21">
        <f>EXP(-LN(2)/2)*FS162+(1-EXP(-LN(2)/2))/(LN(2)/2)*FM163*FP163*VLOOKUP('Données projet'!$B$16,Paramètres!$A$1:$I$89,3,0)*0.475*44/12</f>
        <v>1.6490512451551974E-19</v>
      </c>
      <c r="FT163" s="22">
        <f t="shared" si="184"/>
        <v>0.21936958922866218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-1.1368683772161603E-13</v>
      </c>
      <c r="GA163" s="17">
        <f>FZ163*VLOOKUP('Données projet'!$B$17,Paramètres!$A$1:$I$89,3,0)*VLOOKUP('Données projet'!$B$17,Paramètres!$A$1:$I$89,5,0)</f>
        <v>-6.7984728957526396E-14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282.94722676586207</v>
      </c>
      <c r="GF163" s="59">
        <f t="shared" si="158"/>
        <v>310.63647941571298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0.29156684703998997</v>
      </c>
      <c r="GN163" s="21">
        <f>EXP(-LN(2)/2)*GN162+(1-EXP(-LN(2)/2))/(LN(2)/2)*GH163*GK163*VLOOKUP('Données projet'!$B$17,Paramètres!$A$1:$I$89,3,0)*0.475*44/12</f>
        <v>6.9492569786146885E-19</v>
      </c>
      <c r="GO163" s="21">
        <f t="shared" si="187"/>
        <v>0.29156684703998997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-1.1368683772161603E-13</v>
      </c>
      <c r="GV163" s="17">
        <f>GU163*VLOOKUP('Données projet'!$B$18,Paramètres!$A$1:$I$89,3,0)*VLOOKUP('Données projet'!$B$18,Paramètres!$A$1:$I$89,5,0)</f>
        <v>-6.7984728957526396E-14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255.54398581450459</v>
      </c>
      <c r="HA163" s="59">
        <f t="shared" si="160"/>
        <v>276.52622328061204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</v>
      </c>
      <c r="HH163" s="21">
        <f>EXP(-LN(2)/25)*HH162+(1-EXP(-LN(2)/25))/(LN(2)/25)*Calculateur!HC163*Calculateur!HE163*VLOOKUP('Données projet'!$B$18,Paramètres!$A$1:$I$89,3,0)*0.475*44/12</f>
        <v>0.14548271037283109</v>
      </c>
      <c r="HI163" s="21">
        <f>EXP(-LN(2)/2)*HI162+(1-EXP(-LN(2)/2))/(LN(2)/2)*HC163*HF163*VLOOKUP('Données projet'!$B$18,Paramètres!$A$1:$I$89,3,0)*0.475*44/12</f>
        <v>4.0297311950882116E-19</v>
      </c>
      <c r="HJ163" s="22">
        <f t="shared" si="190"/>
        <v>0.14548271037283109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4.9658410716801891E-14</v>
      </c>
      <c r="P164" s="13">
        <f t="shared" si="141"/>
        <v>8.0934058173791862E-13</v>
      </c>
      <c r="Q164" s="20">
        <f t="shared" si="162"/>
        <v>1.4960899118586383E-12</v>
      </c>
      <c r="R164" s="59">
        <f t="shared" si="109"/>
        <v>293.33333333333479</v>
      </c>
      <c r="S164" s="59">
        <f ca="1">AVERAGE(OFFSET($R$3,0,0,'Données projet'!$E$9+1,1))-AVERAGE(OFFSET($H$3,0,0,'Données projet'!$E$9+1,1))</f>
        <v>248.50221719467663</v>
      </c>
      <c r="T164" s="59">
        <f t="shared" si="142"/>
        <v>366.09064580347183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0.58969973323377844</v>
      </c>
      <c r="AA164" s="21">
        <f>EXP(-LN(2)/25)*AA163+(1-EXP(-LN(2)/25))/(LN(2)/25)*Calculateur!V164*Calculateur!X164*VLOOKUP('Données projet'!$B$9,Paramètres!$A$1:$I$89,3,0)*0.475*44/12</f>
        <v>0.63690852375348028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1.2266082569872587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263.22346936777603</v>
      </c>
      <c r="AO164" s="59">
        <f t="shared" si="144"/>
        <v>217.14714468707939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0.19253545856035464</v>
      </c>
      <c r="AW164" s="21">
        <f>EXP(-LN(2)/2)*AW163+(1-EXP(-LN(2)/2))/(LN(2)/2)*AQ164*AT164*VLOOKUP('Données projet'!$B$10,Paramètres!$A$1:$I$89,3,0)*0.475*44/12</f>
        <v>3.4213066842617058E-19</v>
      </c>
      <c r="AX164" s="21">
        <f t="shared" si="166"/>
        <v>0.19253545856035464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4.4337866711430253E-14</v>
      </c>
      <c r="BF164" s="13">
        <f t="shared" si="167"/>
        <v>7.3222115536967035E-13</v>
      </c>
      <c r="BG164" s="20">
        <f t="shared" si="168"/>
        <v>1.3525069634579169E-12</v>
      </c>
      <c r="BH164" s="59">
        <f t="shared" si="116"/>
        <v>293.33333333333468</v>
      </c>
      <c r="BI164" s="59">
        <f ca="1">AVERAGE(OFFSET($BH$3,0,0,'Données projet'!$E$11+1,1))-AVERAGE(OFFSET($H$3,0,0,'Données projet'!$E$11+1,1))</f>
        <v>219.22204054948094</v>
      </c>
      <c r="BJ164" s="59">
        <f t="shared" si="146"/>
        <v>222.41711966122034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8.2969954373466381E-2</v>
      </c>
      <c r="BR164" s="21">
        <f>EXP(-LN(2)/2)*BR163+(1-EXP(-LN(2)/2))/(LN(2)/2)*BL164*BO164*VLOOKUP('Données projet'!$B$11,Paramètres!$A$1:$I$89,3,0)*0.475*44/12</f>
        <v>6.267542754970118E-20</v>
      </c>
      <c r="BS164" s="22">
        <f t="shared" si="169"/>
        <v>8.2969954373466381E-2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-3.979039320256561E-13</v>
      </c>
      <c r="BZ164" s="13">
        <f>BY164*VLOOKUP('Données projet'!$B$12,Paramètres!$A$1:$I$89,3,0)*VLOOKUP('Données projet'!$B$12,Paramètres!$A$1:$I$89,5,0)</f>
        <v>-3.41401573678013E-13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237.27357081252273</v>
      </c>
      <c r="CE164" s="59">
        <f t="shared" si="148"/>
        <v>68.768479693848576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-3.4106051316484809E-13</v>
      </c>
      <c r="CU164" s="17">
        <f>CT164*VLOOKUP('Données projet'!$B$13,Paramètres!$A$1:$I$89,3,0)*VLOOKUP('Données projet'!$B$13,Paramètres!$A$1:$I$89,5,0)</f>
        <v>-1.9065282685915009E-13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474.03051418249999</v>
      </c>
      <c r="CZ164" s="59">
        <f t="shared" si="150"/>
        <v>649.52271992719091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0.40822103802397169</v>
      </c>
      <c r="DG164" s="21">
        <f>EXP(-LN(2)/25)*DG163+(1-EXP(-LN(2)/25))/(LN(2)/25)*Calculateur!DB164*Calculateur!DD164*VLOOKUP('Données projet'!$B$13,Paramètres!$A$1:$I$89,3,0)*0.475*44/12</f>
        <v>0.64016779812383817</v>
      </c>
      <c r="DH164" s="21">
        <f>EXP(-LN(2)/2)*DH163+(1-EXP(-LN(2)/2))/(LN(2)/2)*DB164*DE164*VLOOKUP('Données projet'!$B$13,Paramètres!$A$1:$I$89,3,0)*0.475*44/12</f>
        <v>2.2423780001286965E-19</v>
      </c>
      <c r="DI164" s="22">
        <f t="shared" si="175"/>
        <v>1.0483888361478098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-5.6843418860808015E-14</v>
      </c>
      <c r="DP164" s="17">
        <f>DO164*VLOOKUP('Données projet'!$B$14,Paramètres!$A$1:$I$89,3,0)*VLOOKUP('Données projet'!$B$14,Paramètres!$A$1:$I$89,5,0)</f>
        <v>-3.1036506698001178E-14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164.0740581424559</v>
      </c>
      <c r="DU164" s="59">
        <f t="shared" si="152"/>
        <v>280.99861170359793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0.49340502478527659</v>
      </c>
      <c r="EB164" s="21">
        <f>EXP(-LN(2)/25)*EB163+(1-EXP(-LN(2)/25))/(LN(2)/25)*Calculateur!DW164*Calculateur!DY164*VLOOKUP('Données projet'!$B$14,Paramètres!$A$1:$I$89,3,0)*0.475*44/12</f>
        <v>0.6852463855431532</v>
      </c>
      <c r="EC164" s="21">
        <f>EXP(-LN(2)/2)*EC163+(1-EXP(-LN(2)/2))/(LN(2)/2)*DW164*DZ164*VLOOKUP('Données projet'!$B$14,Paramètres!$A$1:$I$89,3,0)*0.475*44/12</f>
        <v>2.9091776388529226E-19</v>
      </c>
      <c r="ED164" s="22">
        <f t="shared" si="178"/>
        <v>1.1786514103284298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1.1368683772161603E-13</v>
      </c>
      <c r="EK164" s="17">
        <f>EJ164*VLOOKUP('Données projet'!$B$15,Paramètres!$A$1:$I$89,3,0)*VLOOKUP('Données projet'!$B$15,Paramètres!$A$1:$I$89,5,0)</f>
        <v>5.4683368944097308E-14</v>
      </c>
      <c r="EL164" s="13">
        <f t="shared" si="179"/>
        <v>8.8129432816788268E-13</v>
      </c>
      <c r="EM164" s="20">
        <f t="shared" si="180"/>
        <v>1.6301611558033651E-12</v>
      </c>
      <c r="EN164" s="59">
        <f t="shared" si="128"/>
        <v>293.33333333333496</v>
      </c>
      <c r="EO164" s="59">
        <f ca="1">AVERAGE(OFFSET($EN$3,0,0,'Données projet'!$E$15+1,1))-AVERAGE(OFFSET($H$3,0,0,'Données projet'!$E$15+1,1))</f>
        <v>312.1172301514103</v>
      </c>
      <c r="EP164" s="59">
        <f t="shared" si="154"/>
        <v>369.85500533493212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0.20184341154638921</v>
      </c>
      <c r="EW164" s="21">
        <f>EXP(-LN(2)/25)*EW163+(1-EXP(-LN(2)/25))/(LN(2)/25)*Calculateur!ER164*Calculateur!ET164*VLOOKUP('Données projet'!$B$15,Paramètres!$A$1:$I$89,3,0)*0.475*44/12</f>
        <v>0.39795775894088969</v>
      </c>
      <c r="EX164" s="21">
        <f>EXP(-LN(2)/2)*EX163+(1-EXP(-LN(2)/2))/(LN(2)/2)*ER164*EU164*VLOOKUP('Données projet'!$B$15,Paramètres!$A$1:$I$89,3,0)*0.475*44/12</f>
        <v>6.0711852372352075E-19</v>
      </c>
      <c r="EY164" s="22">
        <f t="shared" si="181"/>
        <v>0.59980117048727888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-7.9808160080574461E-14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87.187251664304199</v>
      </c>
      <c r="FK164" s="59">
        <f t="shared" si="156"/>
        <v>148.84938257884147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0.21337091627505908</v>
      </c>
      <c r="FS164" s="21">
        <f>EXP(-LN(2)/2)*FS163+(1-EXP(-LN(2)/2))/(LN(2)/2)*FM164*FP164*VLOOKUP('Données projet'!$B$16,Paramètres!$A$1:$I$89,3,0)*0.475*44/12</f>
        <v>1.1660553179733599E-19</v>
      </c>
      <c r="FT164" s="22">
        <f t="shared" si="184"/>
        <v>0.21337091627505908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-1.1368683772161603E-13</v>
      </c>
      <c r="GA164" s="17">
        <f>FZ164*VLOOKUP('Données projet'!$B$17,Paramètres!$A$1:$I$89,3,0)*VLOOKUP('Données projet'!$B$17,Paramètres!$A$1:$I$89,5,0)</f>
        <v>-6.7984728957526396E-14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282.94722676586207</v>
      </c>
      <c r="GF164" s="59">
        <f t="shared" si="158"/>
        <v>310.63647941571298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0.28359393627484736</v>
      </c>
      <c r="GN164" s="21">
        <f>EXP(-LN(2)/2)*GN163+(1-EXP(-LN(2)/2))/(LN(2)/2)*GH164*GK164*VLOOKUP('Données projet'!$B$17,Paramètres!$A$1:$I$89,3,0)*0.475*44/12</f>
        <v>4.9138667337863848E-19</v>
      </c>
      <c r="GO164" s="21">
        <f t="shared" si="187"/>
        <v>0.28359393627484736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-1.1368683772161603E-13</v>
      </c>
      <c r="GV164" s="17">
        <f>GU164*VLOOKUP('Données projet'!$B$18,Paramètres!$A$1:$I$89,3,0)*VLOOKUP('Données projet'!$B$18,Paramètres!$A$1:$I$89,5,0)</f>
        <v>-6.7984728957526396E-14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255.54398581450459</v>
      </c>
      <c r="HA164" s="59">
        <f t="shared" si="160"/>
        <v>276.52622328061204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</v>
      </c>
      <c r="HH164" s="21">
        <f>EXP(-LN(2)/25)*HH163+(1-EXP(-LN(2)/25))/(LN(2)/25)*Calculateur!HC164*Calculateur!HE164*VLOOKUP('Données projet'!$B$18,Paramètres!$A$1:$I$89,3,0)*0.475*44/12</f>
        <v>0.1415044780070828</v>
      </c>
      <c r="HI164" s="21">
        <f>EXP(-LN(2)/2)*HI163+(1-EXP(-LN(2)/2))/(LN(2)/2)*HC164*HF164*VLOOKUP('Données projet'!$B$18,Paramètres!$A$1:$I$89,3,0)*0.475*44/12</f>
        <v>2.8494502544058446E-19</v>
      </c>
      <c r="HJ164" s="22">
        <f t="shared" si="190"/>
        <v>0.1415044780070828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4.9658410716801891E-14</v>
      </c>
      <c r="P165" s="13">
        <f t="shared" si="141"/>
        <v>8.0934058173791862E-13</v>
      </c>
      <c r="Q165" s="20">
        <f t="shared" si="162"/>
        <v>1.4960899118586383E-12</v>
      </c>
      <c r="R165" s="59">
        <f t="shared" si="109"/>
        <v>293.33333333333479</v>
      </c>
      <c r="S165" s="59">
        <f ca="1">AVERAGE(OFFSET($R$3,0,0,'Données projet'!$E$9+1,1))-AVERAGE(OFFSET($H$3,0,0,'Données projet'!$E$9+1,1))</f>
        <v>248.50221719467663</v>
      </c>
      <c r="T165" s="59">
        <f t="shared" si="142"/>
        <v>366.09064580347183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0.57813608114638571</v>
      </c>
      <c r="AA165" s="21">
        <f>EXP(-LN(2)/25)*AA164+(1-EXP(-LN(2)/25))/(LN(2)/25)*Calculateur!V165*Calculateur!X165*VLOOKUP('Données projet'!$B$9,Paramètres!$A$1:$I$89,3,0)*0.475*44/12</f>
        <v>0.61949222667787773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1.1976283078242633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263.22346936777603</v>
      </c>
      <c r="AO165" s="59">
        <f t="shared" si="144"/>
        <v>217.14714468707939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0.18727056632102201</v>
      </c>
      <c r="AW165" s="21">
        <f>EXP(-LN(2)/2)*AW164+(1-EXP(-LN(2)/2))/(LN(2)/2)*AQ165*AT165*VLOOKUP('Données projet'!$B$10,Paramètres!$A$1:$I$89,3,0)*0.475*44/12</f>
        <v>2.4192291569603144E-19</v>
      </c>
      <c r="AX165" s="21">
        <f t="shared" si="166"/>
        <v>0.18727056632102201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4.4337866711430253E-14</v>
      </c>
      <c r="BF165" s="13">
        <f t="shared" si="167"/>
        <v>7.3222115536967035E-13</v>
      </c>
      <c r="BG165" s="20">
        <f t="shared" si="168"/>
        <v>1.3525069634579169E-12</v>
      </c>
      <c r="BH165" s="59">
        <f t="shared" si="116"/>
        <v>293.33333333333468</v>
      </c>
      <c r="BI165" s="59">
        <f ca="1">AVERAGE(OFFSET($BH$3,0,0,'Données projet'!$E$11+1,1))-AVERAGE(OFFSET($H$3,0,0,'Données projet'!$E$11+1,1))</f>
        <v>219.22204054948094</v>
      </c>
      <c r="BJ165" s="59">
        <f t="shared" si="146"/>
        <v>222.41711966122034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8.0701136607923676E-2</v>
      </c>
      <c r="BR165" s="21">
        <f>EXP(-LN(2)/2)*BR164+(1-EXP(-LN(2)/2))/(LN(2)/2)*BL165*BO165*VLOOKUP('Données projet'!$B$11,Paramètres!$A$1:$I$89,3,0)*0.475*44/12</f>
        <v>4.4318219834159865E-20</v>
      </c>
      <c r="BS165" s="22">
        <f t="shared" si="169"/>
        <v>8.0701136607923676E-2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-3.979039320256561E-13</v>
      </c>
      <c r="BZ165" s="13">
        <f>BY165*VLOOKUP('Données projet'!$B$12,Paramètres!$A$1:$I$89,3,0)*VLOOKUP('Données projet'!$B$12,Paramètres!$A$1:$I$89,5,0)</f>
        <v>-3.41401573678013E-13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237.27357081252273</v>
      </c>
      <c r="CE165" s="59">
        <f t="shared" si="148"/>
        <v>68.768479693848576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-3.4106051316484809E-13</v>
      </c>
      <c r="CU165" s="17">
        <f>CT165*VLOOKUP('Données projet'!$B$13,Paramètres!$A$1:$I$89,3,0)*VLOOKUP('Données projet'!$B$13,Paramètres!$A$1:$I$89,5,0)</f>
        <v>-1.9065282685915009E-13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474.03051418249999</v>
      </c>
      <c r="CZ165" s="59">
        <f t="shared" si="150"/>
        <v>649.52271992719091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0.40021607245856905</v>
      </c>
      <c r="DG165" s="21">
        <f>EXP(-LN(2)/25)*DG164+(1-EXP(-LN(2)/25))/(LN(2)/25)*Calculateur!DB165*Calculateur!DD165*VLOOKUP('Données projet'!$B$13,Paramètres!$A$1:$I$89,3,0)*0.475*44/12</f>
        <v>0.6226623760191804</v>
      </c>
      <c r="DH165" s="21">
        <f>EXP(-LN(2)/2)*DH164+(1-EXP(-LN(2)/2))/(LN(2)/2)*DB165*DE165*VLOOKUP('Données projet'!$B$13,Paramètres!$A$1:$I$89,3,0)*0.475*44/12</f>
        <v>1.5856006898745302E-19</v>
      </c>
      <c r="DI165" s="22">
        <f t="shared" si="175"/>
        <v>1.0228784484777496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-5.6843418860808015E-14</v>
      </c>
      <c r="DP165" s="17">
        <f>DO165*VLOOKUP('Données projet'!$B$14,Paramètres!$A$1:$I$89,3,0)*VLOOKUP('Données projet'!$B$14,Paramètres!$A$1:$I$89,5,0)</f>
        <v>-3.1036506698001178E-14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164.0740581424559</v>
      </c>
      <c r="DU165" s="59">
        <f t="shared" si="152"/>
        <v>280.99861170359793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0.48372965319658634</v>
      </c>
      <c r="EB165" s="21">
        <f>EXP(-LN(2)/25)*EB164+(1-EXP(-LN(2)/25))/(LN(2)/25)*Calculateur!DW165*Calculateur!DY165*VLOOKUP('Données projet'!$B$14,Paramètres!$A$1:$I$89,3,0)*0.475*44/12</f>
        <v>0.66650828709493437</v>
      </c>
      <c r="EC165" s="21">
        <f>EXP(-LN(2)/2)*EC164+(1-EXP(-LN(2)/2))/(LN(2)/2)*DW165*DZ165*VLOOKUP('Données projet'!$B$14,Paramètres!$A$1:$I$89,3,0)*0.475*44/12</f>
        <v>2.0570992361091706E-19</v>
      </c>
      <c r="ED165" s="22">
        <f t="shared" si="178"/>
        <v>1.1502379402915208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1.1368683772161603E-13</v>
      </c>
      <c r="EK165" s="17">
        <f>EJ165*VLOOKUP('Données projet'!$B$15,Paramètres!$A$1:$I$89,3,0)*VLOOKUP('Données projet'!$B$15,Paramètres!$A$1:$I$89,5,0)</f>
        <v>5.4683368944097308E-14</v>
      </c>
      <c r="EL165" s="13">
        <f t="shared" si="179"/>
        <v>8.8129432816788268E-13</v>
      </c>
      <c r="EM165" s="20">
        <f t="shared" si="180"/>
        <v>1.6301611558033651E-12</v>
      </c>
      <c r="EN165" s="59">
        <f t="shared" si="128"/>
        <v>293.33333333333496</v>
      </c>
      <c r="EO165" s="59">
        <f ca="1">AVERAGE(OFFSET($EN$3,0,0,'Données projet'!$E$15+1,1))-AVERAGE(OFFSET($H$3,0,0,'Données projet'!$E$15+1,1))</f>
        <v>312.1172301514103</v>
      </c>
      <c r="EP165" s="59">
        <f t="shared" si="154"/>
        <v>369.85500533493212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0.19788538535828923</v>
      </c>
      <c r="EW165" s="21">
        <f>EXP(-LN(2)/25)*EW164+(1-EXP(-LN(2)/25))/(LN(2)/25)*Calculateur!ER165*Calculateur!ET165*VLOOKUP('Données projet'!$B$15,Paramètres!$A$1:$I$89,3,0)*0.475*44/12</f>
        <v>0.38707558309496209</v>
      </c>
      <c r="EX165" s="21">
        <f>EXP(-LN(2)/2)*EX164+(1-EXP(-LN(2)/2))/(LN(2)/2)*ER165*EU165*VLOOKUP('Données projet'!$B$15,Paramètres!$A$1:$I$89,3,0)*0.475*44/12</f>
        <v>4.2929762510886738E-19</v>
      </c>
      <c r="EY165" s="22">
        <f t="shared" si="181"/>
        <v>0.5849609684532513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-7.9808160080574461E-14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87.187251664304199</v>
      </c>
      <c r="FK165" s="59">
        <f t="shared" si="156"/>
        <v>148.84938257884147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0.20753627734882876</v>
      </c>
      <c r="FS165" s="21">
        <f>EXP(-LN(2)/2)*FS164+(1-EXP(-LN(2)/2))/(LN(2)/2)*FM165*FP165*VLOOKUP('Données projet'!$B$16,Paramètres!$A$1:$I$89,3,0)*0.475*44/12</f>
        <v>8.2452562257759871E-20</v>
      </c>
      <c r="FT165" s="22">
        <f t="shared" si="184"/>
        <v>0.20753627734882876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-1.1368683772161603E-13</v>
      </c>
      <c r="GA165" s="17">
        <f>FZ165*VLOOKUP('Données projet'!$B$17,Paramètres!$A$1:$I$89,3,0)*VLOOKUP('Données projet'!$B$17,Paramètres!$A$1:$I$89,5,0)</f>
        <v>-6.7984728957526396E-14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282.94722676586207</v>
      </c>
      <c r="GF165" s="59">
        <f t="shared" si="158"/>
        <v>310.63647941571298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0.27583904517385471</v>
      </c>
      <c r="GN165" s="21">
        <f>EXP(-LN(2)/2)*GN164+(1-EXP(-LN(2)/2))/(LN(2)/2)*GH165*GK165*VLOOKUP('Données projet'!$B$17,Paramètres!$A$1:$I$89,3,0)*0.475*44/12</f>
        <v>3.4746284893073443E-19</v>
      </c>
      <c r="GO165" s="21">
        <f t="shared" si="187"/>
        <v>0.27583904517385471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-1.1368683772161603E-13</v>
      </c>
      <c r="GV165" s="17">
        <f>GU165*VLOOKUP('Données projet'!$B$18,Paramètres!$A$1:$I$89,3,0)*VLOOKUP('Données projet'!$B$18,Paramètres!$A$1:$I$89,5,0)</f>
        <v>-6.7984728957526396E-14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255.54398581450459</v>
      </c>
      <c r="HA165" s="59">
        <f t="shared" si="160"/>
        <v>276.52622328061204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</v>
      </c>
      <c r="HH165" s="21">
        <f>EXP(-LN(2)/25)*HH164+(1-EXP(-LN(2)/25))/(LN(2)/25)*Calculateur!HC165*Calculateur!HE165*VLOOKUP('Données projet'!$B$18,Paramètres!$A$1:$I$89,3,0)*0.475*44/12</f>
        <v>0.13763503061458204</v>
      </c>
      <c r="HI165" s="21">
        <f>EXP(-LN(2)/2)*HI164+(1-EXP(-LN(2)/2))/(LN(2)/2)*HC165*HF165*VLOOKUP('Données projet'!$B$18,Paramètres!$A$1:$I$89,3,0)*0.475*44/12</f>
        <v>2.0148655975441058E-19</v>
      </c>
      <c r="HJ165" s="22">
        <f t="shared" si="190"/>
        <v>0.13763503061458204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4.9658410716801891E-14</v>
      </c>
      <c r="P166" s="13">
        <f t="shared" si="141"/>
        <v>8.0934058173791862E-13</v>
      </c>
      <c r="Q166" s="20">
        <f t="shared" si="162"/>
        <v>1.4960899118586383E-12</v>
      </c>
      <c r="R166" s="59">
        <f t="shared" si="109"/>
        <v>293.33333333333479</v>
      </c>
      <c r="S166" s="59">
        <f ca="1">AVERAGE(OFFSET($R$3,0,0,'Données projet'!$E$9+1,1))-AVERAGE(OFFSET($H$3,0,0,'Données projet'!$E$9+1,1))</f>
        <v>248.50221719467663</v>
      </c>
      <c r="T166" s="59">
        <f t="shared" si="142"/>
        <v>366.09064580347183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0.56679918522329542</v>
      </c>
      <c r="AA166" s="21">
        <f>EXP(-LN(2)/25)*AA165+(1-EXP(-LN(2)/25))/(LN(2)/25)*Calculateur!V166*Calculateur!X166*VLOOKUP('Données projet'!$B$9,Paramètres!$A$1:$I$89,3,0)*0.475*44/12</f>
        <v>0.60255217916169079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1.1693513643849862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263.22346936777603</v>
      </c>
      <c r="AO166" s="59">
        <f t="shared" si="144"/>
        <v>217.14714468707939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0.1821496428368426</v>
      </c>
      <c r="AW166" s="21">
        <f>EXP(-LN(2)/2)*AW165+(1-EXP(-LN(2)/2))/(LN(2)/2)*AQ166*AT166*VLOOKUP('Données projet'!$B$10,Paramètres!$A$1:$I$89,3,0)*0.475*44/12</f>
        <v>1.7106533421308529E-19</v>
      </c>
      <c r="AX166" s="21">
        <f t="shared" si="166"/>
        <v>0.1821496428368426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4.4337866711430253E-14</v>
      </c>
      <c r="BF166" s="13">
        <f t="shared" si="167"/>
        <v>7.3222115536967035E-13</v>
      </c>
      <c r="BG166" s="20">
        <f t="shared" si="168"/>
        <v>1.3525069634579169E-12</v>
      </c>
      <c r="BH166" s="59">
        <f t="shared" si="116"/>
        <v>293.33333333333468</v>
      </c>
      <c r="BI166" s="59">
        <f ca="1">AVERAGE(OFFSET($BH$3,0,0,'Données projet'!$E$11+1,1))-AVERAGE(OFFSET($H$3,0,0,'Données projet'!$E$11+1,1))</f>
        <v>219.22204054948094</v>
      </c>
      <c r="BJ166" s="59">
        <f t="shared" si="146"/>
        <v>222.41711966122034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7.8494359783491674E-2</v>
      </c>
      <c r="BR166" s="21">
        <f>EXP(-LN(2)/2)*BR165+(1-EXP(-LN(2)/2))/(LN(2)/2)*BL166*BO166*VLOOKUP('Données projet'!$B$11,Paramètres!$A$1:$I$89,3,0)*0.475*44/12</f>
        <v>3.133771377485059E-20</v>
      </c>
      <c r="BS166" s="22">
        <f t="shared" si="169"/>
        <v>7.8494359783491674E-2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-3.979039320256561E-13</v>
      </c>
      <c r="BZ166" s="13">
        <f>BY166*VLOOKUP('Données projet'!$B$12,Paramètres!$A$1:$I$89,3,0)*VLOOKUP('Données projet'!$B$12,Paramètres!$A$1:$I$89,5,0)</f>
        <v>-3.41401573678013E-13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237.27357081252273</v>
      </c>
      <c r="CE166" s="59">
        <f t="shared" si="148"/>
        <v>68.768479693848576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-3.4106051316484809E-13</v>
      </c>
      <c r="CU166" s="17">
        <f>CT166*VLOOKUP('Données projet'!$B$13,Paramètres!$A$1:$I$89,3,0)*VLOOKUP('Données projet'!$B$13,Paramètres!$A$1:$I$89,5,0)</f>
        <v>-1.9065282685915009E-13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474.03051418249999</v>
      </c>
      <c r="CZ166" s="59">
        <f t="shared" si="150"/>
        <v>649.52271992719091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0.39236807938535706</v>
      </c>
      <c r="DG166" s="21">
        <f>EXP(-LN(2)/25)*DG165+(1-EXP(-LN(2)/25))/(LN(2)/25)*Calculateur!DB166*Calculateur!DD166*VLOOKUP('Données projet'!$B$13,Paramètres!$A$1:$I$89,3,0)*0.475*44/12</f>
        <v>0.60563564060254471</v>
      </c>
      <c r="DH166" s="21">
        <f>EXP(-LN(2)/2)*DH165+(1-EXP(-LN(2)/2))/(LN(2)/2)*DB166*DE166*VLOOKUP('Données projet'!$B$13,Paramètres!$A$1:$I$89,3,0)*0.475*44/12</f>
        <v>1.1211890000643482E-19</v>
      </c>
      <c r="DI166" s="22">
        <f t="shared" si="175"/>
        <v>0.99800371998790172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-5.6843418860808015E-14</v>
      </c>
      <c r="DP166" s="17">
        <f>DO166*VLOOKUP('Données projet'!$B$14,Paramètres!$A$1:$I$89,3,0)*VLOOKUP('Données projet'!$B$14,Paramètres!$A$1:$I$89,5,0)</f>
        <v>-3.1036506698001178E-14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164.0740581424559</v>
      </c>
      <c r="DU166" s="59">
        <f t="shared" si="152"/>
        <v>280.99861170359793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0.47424400974335634</v>
      </c>
      <c r="EB166" s="21">
        <f>EXP(-LN(2)/25)*EB165+(1-EXP(-LN(2)/25))/(LN(2)/25)*Calculateur!DW166*Calculateur!DY166*VLOOKUP('Données projet'!$B$14,Paramètres!$A$1:$I$89,3,0)*0.475*44/12</f>
        <v>0.64828258293417584</v>
      </c>
      <c r="EC166" s="21">
        <f>EXP(-LN(2)/2)*EC165+(1-EXP(-LN(2)/2))/(LN(2)/2)*DW166*DZ166*VLOOKUP('Données projet'!$B$14,Paramètres!$A$1:$I$89,3,0)*0.475*44/12</f>
        <v>1.4545888194264613E-19</v>
      </c>
      <c r="ED166" s="22">
        <f t="shared" si="178"/>
        <v>1.1225265926775321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1.1368683772161603E-13</v>
      </c>
      <c r="EK166" s="17">
        <f>EJ166*VLOOKUP('Données projet'!$B$15,Paramètres!$A$1:$I$89,3,0)*VLOOKUP('Données projet'!$B$15,Paramètres!$A$1:$I$89,5,0)</f>
        <v>5.4683368944097308E-14</v>
      </c>
      <c r="EL166" s="13">
        <f t="shared" si="179"/>
        <v>8.8129432816788268E-13</v>
      </c>
      <c r="EM166" s="20">
        <f t="shared" si="180"/>
        <v>1.6301611558033651E-12</v>
      </c>
      <c r="EN166" s="59">
        <f t="shared" si="128"/>
        <v>293.33333333333496</v>
      </c>
      <c r="EO166" s="59">
        <f ca="1">AVERAGE(OFFSET($EN$3,0,0,'Données projet'!$E$15+1,1))-AVERAGE(OFFSET($H$3,0,0,'Données projet'!$E$15+1,1))</f>
        <v>312.1172301514103</v>
      </c>
      <c r="EP166" s="59">
        <f t="shared" si="154"/>
        <v>369.85500533493212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0.1940049736495803</v>
      </c>
      <c r="EW166" s="21">
        <f>EXP(-LN(2)/25)*EW165+(1-EXP(-LN(2)/25))/(LN(2)/25)*Calculateur!ER166*Calculateur!ET166*VLOOKUP('Données projet'!$B$15,Paramètres!$A$1:$I$89,3,0)*0.475*44/12</f>
        <v>0.37649098091981009</v>
      </c>
      <c r="EX166" s="21">
        <f>EXP(-LN(2)/2)*EX165+(1-EXP(-LN(2)/2))/(LN(2)/2)*ER166*EU166*VLOOKUP('Données projet'!$B$15,Paramètres!$A$1:$I$89,3,0)*0.475*44/12</f>
        <v>3.0355926186176042E-19</v>
      </c>
      <c r="EY166" s="22">
        <f t="shared" si="181"/>
        <v>0.5704959545693904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-7.9808160080574461E-14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87.187251664304199</v>
      </c>
      <c r="FK166" s="59">
        <f t="shared" si="156"/>
        <v>148.84938257884147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0.20186118693086655</v>
      </c>
      <c r="FS166" s="21">
        <f>EXP(-LN(2)/2)*FS165+(1-EXP(-LN(2)/2))/(LN(2)/2)*FM166*FP166*VLOOKUP('Données projet'!$B$16,Paramètres!$A$1:$I$89,3,0)*0.475*44/12</f>
        <v>5.8302765898667996E-20</v>
      </c>
      <c r="FT166" s="22">
        <f t="shared" si="184"/>
        <v>0.20186118693086655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-1.1368683772161603E-13</v>
      </c>
      <c r="GA166" s="17">
        <f>FZ166*VLOOKUP('Données projet'!$B$17,Paramètres!$A$1:$I$89,3,0)*VLOOKUP('Données projet'!$B$17,Paramètres!$A$1:$I$89,5,0)</f>
        <v>-6.7984728957526396E-14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282.94722676586207</v>
      </c>
      <c r="GF166" s="59">
        <f t="shared" si="158"/>
        <v>310.63647941571298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0.26829621197783071</v>
      </c>
      <c r="GN166" s="21">
        <f>EXP(-LN(2)/2)*GN165+(1-EXP(-LN(2)/2))/(LN(2)/2)*GH166*GK166*VLOOKUP('Données projet'!$B$17,Paramètres!$A$1:$I$89,3,0)*0.475*44/12</f>
        <v>2.4569333668931924E-19</v>
      </c>
      <c r="GO166" s="21">
        <f t="shared" si="187"/>
        <v>0.26829621197783071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-1.1368683772161603E-13</v>
      </c>
      <c r="GV166" s="17">
        <f>GU166*VLOOKUP('Données projet'!$B$18,Paramètres!$A$1:$I$89,3,0)*VLOOKUP('Données projet'!$B$18,Paramètres!$A$1:$I$89,5,0)</f>
        <v>-6.7984728957526396E-14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255.54398581450459</v>
      </c>
      <c r="HA166" s="59">
        <f t="shared" si="160"/>
        <v>276.52622328061204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</v>
      </c>
      <c r="HH166" s="21">
        <f>EXP(-LN(2)/25)*HH165+(1-EXP(-LN(2)/25))/(LN(2)/25)*Calculateur!HC166*Calculateur!HE166*VLOOKUP('Données projet'!$B$18,Paramètres!$A$1:$I$89,3,0)*0.475*44/12</f>
        <v>0.1338713934645146</v>
      </c>
      <c r="HI166" s="21">
        <f>EXP(-LN(2)/2)*HI165+(1-EXP(-LN(2)/2))/(LN(2)/2)*HC166*HF166*VLOOKUP('Données projet'!$B$18,Paramètres!$A$1:$I$89,3,0)*0.475*44/12</f>
        <v>1.4247251272029223E-19</v>
      </c>
      <c r="HJ166" s="22">
        <f t="shared" si="190"/>
        <v>0.1338713934645146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4.9658410716801891E-14</v>
      </c>
      <c r="P167" s="13">
        <f t="shared" si="141"/>
        <v>8.0934058173791862E-13</v>
      </c>
      <c r="Q167" s="20">
        <f t="shared" si="162"/>
        <v>1.4960899118586383E-12</v>
      </c>
      <c r="R167" s="59">
        <f t="shared" si="109"/>
        <v>293.33333333333479</v>
      </c>
      <c r="S167" s="59">
        <f ca="1">AVERAGE(OFFSET($R$3,0,0,'Données projet'!$E$9+1,1))-AVERAGE(OFFSET($H$3,0,0,'Données projet'!$E$9+1,1))</f>
        <v>248.50221719467663</v>
      </c>
      <c r="T167" s="59">
        <f t="shared" si="142"/>
        <v>366.09064580347183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0.55568459891443323</v>
      </c>
      <c r="AA167" s="21">
        <f>EXP(-LN(2)/25)*AA166+(1-EXP(-LN(2)/25))/(LN(2)/25)*Calculateur!V167*Calculateur!X167*VLOOKUP('Données projet'!$B$9,Paramètres!$A$1:$I$89,3,0)*0.475*44/12</f>
        <v>0.58607535813567235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1.1417599570501056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263.22346936777603</v>
      </c>
      <c r="AO167" s="59">
        <f t="shared" si="144"/>
        <v>217.14714468707939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0.17716875127463572</v>
      </c>
      <c r="AW167" s="21">
        <f>EXP(-LN(2)/2)*AW166+(1-EXP(-LN(2)/2))/(LN(2)/2)*AQ167*AT167*VLOOKUP('Données projet'!$B$10,Paramètres!$A$1:$I$89,3,0)*0.475*44/12</f>
        <v>1.2096145784801572E-19</v>
      </c>
      <c r="AX167" s="21">
        <f t="shared" si="166"/>
        <v>0.17716875127463572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4.4337866711430253E-14</v>
      </c>
      <c r="BF167" s="13">
        <f t="shared" si="167"/>
        <v>7.3222115536967035E-13</v>
      </c>
      <c r="BG167" s="20">
        <f t="shared" si="168"/>
        <v>1.3525069634579169E-12</v>
      </c>
      <c r="BH167" s="59">
        <f t="shared" si="116"/>
        <v>293.33333333333468</v>
      </c>
      <c r="BI167" s="59">
        <f ca="1">AVERAGE(OFFSET($BH$3,0,0,'Données projet'!$E$11+1,1))-AVERAGE(OFFSET($H$3,0,0,'Données projet'!$E$11+1,1))</f>
        <v>219.22204054948094</v>
      </c>
      <c r="BJ167" s="59">
        <f t="shared" si="146"/>
        <v>222.41711966122034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7.6347927387373116E-2</v>
      </c>
      <c r="BR167" s="21">
        <f>EXP(-LN(2)/2)*BR166+(1-EXP(-LN(2)/2))/(LN(2)/2)*BL167*BO167*VLOOKUP('Données projet'!$B$11,Paramètres!$A$1:$I$89,3,0)*0.475*44/12</f>
        <v>2.2159109917079932E-20</v>
      </c>
      <c r="BS167" s="22">
        <f t="shared" si="169"/>
        <v>7.6347927387373116E-2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-3.979039320256561E-13</v>
      </c>
      <c r="BZ167" s="13">
        <f>BY167*VLOOKUP('Données projet'!$B$12,Paramètres!$A$1:$I$89,3,0)*VLOOKUP('Données projet'!$B$12,Paramètres!$A$1:$I$89,5,0)</f>
        <v>-3.41401573678013E-13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237.27357081252273</v>
      </c>
      <c r="CE167" s="59">
        <f t="shared" si="148"/>
        <v>68.768479693848576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-3.4106051316484809E-13</v>
      </c>
      <c r="CU167" s="17">
        <f>CT167*VLOOKUP('Données projet'!$B$13,Paramètres!$A$1:$I$89,3,0)*VLOOKUP('Données projet'!$B$13,Paramètres!$A$1:$I$89,5,0)</f>
        <v>-1.9065282685915009E-13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474.03051418249999</v>
      </c>
      <c r="CZ167" s="59">
        <f t="shared" si="150"/>
        <v>649.52271992719091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0.38467398066950764</v>
      </c>
      <c r="DG167" s="21">
        <f>EXP(-LN(2)/25)*DG166+(1-EXP(-LN(2)/25))/(LN(2)/25)*Calculateur!DB167*Calculateur!DD167*VLOOKUP('Données projet'!$B$13,Paramètres!$A$1:$I$89,3,0)*0.475*44/12</f>
        <v>0.58907450216127399</v>
      </c>
      <c r="DH167" s="21">
        <f>EXP(-LN(2)/2)*DH166+(1-EXP(-LN(2)/2))/(LN(2)/2)*DB167*DE167*VLOOKUP('Données projet'!$B$13,Paramètres!$A$1:$I$89,3,0)*0.475*44/12</f>
        <v>7.9280034493726511E-20</v>
      </c>
      <c r="DI167" s="22">
        <f t="shared" si="175"/>
        <v>0.97374848283078164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-5.6843418860808015E-14</v>
      </c>
      <c r="DP167" s="17">
        <f>DO167*VLOOKUP('Données projet'!$B$14,Paramètres!$A$1:$I$89,3,0)*VLOOKUP('Données projet'!$B$14,Paramètres!$A$1:$I$89,5,0)</f>
        <v>-3.1036506698001178E-14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164.0740581424559</v>
      </c>
      <c r="DU167" s="59">
        <f t="shared" si="152"/>
        <v>280.99861170359793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0.46494437397257299</v>
      </c>
      <c r="EB167" s="21">
        <f>EXP(-LN(2)/25)*EB166+(1-EXP(-LN(2)/25))/(LN(2)/25)*Calculateur!DW167*Calculateur!DY167*VLOOKUP('Données projet'!$B$14,Paramètres!$A$1:$I$89,3,0)*0.475*44/12</f>
        <v>0.63055526161214148</v>
      </c>
      <c r="EC167" s="21">
        <f>EXP(-LN(2)/2)*EC166+(1-EXP(-LN(2)/2))/(LN(2)/2)*DW167*DZ167*VLOOKUP('Données projet'!$B$14,Paramètres!$A$1:$I$89,3,0)*0.475*44/12</f>
        <v>1.0285496180545853E-19</v>
      </c>
      <c r="ED167" s="22">
        <f t="shared" si="178"/>
        <v>1.0954996355847144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1.1368683772161603E-13</v>
      </c>
      <c r="EK167" s="17">
        <f>EJ167*VLOOKUP('Données projet'!$B$15,Paramètres!$A$1:$I$89,3,0)*VLOOKUP('Données projet'!$B$15,Paramètres!$A$1:$I$89,5,0)</f>
        <v>5.4683368944097308E-14</v>
      </c>
      <c r="EL167" s="13">
        <f t="shared" si="179"/>
        <v>8.8129432816788268E-13</v>
      </c>
      <c r="EM167" s="20">
        <f t="shared" si="180"/>
        <v>1.6301611558033651E-12</v>
      </c>
      <c r="EN167" s="59">
        <f t="shared" si="128"/>
        <v>293.33333333333496</v>
      </c>
      <c r="EO167" s="59">
        <f ca="1">AVERAGE(OFFSET($EN$3,0,0,'Données projet'!$E$15+1,1))-AVERAGE(OFFSET($H$3,0,0,'Données projet'!$E$15+1,1))</f>
        <v>312.1172301514103</v>
      </c>
      <c r="EP167" s="59">
        <f t="shared" si="154"/>
        <v>369.85500533493212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0.19020065444766171</v>
      </c>
      <c r="EW167" s="21">
        <f>EXP(-LN(2)/25)*EW166+(1-EXP(-LN(2)/25))/(LN(2)/25)*Calculateur!ER167*Calculateur!ET167*VLOOKUP('Données projet'!$B$15,Paramètres!$A$1:$I$89,3,0)*0.475*44/12</f>
        <v>0.36619581524775768</v>
      </c>
      <c r="EX167" s="21">
        <f>EXP(-LN(2)/2)*EX166+(1-EXP(-LN(2)/2))/(LN(2)/2)*ER167*EU167*VLOOKUP('Données projet'!$B$15,Paramètres!$A$1:$I$89,3,0)*0.475*44/12</f>
        <v>2.1464881255443372E-19</v>
      </c>
      <c r="EY167" s="22">
        <f t="shared" si="181"/>
        <v>0.55639646969541934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-7.9808160080574461E-14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87.187251664304199</v>
      </c>
      <c r="FK167" s="59">
        <f t="shared" si="156"/>
        <v>148.84938257884147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0.19634128215882354</v>
      </c>
      <c r="FS167" s="21">
        <f>EXP(-LN(2)/2)*FS166+(1-EXP(-LN(2)/2))/(LN(2)/2)*FM167*FP167*VLOOKUP('Données projet'!$B$16,Paramètres!$A$1:$I$89,3,0)*0.475*44/12</f>
        <v>4.1226281128879936E-20</v>
      </c>
      <c r="FT167" s="22">
        <f t="shared" si="184"/>
        <v>0.19634128215882354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-1.1368683772161603E-13</v>
      </c>
      <c r="GA167" s="17">
        <f>FZ167*VLOOKUP('Données projet'!$B$17,Paramètres!$A$1:$I$89,3,0)*VLOOKUP('Données projet'!$B$17,Paramètres!$A$1:$I$89,5,0)</f>
        <v>-6.7984728957526396E-14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282.94722676586207</v>
      </c>
      <c r="GF167" s="59">
        <f t="shared" si="158"/>
        <v>310.63647941571298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0.26095963795221233</v>
      </c>
      <c r="GN167" s="21">
        <f>EXP(-LN(2)/2)*GN166+(1-EXP(-LN(2)/2))/(LN(2)/2)*GH167*GK167*VLOOKUP('Données projet'!$B$17,Paramètres!$A$1:$I$89,3,0)*0.475*44/12</f>
        <v>1.7373142446536721E-19</v>
      </c>
      <c r="GO167" s="21">
        <f t="shared" si="187"/>
        <v>0.26095963795221233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-1.1368683772161603E-13</v>
      </c>
      <c r="GV167" s="17">
        <f>GU167*VLOOKUP('Données projet'!$B$18,Paramètres!$A$1:$I$89,3,0)*VLOOKUP('Données projet'!$B$18,Paramètres!$A$1:$I$89,5,0)</f>
        <v>-6.7984728957526396E-14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255.54398581450459</v>
      </c>
      <c r="HA167" s="59">
        <f t="shared" si="160"/>
        <v>276.52622328061204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</v>
      </c>
      <c r="HH167" s="21">
        <f>EXP(-LN(2)/25)*HH166+(1-EXP(-LN(2)/25))/(LN(2)/25)*Calculateur!HC167*Calculateur!HE167*VLOOKUP('Données projet'!$B$18,Paramètres!$A$1:$I$89,3,0)*0.475*44/12</f>
        <v>0.13021067317023682</v>
      </c>
      <c r="HI167" s="21">
        <f>EXP(-LN(2)/2)*HI166+(1-EXP(-LN(2)/2))/(LN(2)/2)*HC167*HF167*VLOOKUP('Données projet'!$B$18,Paramètres!$A$1:$I$89,3,0)*0.475*44/12</f>
        <v>1.0074327987720529E-19</v>
      </c>
      <c r="HJ167" s="22">
        <f t="shared" si="190"/>
        <v>0.13021067317023682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4.9658410716801891E-14</v>
      </c>
      <c r="P168" s="13">
        <f t="shared" si="141"/>
        <v>8.0934058173791862E-13</v>
      </c>
      <c r="Q168" s="20">
        <f t="shared" si="162"/>
        <v>1.4960899118586383E-12</v>
      </c>
      <c r="R168" s="59">
        <f t="shared" si="109"/>
        <v>293.33333333333479</v>
      </c>
      <c r="S168" s="59">
        <f ca="1">AVERAGE(OFFSET($R$3,0,0,'Données projet'!$E$9+1,1))-AVERAGE(OFFSET($H$3,0,0,'Données projet'!$E$9+1,1))</f>
        <v>248.50221719467663</v>
      </c>
      <c r="T168" s="59">
        <f t="shared" si="142"/>
        <v>366.09064580347183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0.54478796286385955</v>
      </c>
      <c r="AA168" s="21">
        <f>EXP(-LN(2)/25)*AA167+(1-EXP(-LN(2)/25))/(LN(2)/25)*Calculateur!V168*Calculateur!X168*VLOOKUP('Données projet'!$B$9,Paramètres!$A$1:$I$89,3,0)*0.475*44/12</f>
        <v>0.5700490966470888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1.1148370595109482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263.22346936777603</v>
      </c>
      <c r="AO168" s="59">
        <f t="shared" si="144"/>
        <v>217.14714468707939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0.17232406245413109</v>
      </c>
      <c r="AW168" s="21">
        <f>EXP(-LN(2)/2)*AW167+(1-EXP(-LN(2)/2))/(LN(2)/2)*AQ168*AT168*VLOOKUP('Données projet'!$B$10,Paramètres!$A$1:$I$89,3,0)*0.475*44/12</f>
        <v>8.5532667106542645E-20</v>
      </c>
      <c r="AX168" s="21">
        <f t="shared" si="166"/>
        <v>0.17232406245413109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4.4337866711430253E-14</v>
      </c>
      <c r="BF168" s="13">
        <f t="shared" si="167"/>
        <v>7.3222115536967035E-13</v>
      </c>
      <c r="BG168" s="20">
        <f t="shared" si="168"/>
        <v>1.3525069634579169E-12</v>
      </c>
      <c r="BH168" s="59">
        <f t="shared" si="116"/>
        <v>293.33333333333468</v>
      </c>
      <c r="BI168" s="59">
        <f ca="1">AVERAGE(OFFSET($BH$3,0,0,'Données projet'!$E$11+1,1))-AVERAGE(OFFSET($H$3,0,0,'Données projet'!$E$11+1,1))</f>
        <v>219.22204054948094</v>
      </c>
      <c r="BJ168" s="59">
        <f t="shared" si="146"/>
        <v>222.41711966122034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7.4260189298002391E-2</v>
      </c>
      <c r="BR168" s="21">
        <f>EXP(-LN(2)/2)*BR167+(1-EXP(-LN(2)/2))/(LN(2)/2)*BL168*BO168*VLOOKUP('Données projet'!$B$11,Paramètres!$A$1:$I$89,3,0)*0.475*44/12</f>
        <v>1.5668856887425295E-20</v>
      </c>
      <c r="BS168" s="22">
        <f t="shared" si="169"/>
        <v>7.4260189298002391E-2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-3.979039320256561E-13</v>
      </c>
      <c r="BZ168" s="13">
        <f>BY168*VLOOKUP('Données projet'!$B$12,Paramètres!$A$1:$I$89,3,0)*VLOOKUP('Données projet'!$B$12,Paramètres!$A$1:$I$89,5,0)</f>
        <v>-3.41401573678013E-13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237.27357081252273</v>
      </c>
      <c r="CE168" s="59">
        <f t="shared" si="148"/>
        <v>68.768479693848576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-3.4106051316484809E-13</v>
      </c>
      <c r="CU168" s="17">
        <f>CT168*VLOOKUP('Données projet'!$B$13,Paramètres!$A$1:$I$89,3,0)*VLOOKUP('Données projet'!$B$13,Paramètres!$A$1:$I$89,5,0)</f>
        <v>-1.9065282685915009E-13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474.03051418249999</v>
      </c>
      <c r="CZ168" s="59">
        <f t="shared" si="150"/>
        <v>649.52271992719091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0.37713075853653921</v>
      </c>
      <c r="DG168" s="21">
        <f>EXP(-LN(2)/25)*DG167+(1-EXP(-LN(2)/25))/(LN(2)/25)*Calculateur!DB168*Calculateur!DD168*VLOOKUP('Données projet'!$B$13,Paramètres!$A$1:$I$89,3,0)*0.475*44/12</f>
        <v>0.57296622892159221</v>
      </c>
      <c r="DH168" s="21">
        <f>EXP(-LN(2)/2)*DH167+(1-EXP(-LN(2)/2))/(LN(2)/2)*DB168*DE168*VLOOKUP('Données projet'!$B$13,Paramètres!$A$1:$I$89,3,0)*0.475*44/12</f>
        <v>5.6059450003217412E-20</v>
      </c>
      <c r="DI168" s="22">
        <f t="shared" si="175"/>
        <v>0.95009698745813143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-5.6843418860808015E-14</v>
      </c>
      <c r="DP168" s="17">
        <f>DO168*VLOOKUP('Données projet'!$B$14,Paramètres!$A$1:$I$89,3,0)*VLOOKUP('Données projet'!$B$14,Paramètres!$A$1:$I$89,5,0)</f>
        <v>-3.1036506698001178E-14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164.0740581424559</v>
      </c>
      <c r="DU168" s="59">
        <f t="shared" si="152"/>
        <v>280.99861170359793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0.45582709838703694</v>
      </c>
      <c r="EB168" s="21">
        <f>EXP(-LN(2)/25)*EB167+(1-EXP(-LN(2)/25))/(LN(2)/25)*Calculateur!DW168*Calculateur!DY168*VLOOKUP('Données projet'!$B$14,Paramètres!$A$1:$I$89,3,0)*0.475*44/12</f>
        <v>0.61331269482389739</v>
      </c>
      <c r="EC168" s="21">
        <f>EXP(-LN(2)/2)*EC167+(1-EXP(-LN(2)/2))/(LN(2)/2)*DW168*DZ168*VLOOKUP('Données projet'!$B$14,Paramètres!$A$1:$I$89,3,0)*0.475*44/12</f>
        <v>7.2729440971323066E-20</v>
      </c>
      <c r="ED168" s="22">
        <f t="shared" si="178"/>
        <v>1.0691397932109343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1.1368683772161603E-13</v>
      </c>
      <c r="EK168" s="17">
        <f>EJ168*VLOOKUP('Données projet'!$B$15,Paramètres!$A$1:$I$89,3,0)*VLOOKUP('Données projet'!$B$15,Paramètres!$A$1:$I$89,5,0)</f>
        <v>5.4683368944097308E-14</v>
      </c>
      <c r="EL168" s="13">
        <f t="shared" si="179"/>
        <v>8.8129432816788268E-13</v>
      </c>
      <c r="EM168" s="20">
        <f t="shared" si="180"/>
        <v>1.6301611558033651E-12</v>
      </c>
      <c r="EN168" s="59">
        <f t="shared" si="128"/>
        <v>293.33333333333496</v>
      </c>
      <c r="EO168" s="59">
        <f ca="1">AVERAGE(OFFSET($EN$3,0,0,'Données projet'!$E$15+1,1))-AVERAGE(OFFSET($H$3,0,0,'Données projet'!$E$15+1,1))</f>
        <v>312.1172301514103</v>
      </c>
      <c r="EP168" s="59">
        <f t="shared" si="154"/>
        <v>369.85500533493212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0.18647093562488715</v>
      </c>
      <c r="EW168" s="21">
        <f>EXP(-LN(2)/25)*EW167+(1-EXP(-LN(2)/25))/(LN(2)/25)*Calculateur!ER168*Calculateur!ET168*VLOOKUP('Données projet'!$B$15,Paramètres!$A$1:$I$89,3,0)*0.475*44/12</f>
        <v>0.35618217142240677</v>
      </c>
      <c r="EX168" s="21">
        <f>EXP(-LN(2)/2)*EX167+(1-EXP(-LN(2)/2))/(LN(2)/2)*ER168*EU168*VLOOKUP('Données projet'!$B$15,Paramètres!$A$1:$I$89,3,0)*0.475*44/12</f>
        <v>1.5177963093088024E-19</v>
      </c>
      <c r="EY168" s="22">
        <f t="shared" si="181"/>
        <v>0.54265310704729397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-7.9808160080574461E-14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87.187251664304199</v>
      </c>
      <c r="FK168" s="59">
        <f t="shared" si="156"/>
        <v>148.84938257884147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0.19097231947305124</v>
      </c>
      <c r="FS168" s="21">
        <f>EXP(-LN(2)/2)*FS167+(1-EXP(-LN(2)/2))/(LN(2)/2)*FM168*FP168*VLOOKUP('Données projet'!$B$16,Paramètres!$A$1:$I$89,3,0)*0.475*44/12</f>
        <v>2.9151382949333998E-20</v>
      </c>
      <c r="FT168" s="22">
        <f t="shared" si="184"/>
        <v>0.19097231947305124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-1.1368683772161603E-13</v>
      </c>
      <c r="GA168" s="17">
        <f>FZ168*VLOOKUP('Données projet'!$B$17,Paramètres!$A$1:$I$89,3,0)*VLOOKUP('Données projet'!$B$17,Paramètres!$A$1:$I$89,5,0)</f>
        <v>-6.7984728957526396E-14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282.94722676586207</v>
      </c>
      <c r="GF168" s="59">
        <f t="shared" si="158"/>
        <v>310.63647941571298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0.25382368292913815</v>
      </c>
      <c r="GN168" s="21">
        <f>EXP(-LN(2)/2)*GN167+(1-EXP(-LN(2)/2))/(LN(2)/2)*GH168*GK168*VLOOKUP('Données projet'!$B$17,Paramètres!$A$1:$I$89,3,0)*0.475*44/12</f>
        <v>1.2284666834465962E-19</v>
      </c>
      <c r="GO168" s="21">
        <f t="shared" si="187"/>
        <v>0.25382368292913815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-1.1368683772161603E-13</v>
      </c>
      <c r="GV168" s="17">
        <f>GU168*VLOOKUP('Données projet'!$B$18,Paramètres!$A$1:$I$89,3,0)*VLOOKUP('Données projet'!$B$18,Paramètres!$A$1:$I$89,5,0)</f>
        <v>-6.7984728957526396E-14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255.54398581450459</v>
      </c>
      <c r="HA168" s="59">
        <f t="shared" si="160"/>
        <v>276.52622328061204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</v>
      </c>
      <c r="HH168" s="21">
        <f>EXP(-LN(2)/25)*HH167+(1-EXP(-LN(2)/25))/(LN(2)/25)*Calculateur!HC168*Calculateur!HE168*VLOOKUP('Données projet'!$B$18,Paramètres!$A$1:$I$89,3,0)*0.475*44/12</f>
        <v>0.12665005546491501</v>
      </c>
      <c r="HI168" s="21">
        <f>EXP(-LN(2)/2)*HI167+(1-EXP(-LN(2)/2))/(LN(2)/2)*HC168*HF168*VLOOKUP('Données projet'!$B$18,Paramètres!$A$1:$I$89,3,0)*0.475*44/12</f>
        <v>7.1236256360146116E-20</v>
      </c>
      <c r="HJ168" s="22">
        <f t="shared" si="190"/>
        <v>0.12665005546491501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4.9658410716801891E-14</v>
      </c>
      <c r="P169" s="13">
        <f t="shared" si="141"/>
        <v>8.0934058173791862E-13</v>
      </c>
      <c r="Q169" s="20">
        <f t="shared" si="162"/>
        <v>1.4960899118586383E-12</v>
      </c>
      <c r="R169" s="59">
        <f t="shared" si="109"/>
        <v>293.33333333333479</v>
      </c>
      <c r="S169" s="59">
        <f ca="1">AVERAGE(OFFSET($R$3,0,0,'Données projet'!$E$9+1,1))-AVERAGE(OFFSET($H$3,0,0,'Données projet'!$E$9+1,1))</f>
        <v>248.50221719467663</v>
      </c>
      <c r="T169" s="59">
        <f t="shared" si="142"/>
        <v>366.09064580347183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0.53410500319994592</v>
      </c>
      <c r="AA169" s="21">
        <f>EXP(-LN(2)/25)*AA168+(1-EXP(-LN(2)/25))/(LN(2)/25)*Calculateur!V169*Calculateur!X169*VLOOKUP('Données projet'!$B$9,Paramètres!$A$1:$I$89,3,0)*0.475*44/12</f>
        <v>0.55446107412169499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1.0885660773216408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263.22346936777603</v>
      </c>
      <c r="AO169" s="59">
        <f t="shared" si="144"/>
        <v>217.14714468707939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0.16761185190419428</v>
      </c>
      <c r="AW169" s="21">
        <f>EXP(-LN(2)/2)*AW168+(1-EXP(-LN(2)/2))/(LN(2)/2)*AQ169*AT169*VLOOKUP('Données projet'!$B$10,Paramètres!$A$1:$I$89,3,0)*0.475*44/12</f>
        <v>6.0480728924007861E-20</v>
      </c>
      <c r="AX169" s="21">
        <f t="shared" si="166"/>
        <v>0.16761185190419428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4.4337866711430253E-14</v>
      </c>
      <c r="BF169" s="13">
        <f t="shared" si="167"/>
        <v>7.3222115536967035E-13</v>
      </c>
      <c r="BG169" s="20">
        <f t="shared" si="168"/>
        <v>1.3525069634579169E-12</v>
      </c>
      <c r="BH169" s="59">
        <f t="shared" si="116"/>
        <v>293.33333333333468</v>
      </c>
      <c r="BI169" s="59">
        <f ca="1">AVERAGE(OFFSET($BH$3,0,0,'Données projet'!$E$11+1,1))-AVERAGE(OFFSET($H$3,0,0,'Données projet'!$E$11+1,1))</f>
        <v>219.22204054948094</v>
      </c>
      <c r="BJ169" s="59">
        <f t="shared" si="146"/>
        <v>222.41711966122034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7.2229540516474885E-2</v>
      </c>
      <c r="BR169" s="21">
        <f>EXP(-LN(2)/2)*BR168+(1-EXP(-LN(2)/2))/(LN(2)/2)*BL169*BO169*VLOOKUP('Données projet'!$B$11,Paramètres!$A$1:$I$89,3,0)*0.475*44/12</f>
        <v>1.1079554958539966E-20</v>
      </c>
      <c r="BS169" s="22">
        <f t="shared" si="169"/>
        <v>7.2229540516474885E-2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-3.979039320256561E-13</v>
      </c>
      <c r="BZ169" s="13">
        <f>BY169*VLOOKUP('Données projet'!$B$12,Paramètres!$A$1:$I$89,3,0)*VLOOKUP('Données projet'!$B$12,Paramètres!$A$1:$I$89,5,0)</f>
        <v>-3.41401573678013E-13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237.27357081252273</v>
      </c>
      <c r="CE169" s="59">
        <f t="shared" si="148"/>
        <v>68.768479693848576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-3.4106051316484809E-13</v>
      </c>
      <c r="CU169" s="17">
        <f>CT169*VLOOKUP('Données projet'!$B$13,Paramètres!$A$1:$I$89,3,0)*VLOOKUP('Données projet'!$B$13,Paramètres!$A$1:$I$89,5,0)</f>
        <v>-1.9065282685915009E-13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474.03051418249999</v>
      </c>
      <c r="CZ169" s="59">
        <f t="shared" si="150"/>
        <v>649.52271992719091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0.3697354543886871</v>
      </c>
      <c r="DG169" s="21">
        <f>EXP(-LN(2)/25)*DG168+(1-EXP(-LN(2)/25))/(LN(2)/25)*Calculateur!DB169*Calculateur!DD169*VLOOKUP('Données projet'!$B$13,Paramètres!$A$1:$I$89,3,0)*0.475*44/12</f>
        <v>0.55729843726074679</v>
      </c>
      <c r="DH169" s="21">
        <f>EXP(-LN(2)/2)*DH168+(1-EXP(-LN(2)/2))/(LN(2)/2)*DB169*DE169*VLOOKUP('Données projet'!$B$13,Paramètres!$A$1:$I$89,3,0)*0.475*44/12</f>
        <v>3.9640017246863256E-20</v>
      </c>
      <c r="DI169" s="22">
        <f t="shared" si="175"/>
        <v>0.92703389164943384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-5.6843418860808015E-14</v>
      </c>
      <c r="DP169" s="17">
        <f>DO169*VLOOKUP('Données projet'!$B$14,Paramètres!$A$1:$I$89,3,0)*VLOOKUP('Données projet'!$B$14,Paramètres!$A$1:$I$89,5,0)</f>
        <v>-3.1036506698001178E-14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164.0740581424559</v>
      </c>
      <c r="DU169" s="59">
        <f t="shared" si="152"/>
        <v>280.99861170359793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0.44688860701474425</v>
      </c>
      <c r="EB169" s="21">
        <f>EXP(-LN(2)/25)*EB168+(1-EXP(-LN(2)/25))/(LN(2)/25)*Calculateur!DW169*Calculateur!DY169*VLOOKUP('Données projet'!$B$14,Paramètres!$A$1:$I$89,3,0)*0.475*44/12</f>
        <v>0.59654162693122503</v>
      </c>
      <c r="EC169" s="21">
        <f>EXP(-LN(2)/2)*EC168+(1-EXP(-LN(2)/2))/(LN(2)/2)*DW169*DZ169*VLOOKUP('Données projet'!$B$14,Paramètres!$A$1:$I$89,3,0)*0.475*44/12</f>
        <v>5.1427480902729264E-20</v>
      </c>
      <c r="ED169" s="22">
        <f t="shared" si="178"/>
        <v>1.0434302339459693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1.1368683772161603E-13</v>
      </c>
      <c r="EK169" s="17">
        <f>EJ169*VLOOKUP('Données projet'!$B$15,Paramètres!$A$1:$I$89,3,0)*VLOOKUP('Données projet'!$B$15,Paramètres!$A$1:$I$89,5,0)</f>
        <v>5.4683368944097308E-14</v>
      </c>
      <c r="EL169" s="13">
        <f t="shared" si="179"/>
        <v>8.8129432816788268E-13</v>
      </c>
      <c r="EM169" s="20">
        <f t="shared" si="180"/>
        <v>1.6301611558033651E-12</v>
      </c>
      <c r="EN169" s="59">
        <f t="shared" si="128"/>
        <v>293.33333333333496</v>
      </c>
      <c r="EO169" s="59">
        <f ca="1">AVERAGE(OFFSET($EN$3,0,0,'Données projet'!$E$15+1,1))-AVERAGE(OFFSET($H$3,0,0,'Données projet'!$E$15+1,1))</f>
        <v>312.1172301514103</v>
      </c>
      <c r="EP169" s="59">
        <f t="shared" si="154"/>
        <v>369.85500533493212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0.18281435431332335</v>
      </c>
      <c r="EW169" s="21">
        <f>EXP(-LN(2)/25)*EW168+(1-EXP(-LN(2)/25))/(LN(2)/25)*Calculateur!ER169*Calculateur!ET169*VLOOKUP('Données projet'!$B$15,Paramètres!$A$1:$I$89,3,0)*0.475*44/12</f>
        <v>0.3464423512140547</v>
      </c>
      <c r="EX169" s="21">
        <f>EXP(-LN(2)/2)*EX168+(1-EXP(-LN(2)/2))/(LN(2)/2)*ER169*EU169*VLOOKUP('Données projet'!$B$15,Paramètres!$A$1:$I$89,3,0)*0.475*44/12</f>
        <v>1.0732440627721688E-19</v>
      </c>
      <c r="EY169" s="22">
        <f t="shared" si="181"/>
        <v>0.52925670552737802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-7.9808160080574461E-14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87.187251664304199</v>
      </c>
      <c r="FK169" s="59">
        <f t="shared" si="156"/>
        <v>148.84938257884147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0.18575017135426283</v>
      </c>
      <c r="FS169" s="21">
        <f>EXP(-LN(2)/2)*FS168+(1-EXP(-LN(2)/2))/(LN(2)/2)*FM169*FP169*VLOOKUP('Données projet'!$B$16,Paramètres!$A$1:$I$89,3,0)*0.475*44/12</f>
        <v>2.0613140564439968E-20</v>
      </c>
      <c r="FT169" s="22">
        <f t="shared" si="184"/>
        <v>0.18575017135426283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-1.1368683772161603E-13</v>
      </c>
      <c r="GA169" s="17">
        <f>FZ169*VLOOKUP('Données projet'!$B$17,Paramètres!$A$1:$I$89,3,0)*VLOOKUP('Données projet'!$B$17,Paramètres!$A$1:$I$89,5,0)</f>
        <v>-6.7984728957526396E-14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282.94722676586207</v>
      </c>
      <c r="GF169" s="59">
        <f t="shared" si="158"/>
        <v>310.63647941571298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0.2468828609714335</v>
      </c>
      <c r="GN169" s="21">
        <f>EXP(-LN(2)/2)*GN168+(1-EXP(-LN(2)/2))/(LN(2)/2)*GH169*GK169*VLOOKUP('Données projet'!$B$17,Paramètres!$A$1:$I$89,3,0)*0.475*44/12</f>
        <v>8.6865712232683606E-20</v>
      </c>
      <c r="GO169" s="21">
        <f t="shared" si="187"/>
        <v>0.2468828609714335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-1.1368683772161603E-13</v>
      </c>
      <c r="GV169" s="17">
        <f>GU169*VLOOKUP('Données projet'!$B$18,Paramètres!$A$1:$I$89,3,0)*VLOOKUP('Données projet'!$B$18,Paramètres!$A$1:$I$89,5,0)</f>
        <v>-6.7984728957526396E-14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255.54398581450459</v>
      </c>
      <c r="HA169" s="59">
        <f t="shared" si="160"/>
        <v>276.52622328061204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</v>
      </c>
      <c r="HH169" s="21">
        <f>EXP(-LN(2)/25)*HH168+(1-EXP(-LN(2)/25))/(LN(2)/25)*Calculateur!HC169*Calculateur!HE169*VLOOKUP('Données projet'!$B$18,Paramètres!$A$1:$I$89,3,0)*0.475*44/12</f>
        <v>0.12318680303798996</v>
      </c>
      <c r="HI169" s="21">
        <f>EXP(-LN(2)/2)*HI168+(1-EXP(-LN(2)/2))/(LN(2)/2)*HC169*HF169*VLOOKUP('Données projet'!$B$18,Paramètres!$A$1:$I$89,3,0)*0.475*44/12</f>
        <v>5.0371639938602645E-20</v>
      </c>
      <c r="HJ169" s="22">
        <f t="shared" si="190"/>
        <v>0.12318680303798996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4.9658410716801891E-14</v>
      </c>
      <c r="P170" s="13">
        <f t="shared" si="141"/>
        <v>8.0934058173791862E-13</v>
      </c>
      <c r="Q170" s="20">
        <f t="shared" si="162"/>
        <v>1.4960899118586383E-12</v>
      </c>
      <c r="R170" s="59">
        <f t="shared" si="109"/>
        <v>293.33333333333479</v>
      </c>
      <c r="S170" s="59">
        <f ca="1">AVERAGE(OFFSET($R$3,0,0,'Données projet'!$E$9+1,1))-AVERAGE(OFFSET($H$3,0,0,'Données projet'!$E$9+1,1))</f>
        <v>248.50221719467663</v>
      </c>
      <c r="T170" s="59">
        <f t="shared" si="142"/>
        <v>366.09064580347183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0.52363152985907968</v>
      </c>
      <c r="AA170" s="21">
        <f>EXP(-LN(2)/25)*AA169+(1-EXP(-LN(2)/25))/(LN(2)/25)*Calculateur!V170*Calculateur!X170*VLOOKUP('Données projet'!$B$9,Paramètres!$A$1:$I$89,3,0)*0.475*44/12</f>
        <v>0.53929930689199657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1.0629308367510761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263.22346936777603</v>
      </c>
      <c r="AO170" s="59">
        <f t="shared" si="144"/>
        <v>217.14714468707939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0.16302849699954988</v>
      </c>
      <c r="AW170" s="21">
        <f>EXP(-LN(2)/2)*AW169+(1-EXP(-LN(2)/2))/(LN(2)/2)*AQ170*AT170*VLOOKUP('Données projet'!$B$10,Paramètres!$A$1:$I$89,3,0)*0.475*44/12</f>
        <v>4.2766333553271323E-20</v>
      </c>
      <c r="AX170" s="21">
        <f t="shared" si="166"/>
        <v>0.16302849699954988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4.4337866711430253E-14</v>
      </c>
      <c r="BF170" s="13">
        <f t="shared" si="167"/>
        <v>7.3222115536967035E-13</v>
      </c>
      <c r="BG170" s="20">
        <f t="shared" si="168"/>
        <v>1.3525069634579169E-12</v>
      </c>
      <c r="BH170" s="59">
        <f t="shared" si="116"/>
        <v>293.33333333333468</v>
      </c>
      <c r="BI170" s="59">
        <f ca="1">AVERAGE(OFFSET($BH$3,0,0,'Données projet'!$E$11+1,1))-AVERAGE(OFFSET($H$3,0,0,'Données projet'!$E$11+1,1))</f>
        <v>219.22204054948094</v>
      </c>
      <c r="BJ170" s="59">
        <f t="shared" si="146"/>
        <v>222.41711966122034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7.025441993266543E-2</v>
      </c>
      <c r="BR170" s="21">
        <f>EXP(-LN(2)/2)*BR169+(1-EXP(-LN(2)/2))/(LN(2)/2)*BL170*BO170*VLOOKUP('Données projet'!$B$11,Paramètres!$A$1:$I$89,3,0)*0.475*44/12</f>
        <v>7.8344284437126475E-21</v>
      </c>
      <c r="BS170" s="22">
        <f t="shared" si="169"/>
        <v>7.025441993266543E-2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-3.979039320256561E-13</v>
      </c>
      <c r="BZ170" s="13">
        <f>BY170*VLOOKUP('Données projet'!$B$12,Paramètres!$A$1:$I$89,3,0)*VLOOKUP('Données projet'!$B$12,Paramètres!$A$1:$I$89,5,0)</f>
        <v>-3.41401573678013E-13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237.27357081252273</v>
      </c>
      <c r="CE170" s="59">
        <f t="shared" si="148"/>
        <v>68.768479693848576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-3.4106051316484809E-13</v>
      </c>
      <c r="CU170" s="17">
        <f>CT170*VLOOKUP('Données projet'!$B$13,Paramètres!$A$1:$I$89,3,0)*VLOOKUP('Données projet'!$B$13,Paramètres!$A$1:$I$89,5,0)</f>
        <v>-1.9065282685915009E-13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474.03051418249999</v>
      </c>
      <c r="CZ170" s="59">
        <f t="shared" si="150"/>
        <v>649.52271992719091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0.36248516764448424</v>
      </c>
      <c r="DG170" s="21">
        <f>EXP(-LN(2)/25)*DG169+(1-EXP(-LN(2)/25))/(LN(2)/25)*Calculateur!DB170*Calculateur!DD170*VLOOKUP('Données projet'!$B$13,Paramètres!$A$1:$I$89,3,0)*0.475*44/12</f>
        <v>0.54205908218680054</v>
      </c>
      <c r="DH170" s="21">
        <f>EXP(-LN(2)/2)*DH169+(1-EXP(-LN(2)/2))/(LN(2)/2)*DB170*DE170*VLOOKUP('Données projet'!$B$13,Paramètres!$A$1:$I$89,3,0)*0.475*44/12</f>
        <v>2.8029725001608706E-20</v>
      </c>
      <c r="DI170" s="22">
        <f t="shared" si="175"/>
        <v>0.90454424983128479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-5.6843418860808015E-14</v>
      </c>
      <c r="DP170" s="17">
        <f>DO170*VLOOKUP('Données projet'!$B$14,Paramètres!$A$1:$I$89,3,0)*VLOOKUP('Données projet'!$B$14,Paramètres!$A$1:$I$89,5,0)</f>
        <v>-3.1036506698001178E-14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164.0740581424559</v>
      </c>
      <c r="DU170" s="59">
        <f t="shared" si="152"/>
        <v>280.99861170359793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0.43812539400632083</v>
      </c>
      <c r="EB170" s="21">
        <f>EXP(-LN(2)/25)*EB169+(1-EXP(-LN(2)/25))/(LN(2)/25)*Calculateur!DW170*Calculateur!DY170*VLOOKUP('Données projet'!$B$14,Paramètres!$A$1:$I$89,3,0)*0.475*44/12</f>
        <v>0.5802291647720299</v>
      </c>
      <c r="EC170" s="21">
        <f>EXP(-LN(2)/2)*EC169+(1-EXP(-LN(2)/2))/(LN(2)/2)*DW170*DZ170*VLOOKUP('Données projet'!$B$14,Paramètres!$A$1:$I$89,3,0)*0.475*44/12</f>
        <v>3.6364720485661533E-20</v>
      </c>
      <c r="ED170" s="22">
        <f t="shared" si="178"/>
        <v>1.0183545587783507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1.1368683772161603E-13</v>
      </c>
      <c r="EK170" s="17">
        <f>EJ170*VLOOKUP('Données projet'!$B$15,Paramètres!$A$1:$I$89,3,0)*VLOOKUP('Données projet'!$B$15,Paramètres!$A$1:$I$89,5,0)</f>
        <v>5.4683368944097308E-14</v>
      </c>
      <c r="EL170" s="13">
        <f t="shared" si="179"/>
        <v>8.8129432816788268E-13</v>
      </c>
      <c r="EM170" s="20">
        <f t="shared" si="180"/>
        <v>1.6301611558033651E-12</v>
      </c>
      <c r="EN170" s="59">
        <f t="shared" si="128"/>
        <v>293.33333333333496</v>
      </c>
      <c r="EO170" s="59">
        <f ca="1">AVERAGE(OFFSET($EN$3,0,0,'Données projet'!$E$15+1,1))-AVERAGE(OFFSET($H$3,0,0,'Données projet'!$E$15+1,1))</f>
        <v>312.1172301514103</v>
      </c>
      <c r="EP170" s="59">
        <f t="shared" si="154"/>
        <v>369.85500533493212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0.17922947633098493</v>
      </c>
      <c r="EW170" s="21">
        <f>EXP(-LN(2)/25)*EW169+(1-EXP(-LN(2)/25))/(LN(2)/25)*Calculateur!ER170*Calculateur!ET170*VLOOKUP('Données projet'!$B$15,Paramètres!$A$1:$I$89,3,0)*0.475*44/12</f>
        <v>0.33696886690149491</v>
      </c>
      <c r="EX170" s="21">
        <f>EXP(-LN(2)/2)*EX169+(1-EXP(-LN(2)/2))/(LN(2)/2)*ER170*EU170*VLOOKUP('Données projet'!$B$15,Paramètres!$A$1:$I$89,3,0)*0.475*44/12</f>
        <v>7.588981546544013E-20</v>
      </c>
      <c r="EY170" s="22">
        <f t="shared" si="181"/>
        <v>0.51619834323247982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-7.9808160080574461E-14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87.187251664304199</v>
      </c>
      <c r="FK170" s="59">
        <f t="shared" si="156"/>
        <v>148.84938257884147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0.18067082315040353</v>
      </c>
      <c r="FS170" s="21">
        <f>EXP(-LN(2)/2)*FS169+(1-EXP(-LN(2)/2))/(LN(2)/2)*FM170*FP170*VLOOKUP('Données projet'!$B$16,Paramètres!$A$1:$I$89,3,0)*0.475*44/12</f>
        <v>1.4575691474666999E-20</v>
      </c>
      <c r="FT170" s="22">
        <f t="shared" si="184"/>
        <v>0.18067082315040353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-1.1368683772161603E-13</v>
      </c>
      <c r="GA170" s="17">
        <f>FZ170*VLOOKUP('Données projet'!$B$17,Paramètres!$A$1:$I$89,3,0)*VLOOKUP('Données projet'!$B$17,Paramètres!$A$1:$I$89,5,0)</f>
        <v>-6.7984728957526396E-14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282.94722676586207</v>
      </c>
      <c r="GF170" s="59">
        <f t="shared" si="158"/>
        <v>310.63647941571298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0.24013183615516426</v>
      </c>
      <c r="GN170" s="21">
        <f>EXP(-LN(2)/2)*GN169+(1-EXP(-LN(2)/2))/(LN(2)/2)*GH170*GK170*VLOOKUP('Données projet'!$B$17,Paramètres!$A$1:$I$89,3,0)*0.475*44/12</f>
        <v>6.142333417232981E-20</v>
      </c>
      <c r="GO170" s="21">
        <f t="shared" si="187"/>
        <v>0.24013183615516426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-1.1368683772161603E-13</v>
      </c>
      <c r="GV170" s="17">
        <f>GU170*VLOOKUP('Données projet'!$B$18,Paramètres!$A$1:$I$89,3,0)*VLOOKUP('Données projet'!$B$18,Paramètres!$A$1:$I$89,5,0)</f>
        <v>-6.7984728957526396E-14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255.54398581450459</v>
      </c>
      <c r="HA170" s="59">
        <f t="shared" si="160"/>
        <v>276.52622328061204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</v>
      </c>
      <c r="HH170" s="21">
        <f>EXP(-LN(2)/25)*HH169+(1-EXP(-LN(2)/25))/(LN(2)/25)*Calculateur!HC170*Calculateur!HE170*VLOOKUP('Données projet'!$B$18,Paramètres!$A$1:$I$89,3,0)*0.475*44/12</f>
        <v>0.1198182534308037</v>
      </c>
      <c r="HI170" s="21">
        <f>EXP(-LN(2)/2)*HI169+(1-EXP(-LN(2)/2))/(LN(2)/2)*HC170*HF170*VLOOKUP('Données projet'!$B$18,Paramètres!$A$1:$I$89,3,0)*0.475*44/12</f>
        <v>3.5618128180073058E-20</v>
      </c>
      <c r="HJ170" s="22">
        <f t="shared" si="190"/>
        <v>0.1198182534308037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4.9658410716801891E-14</v>
      </c>
      <c r="P171" s="13">
        <f t="shared" si="141"/>
        <v>8.0934058173791862E-13</v>
      </c>
      <c r="Q171" s="20">
        <f t="shared" si="162"/>
        <v>1.4960899118586383E-12</v>
      </c>
      <c r="R171" s="59">
        <f t="shared" si="109"/>
        <v>293.33333333333479</v>
      </c>
      <c r="S171" s="59">
        <f ca="1">AVERAGE(OFFSET($R$3,0,0,'Données projet'!$E$9+1,1))-AVERAGE(OFFSET($H$3,0,0,'Données projet'!$E$9+1,1))</f>
        <v>248.50221719467663</v>
      </c>
      <c r="T171" s="59">
        <f t="shared" si="142"/>
        <v>366.09064580347183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0.51336343494223979</v>
      </c>
      <c r="AA171" s="21">
        <f>EXP(-LN(2)/25)*AA170+(1-EXP(-LN(2)/25))/(LN(2)/25)*Calculateur!V171*Calculateur!X171*VLOOKUP('Données projet'!$B$9,Paramètres!$A$1:$I$89,3,0)*0.475*44/12</f>
        <v>0.52455213898451691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1.0379155739267567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263.22346936777603</v>
      </c>
      <c r="AO171" s="59">
        <f t="shared" si="144"/>
        <v>217.14714468707939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0.15857047417580114</v>
      </c>
      <c r="AW171" s="21">
        <f>EXP(-LN(2)/2)*AW170+(1-EXP(-LN(2)/2))/(LN(2)/2)*AQ171*AT171*VLOOKUP('Données projet'!$B$10,Paramètres!$A$1:$I$89,3,0)*0.475*44/12</f>
        <v>3.024036446200393E-20</v>
      </c>
      <c r="AX171" s="21">
        <f t="shared" si="166"/>
        <v>0.15857047417580114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4.4337866711430253E-14</v>
      </c>
      <c r="BF171" s="13">
        <f t="shared" si="167"/>
        <v>7.3222115536967035E-13</v>
      </c>
      <c r="BG171" s="20">
        <f t="shared" si="168"/>
        <v>1.3525069634579169E-12</v>
      </c>
      <c r="BH171" s="59">
        <f t="shared" si="116"/>
        <v>293.33333333333468</v>
      </c>
      <c r="BI171" s="59">
        <f ca="1">AVERAGE(OFFSET($BH$3,0,0,'Données projet'!$E$11+1,1))-AVERAGE(OFFSET($H$3,0,0,'Données projet'!$E$11+1,1))</f>
        <v>219.22204054948094</v>
      </c>
      <c r="BJ171" s="59">
        <f t="shared" si="146"/>
        <v>222.41711966122034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6.8333309125087324E-2</v>
      </c>
      <c r="BR171" s="21">
        <f>EXP(-LN(2)/2)*BR170+(1-EXP(-LN(2)/2))/(LN(2)/2)*BL171*BO171*VLOOKUP('Données projet'!$B$11,Paramètres!$A$1:$I$89,3,0)*0.475*44/12</f>
        <v>5.5397774792699831E-21</v>
      </c>
      <c r="BS171" s="22">
        <f t="shared" si="169"/>
        <v>6.8333309125087324E-2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-3.979039320256561E-13</v>
      </c>
      <c r="BZ171" s="13">
        <f>BY171*VLOOKUP('Données projet'!$B$12,Paramètres!$A$1:$I$89,3,0)*VLOOKUP('Données projet'!$B$12,Paramètres!$A$1:$I$89,5,0)</f>
        <v>-3.41401573678013E-13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237.27357081252273</v>
      </c>
      <c r="CE171" s="59">
        <f t="shared" si="148"/>
        <v>68.768479693848576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-3.4106051316484809E-13</v>
      </c>
      <c r="CU171" s="17">
        <f>CT171*VLOOKUP('Données projet'!$B$13,Paramètres!$A$1:$I$89,3,0)*VLOOKUP('Données projet'!$B$13,Paramètres!$A$1:$I$89,5,0)</f>
        <v>-1.9065282685915009E-13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474.03051418249999</v>
      </c>
      <c r="CZ171" s="59">
        <f t="shared" si="150"/>
        <v>649.52271992719091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0.35537705460109692</v>
      </c>
      <c r="DG171" s="21">
        <f>EXP(-LN(2)/25)*DG170+(1-EXP(-LN(2)/25))/(LN(2)/25)*Calculateur!DB171*Calculateur!DD171*VLOOKUP('Données projet'!$B$13,Paramètres!$A$1:$I$89,3,0)*0.475*44/12</f>
        <v>0.52723644807875425</v>
      </c>
      <c r="DH171" s="21">
        <f>EXP(-LN(2)/2)*DH170+(1-EXP(-LN(2)/2))/(LN(2)/2)*DB171*DE171*VLOOKUP('Données projet'!$B$13,Paramètres!$A$1:$I$89,3,0)*0.475*44/12</f>
        <v>1.9820008623431628E-20</v>
      </c>
      <c r="DI171" s="22">
        <f t="shared" si="175"/>
        <v>0.88261350267985117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-5.6843418860808015E-14</v>
      </c>
      <c r="DP171" s="17">
        <f>DO171*VLOOKUP('Données projet'!$B$14,Paramètres!$A$1:$I$89,3,0)*VLOOKUP('Données projet'!$B$14,Paramètres!$A$1:$I$89,5,0)</f>
        <v>-3.1036506698001178E-14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164.0740581424559</v>
      </c>
      <c r="DU171" s="59">
        <f t="shared" si="152"/>
        <v>280.99861170359793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0.42953402225996046</v>
      </c>
      <c r="EB171" s="21">
        <f>EXP(-LN(2)/25)*EB170+(1-EXP(-LN(2)/25))/(LN(2)/25)*Calculateur!DW171*Calculateur!DY171*VLOOKUP('Données projet'!$B$14,Paramètres!$A$1:$I$89,3,0)*0.475*44/12</f>
        <v>0.5643627677484131</v>
      </c>
      <c r="EC171" s="21">
        <f>EXP(-LN(2)/2)*EC170+(1-EXP(-LN(2)/2))/(LN(2)/2)*DW171*DZ171*VLOOKUP('Données projet'!$B$14,Paramètres!$A$1:$I$89,3,0)*0.475*44/12</f>
        <v>2.5713740451364632E-20</v>
      </c>
      <c r="ED171" s="22">
        <f t="shared" si="178"/>
        <v>0.9938967900083735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1.1368683772161603E-13</v>
      </c>
      <c r="EK171" s="17">
        <f>EJ171*VLOOKUP('Données projet'!$B$15,Paramètres!$A$1:$I$89,3,0)*VLOOKUP('Données projet'!$B$15,Paramètres!$A$1:$I$89,5,0)</f>
        <v>5.4683368944097308E-14</v>
      </c>
      <c r="EL171" s="13">
        <f t="shared" si="179"/>
        <v>8.8129432816788268E-13</v>
      </c>
      <c r="EM171" s="20">
        <f t="shared" si="180"/>
        <v>1.6301611558033651E-12</v>
      </c>
      <c r="EN171" s="59">
        <f t="shared" si="128"/>
        <v>293.33333333333496</v>
      </c>
      <c r="EO171" s="59">
        <f ca="1">AVERAGE(OFFSET($EN$3,0,0,'Données projet'!$E$15+1,1))-AVERAGE(OFFSET($H$3,0,0,'Données projet'!$E$15+1,1))</f>
        <v>312.1172301514103</v>
      </c>
      <c r="EP171" s="59">
        <f t="shared" si="154"/>
        <v>369.85500533493212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0.17571489561932049</v>
      </c>
      <c r="EW171" s="21">
        <f>EXP(-LN(2)/25)*EW170+(1-EXP(-LN(2)/25))/(LN(2)/25)*Calculateur!ER171*Calculateur!ET171*VLOOKUP('Données projet'!$B$15,Paramètres!$A$1:$I$89,3,0)*0.475*44/12</f>
        <v>0.32775443551565098</v>
      </c>
      <c r="EX171" s="21">
        <f>EXP(-LN(2)/2)*EX170+(1-EXP(-LN(2)/2))/(LN(2)/2)*ER171*EU171*VLOOKUP('Données projet'!$B$15,Paramètres!$A$1:$I$89,3,0)*0.475*44/12</f>
        <v>5.3662203138608447E-20</v>
      </c>
      <c r="EY171" s="22">
        <f t="shared" si="181"/>
        <v>0.5034693311349715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-7.9808160080574461E-14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87.187251664304199</v>
      </c>
      <c r="FK171" s="59">
        <f t="shared" si="156"/>
        <v>148.84938257884147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0.1757303699902901</v>
      </c>
      <c r="FS171" s="21">
        <f>EXP(-LN(2)/2)*FS170+(1-EXP(-LN(2)/2))/(LN(2)/2)*FM171*FP171*VLOOKUP('Données projet'!$B$16,Paramètres!$A$1:$I$89,3,0)*0.475*44/12</f>
        <v>1.0306570282219984E-20</v>
      </c>
      <c r="FT171" s="22">
        <f t="shared" si="184"/>
        <v>0.1757303699902901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-1.1368683772161603E-13</v>
      </c>
      <c r="GA171" s="17">
        <f>FZ171*VLOOKUP('Données projet'!$B$17,Paramètres!$A$1:$I$89,3,0)*VLOOKUP('Données projet'!$B$17,Paramètres!$A$1:$I$89,5,0)</f>
        <v>-6.7984728957526396E-14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282.94722676586207</v>
      </c>
      <c r="GF171" s="59">
        <f t="shared" si="158"/>
        <v>310.63647941571298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0.23356541846751686</v>
      </c>
      <c r="GN171" s="21">
        <f>EXP(-LN(2)/2)*GN170+(1-EXP(-LN(2)/2))/(LN(2)/2)*GH171*GK171*VLOOKUP('Données projet'!$B$17,Paramètres!$A$1:$I$89,3,0)*0.475*44/12</f>
        <v>4.3432856116341803E-20</v>
      </c>
      <c r="GO171" s="21">
        <f t="shared" si="187"/>
        <v>0.23356541846751686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-1.1368683772161603E-13</v>
      </c>
      <c r="GV171" s="17">
        <f>GU171*VLOOKUP('Données projet'!$B$18,Paramètres!$A$1:$I$89,3,0)*VLOOKUP('Données projet'!$B$18,Paramètres!$A$1:$I$89,5,0)</f>
        <v>-6.7984728957526396E-14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255.54398581450459</v>
      </c>
      <c r="HA171" s="59">
        <f t="shared" si="160"/>
        <v>276.52622328061204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</v>
      </c>
      <c r="HH171" s="21">
        <f>EXP(-LN(2)/25)*HH170+(1-EXP(-LN(2)/25))/(LN(2)/25)*Calculateur!HC171*Calculateur!HE171*VLOOKUP('Données projet'!$B$18,Paramètres!$A$1:$I$89,3,0)*0.475*44/12</f>
        <v>0.11654181698977027</v>
      </c>
      <c r="HI171" s="21">
        <f>EXP(-LN(2)/2)*HI170+(1-EXP(-LN(2)/2))/(LN(2)/2)*HC171*HF171*VLOOKUP('Données projet'!$B$18,Paramètres!$A$1:$I$89,3,0)*0.475*44/12</f>
        <v>2.5185819969301322E-20</v>
      </c>
      <c r="HJ171" s="22">
        <f t="shared" si="190"/>
        <v>0.11654181698977027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4.9658410716801891E-14</v>
      </c>
      <c r="P172" s="13">
        <f t="shared" si="141"/>
        <v>8.0934058173791862E-13</v>
      </c>
      <c r="Q172" s="20">
        <f t="shared" si="162"/>
        <v>1.4960899118586383E-12</v>
      </c>
      <c r="R172" s="59">
        <f t="shared" si="109"/>
        <v>293.33333333333479</v>
      </c>
      <c r="S172" s="59">
        <f ca="1">AVERAGE(OFFSET($R$3,0,0,'Données projet'!$E$9+1,1))-AVERAGE(OFFSET($H$3,0,0,'Données projet'!$E$9+1,1))</f>
        <v>248.50221719467663</v>
      </c>
      <c r="T172" s="59">
        <f t="shared" si="142"/>
        <v>366.09064580347183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0.50329669110379971</v>
      </c>
      <c r="AA172" s="21">
        <f>EXP(-LN(2)/25)*AA171+(1-EXP(-LN(2)/25))/(LN(2)/25)*Calculateur!V172*Calculateur!X172*VLOOKUP('Données projet'!$B$9,Paramètres!$A$1:$I$89,3,0)*0.475*44/12</f>
        <v>0.51020823315898722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1.0135049242627869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263.22346936777603</v>
      </c>
      <c r="AO172" s="59">
        <f t="shared" si="144"/>
        <v>217.14714468707939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0.15423435622060505</v>
      </c>
      <c r="AW172" s="21">
        <f>EXP(-LN(2)/2)*AW171+(1-EXP(-LN(2)/2))/(LN(2)/2)*AQ172*AT172*VLOOKUP('Données projet'!$B$10,Paramètres!$A$1:$I$89,3,0)*0.475*44/12</f>
        <v>2.1383166776635661E-20</v>
      </c>
      <c r="AX172" s="21">
        <f t="shared" si="166"/>
        <v>0.15423435622060505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4.4337866711430253E-14</v>
      </c>
      <c r="BF172" s="13">
        <f t="shared" si="167"/>
        <v>7.3222115536967035E-13</v>
      </c>
      <c r="BG172" s="20">
        <f t="shared" si="168"/>
        <v>1.3525069634579169E-12</v>
      </c>
      <c r="BH172" s="59">
        <f t="shared" si="116"/>
        <v>293.33333333333468</v>
      </c>
      <c r="BI172" s="59">
        <f ca="1">AVERAGE(OFFSET($BH$3,0,0,'Données projet'!$E$11+1,1))-AVERAGE(OFFSET($H$3,0,0,'Données projet'!$E$11+1,1))</f>
        <v>219.22204054948094</v>
      </c>
      <c r="BJ172" s="59">
        <f t="shared" si="146"/>
        <v>222.41711966122034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6.6464731193569257E-2</v>
      </c>
      <c r="BR172" s="21">
        <f>EXP(-LN(2)/2)*BR171+(1-EXP(-LN(2)/2))/(LN(2)/2)*BL172*BO172*VLOOKUP('Données projet'!$B$11,Paramètres!$A$1:$I$89,3,0)*0.475*44/12</f>
        <v>3.9172142218563237E-21</v>
      </c>
      <c r="BS172" s="22">
        <f t="shared" si="169"/>
        <v>6.6464731193569257E-2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-3.979039320256561E-13</v>
      </c>
      <c r="BZ172" s="13">
        <f>BY172*VLOOKUP('Données projet'!$B$12,Paramètres!$A$1:$I$89,3,0)*VLOOKUP('Données projet'!$B$12,Paramètres!$A$1:$I$89,5,0)</f>
        <v>-3.41401573678013E-13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237.27357081252273</v>
      </c>
      <c r="CE172" s="59">
        <f t="shared" si="148"/>
        <v>68.768479693848576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-3.4106051316484809E-13</v>
      </c>
      <c r="CU172" s="17">
        <f>CT172*VLOOKUP('Données projet'!$B$13,Paramètres!$A$1:$I$89,3,0)*VLOOKUP('Données projet'!$B$13,Paramètres!$A$1:$I$89,5,0)</f>
        <v>-1.9065282685915009E-13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474.03051418249999</v>
      </c>
      <c r="CZ172" s="59">
        <f t="shared" si="150"/>
        <v>649.52271992719091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0.34840832731896959</v>
      </c>
      <c r="DG172" s="21">
        <f>EXP(-LN(2)/25)*DG171+(1-EXP(-LN(2)/25))/(LN(2)/25)*Calculateur!DB172*Calculateur!DD172*VLOOKUP('Données projet'!$B$13,Paramètres!$A$1:$I$89,3,0)*0.475*44/12</f>
        <v>0.51281913967988091</v>
      </c>
      <c r="DH172" s="21">
        <f>EXP(-LN(2)/2)*DH171+(1-EXP(-LN(2)/2))/(LN(2)/2)*DB172*DE172*VLOOKUP('Données projet'!$B$13,Paramètres!$A$1:$I$89,3,0)*0.475*44/12</f>
        <v>1.4014862500804353E-20</v>
      </c>
      <c r="DI172" s="22">
        <f t="shared" si="175"/>
        <v>0.86122746699885044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-5.6843418860808015E-14</v>
      </c>
      <c r="DP172" s="17">
        <f>DO172*VLOOKUP('Données projet'!$B$14,Paramètres!$A$1:$I$89,3,0)*VLOOKUP('Données projet'!$B$14,Paramètres!$A$1:$I$89,5,0)</f>
        <v>-3.1036506698001178E-14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164.0740581424559</v>
      </c>
      <c r="DU172" s="59">
        <f t="shared" si="152"/>
        <v>280.99861170359793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0.42111112207332685</v>
      </c>
      <c r="EB172" s="21">
        <f>EXP(-LN(2)/25)*EB171+(1-EXP(-LN(2)/25))/(LN(2)/25)*Calculateur!DW172*Calculateur!DY172*VLOOKUP('Données projet'!$B$14,Paramètres!$A$1:$I$89,3,0)*0.475*44/12</f>
        <v>0.54893023818578468</v>
      </c>
      <c r="EC172" s="21">
        <f>EXP(-LN(2)/2)*EC171+(1-EXP(-LN(2)/2))/(LN(2)/2)*DW172*DZ172*VLOOKUP('Données projet'!$B$14,Paramètres!$A$1:$I$89,3,0)*0.475*44/12</f>
        <v>1.8182360242830766E-20</v>
      </c>
      <c r="ED172" s="22">
        <f t="shared" si="178"/>
        <v>0.97004136025911158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1.1368683772161603E-13</v>
      </c>
      <c r="EK172" s="17">
        <f>EJ172*VLOOKUP('Données projet'!$B$15,Paramètres!$A$1:$I$89,3,0)*VLOOKUP('Données projet'!$B$15,Paramètres!$A$1:$I$89,5,0)</f>
        <v>5.4683368944097308E-14</v>
      </c>
      <c r="EL172" s="13">
        <f t="shared" si="179"/>
        <v>8.8129432816788268E-13</v>
      </c>
      <c r="EM172" s="20">
        <f t="shared" si="180"/>
        <v>1.6301611558033651E-12</v>
      </c>
      <c r="EN172" s="59">
        <f t="shared" si="128"/>
        <v>293.33333333333496</v>
      </c>
      <c r="EO172" s="59">
        <f ca="1">AVERAGE(OFFSET($EN$3,0,0,'Données projet'!$E$15+1,1))-AVERAGE(OFFSET($H$3,0,0,'Données projet'!$E$15+1,1))</f>
        <v>312.1172301514103</v>
      </c>
      <c r="EP172" s="59">
        <f t="shared" si="154"/>
        <v>369.85500533493212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0.17226923369172925</v>
      </c>
      <c r="EW172" s="21">
        <f>EXP(-LN(2)/25)*EW171+(1-EXP(-LN(2)/25))/(LN(2)/25)*Calculateur!ER172*Calculateur!ET172*VLOOKUP('Données projet'!$B$15,Paramètres!$A$1:$I$89,3,0)*0.475*44/12</f>
        <v>0.31879197324061881</v>
      </c>
      <c r="EX172" s="21">
        <f>EXP(-LN(2)/2)*EX171+(1-EXP(-LN(2)/2))/(LN(2)/2)*ER172*EU172*VLOOKUP('Données projet'!$B$15,Paramètres!$A$1:$I$89,3,0)*0.475*44/12</f>
        <v>3.7944907732720071E-20</v>
      </c>
      <c r="EY172" s="22">
        <f t="shared" si="181"/>
        <v>0.49106120693234806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-7.9808160080574461E-14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87.187251664304199</v>
      </c>
      <c r="FK172" s="59">
        <f t="shared" si="156"/>
        <v>148.84938257884147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0.17092501378164709</v>
      </c>
      <c r="FS172" s="21">
        <f>EXP(-LN(2)/2)*FS171+(1-EXP(-LN(2)/2))/(LN(2)/2)*FM172*FP172*VLOOKUP('Données projet'!$B$16,Paramètres!$A$1:$I$89,3,0)*0.475*44/12</f>
        <v>7.2878457373334995E-21</v>
      </c>
      <c r="FT172" s="22">
        <f t="shared" si="184"/>
        <v>0.17092501378164709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-1.1368683772161603E-13</v>
      </c>
      <c r="GA172" s="17">
        <f>FZ172*VLOOKUP('Données projet'!$B$17,Paramètres!$A$1:$I$89,3,0)*VLOOKUP('Données projet'!$B$17,Paramètres!$A$1:$I$89,5,0)</f>
        <v>-6.7984728957526396E-14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282.94722676586207</v>
      </c>
      <c r="GF172" s="59">
        <f t="shared" si="158"/>
        <v>310.63647941571298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0.22717855981685106</v>
      </c>
      <c r="GN172" s="21">
        <f>EXP(-LN(2)/2)*GN171+(1-EXP(-LN(2)/2))/(LN(2)/2)*GH172*GK172*VLOOKUP('Données projet'!$B$17,Paramètres!$A$1:$I$89,3,0)*0.475*44/12</f>
        <v>3.0711667086164905E-20</v>
      </c>
      <c r="GO172" s="21">
        <f t="shared" si="187"/>
        <v>0.22717855981685106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-1.1368683772161603E-13</v>
      </c>
      <c r="GV172" s="17">
        <f>GU172*VLOOKUP('Données projet'!$B$18,Paramètres!$A$1:$I$89,3,0)*VLOOKUP('Données projet'!$B$18,Paramètres!$A$1:$I$89,5,0)</f>
        <v>-6.7984728957526396E-14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255.54398581450459</v>
      </c>
      <c r="HA172" s="59">
        <f t="shared" si="160"/>
        <v>276.52622328061204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</v>
      </c>
      <c r="HH172" s="21">
        <f>EXP(-LN(2)/25)*HH171+(1-EXP(-LN(2)/25))/(LN(2)/25)*Calculateur!HC172*Calculateur!HE172*VLOOKUP('Données projet'!$B$18,Paramètres!$A$1:$I$89,3,0)*0.475*44/12</f>
        <v>0.11335497487551721</v>
      </c>
      <c r="HI172" s="21">
        <f>EXP(-LN(2)/2)*HI171+(1-EXP(-LN(2)/2))/(LN(2)/2)*HC172*HF172*VLOOKUP('Données projet'!$B$18,Paramètres!$A$1:$I$89,3,0)*0.475*44/12</f>
        <v>1.7809064090036529E-20</v>
      </c>
      <c r="HJ172" s="22">
        <f t="shared" si="190"/>
        <v>0.11335497487551721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4.9658410716801891E-14</v>
      </c>
      <c r="P173" s="13">
        <f t="shared" si="141"/>
        <v>8.0934058173791862E-13</v>
      </c>
      <c r="Q173" s="20">
        <f t="shared" si="162"/>
        <v>1.4960899118586383E-12</v>
      </c>
      <c r="R173" s="59">
        <f t="shared" si="109"/>
        <v>293.33333333333479</v>
      </c>
      <c r="S173" s="59">
        <f ca="1">AVERAGE(OFFSET($R$3,0,0,'Données projet'!$E$9+1,1))-AVERAGE(OFFSET($H$3,0,0,'Données projet'!$E$9+1,1))</f>
        <v>248.50221719467663</v>
      </c>
      <c r="T173" s="59">
        <f t="shared" si="142"/>
        <v>366.09064580347183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0.49342734997192395</v>
      </c>
      <c r="AA173" s="21">
        <f>EXP(-LN(2)/25)*AA172+(1-EXP(-LN(2)/25))/(LN(2)/25)*Calculateur!V173*Calculateur!X173*VLOOKUP('Données projet'!$B$9,Paramètres!$A$1:$I$89,3,0)*0.475*44/12</f>
        <v>0.49625656219256981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0.98968391216449381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263.22346936777603</v>
      </c>
      <c r="AO173" s="59">
        <f t="shared" si="144"/>
        <v>217.14714468707939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0.15001680963892031</v>
      </c>
      <c r="AW173" s="21">
        <f>EXP(-LN(2)/2)*AW172+(1-EXP(-LN(2)/2))/(LN(2)/2)*AQ173*AT173*VLOOKUP('Données projet'!$B$10,Paramètres!$A$1:$I$89,3,0)*0.475*44/12</f>
        <v>1.5120182231001965E-20</v>
      </c>
      <c r="AX173" s="21">
        <f t="shared" si="166"/>
        <v>0.15001680963892031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4.4337866711430253E-14</v>
      </c>
      <c r="BF173" s="13">
        <f t="shared" si="167"/>
        <v>7.3222115536967035E-13</v>
      </c>
      <c r="BG173" s="20">
        <f t="shared" si="168"/>
        <v>1.3525069634579169E-12</v>
      </c>
      <c r="BH173" s="59">
        <f t="shared" si="116"/>
        <v>293.33333333333468</v>
      </c>
      <c r="BI173" s="59">
        <f ca="1">AVERAGE(OFFSET($BH$3,0,0,'Données projet'!$E$11+1,1))-AVERAGE(OFFSET($H$3,0,0,'Données projet'!$E$11+1,1))</f>
        <v>219.22204054948094</v>
      </c>
      <c r="BJ173" s="59">
        <f t="shared" si="146"/>
        <v>222.41711966122034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6.4647249623852793E-2</v>
      </c>
      <c r="BR173" s="21">
        <f>EXP(-LN(2)/2)*BR172+(1-EXP(-LN(2)/2))/(LN(2)/2)*BL173*BO173*VLOOKUP('Données projet'!$B$11,Paramètres!$A$1:$I$89,3,0)*0.475*44/12</f>
        <v>2.7698887396349916E-21</v>
      </c>
      <c r="BS173" s="22">
        <f t="shared" si="169"/>
        <v>6.4647249623852793E-2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-3.979039320256561E-13</v>
      </c>
      <c r="BZ173" s="13">
        <f>BY173*VLOOKUP('Données projet'!$B$12,Paramètres!$A$1:$I$89,3,0)*VLOOKUP('Données projet'!$B$12,Paramètres!$A$1:$I$89,5,0)</f>
        <v>-3.41401573678013E-13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237.27357081252273</v>
      </c>
      <c r="CE173" s="59">
        <f t="shared" si="148"/>
        <v>68.768479693848576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-3.4106051316484809E-13</v>
      </c>
      <c r="CU173" s="17">
        <f>CT173*VLOOKUP('Données projet'!$B$13,Paramètres!$A$1:$I$89,3,0)*VLOOKUP('Données projet'!$B$13,Paramètres!$A$1:$I$89,5,0)</f>
        <v>-1.9065282685915009E-13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474.03051418249999</v>
      </c>
      <c r="CZ173" s="59">
        <f t="shared" si="150"/>
        <v>649.52271992719091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0.34157625252834084</v>
      </c>
      <c r="DG173" s="21">
        <f>EXP(-LN(2)/25)*DG172+(1-EXP(-LN(2)/25))/(LN(2)/25)*Calculateur!DB173*Calculateur!DD173*VLOOKUP('Données projet'!$B$13,Paramètres!$A$1:$I$89,3,0)*0.475*44/12</f>
        <v>0.4987960733373481</v>
      </c>
      <c r="DH173" s="21">
        <f>EXP(-LN(2)/2)*DH172+(1-EXP(-LN(2)/2))/(LN(2)/2)*DB173*DE173*VLOOKUP('Données projet'!$B$13,Paramètres!$A$1:$I$89,3,0)*0.475*44/12</f>
        <v>9.9100043117158139E-21</v>
      </c>
      <c r="DI173" s="22">
        <f t="shared" si="175"/>
        <v>0.840372325865689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-5.6843418860808015E-14</v>
      </c>
      <c r="DP173" s="17">
        <f>DO173*VLOOKUP('Données projet'!$B$14,Paramètres!$A$1:$I$89,3,0)*VLOOKUP('Données projet'!$B$14,Paramètres!$A$1:$I$89,5,0)</f>
        <v>-3.1036506698001178E-14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164.0740581424559</v>
      </c>
      <c r="DU173" s="59">
        <f t="shared" si="152"/>
        <v>280.99861170359793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0.41285338982189129</v>
      </c>
      <c r="EB173" s="21">
        <f>EXP(-LN(2)/25)*EB172+(1-EXP(-LN(2)/25))/(LN(2)/25)*Calculateur!DW173*Calculateur!DY173*VLOOKUP('Données projet'!$B$14,Paramètres!$A$1:$I$89,3,0)*0.475*44/12</f>
        <v>0.53391971195560772</v>
      </c>
      <c r="EC173" s="21">
        <f>EXP(-LN(2)/2)*EC172+(1-EXP(-LN(2)/2))/(LN(2)/2)*DW173*DZ173*VLOOKUP('Données projet'!$B$14,Paramètres!$A$1:$I$89,3,0)*0.475*44/12</f>
        <v>1.2856870225682316E-20</v>
      </c>
      <c r="ED173" s="22">
        <f t="shared" si="178"/>
        <v>0.94677310177749896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1.1368683772161603E-13</v>
      </c>
      <c r="EK173" s="17">
        <f>EJ173*VLOOKUP('Données projet'!$B$15,Paramètres!$A$1:$I$89,3,0)*VLOOKUP('Données projet'!$B$15,Paramètres!$A$1:$I$89,5,0)</f>
        <v>5.4683368944097308E-14</v>
      </c>
      <c r="EL173" s="13">
        <f t="shared" si="179"/>
        <v>8.8129432816788268E-13</v>
      </c>
      <c r="EM173" s="20">
        <f t="shared" si="180"/>
        <v>1.6301611558033651E-12</v>
      </c>
      <c r="EN173" s="59">
        <f t="shared" si="128"/>
        <v>293.33333333333496</v>
      </c>
      <c r="EO173" s="59">
        <f ca="1">AVERAGE(OFFSET($EN$3,0,0,'Données projet'!$E$15+1,1))-AVERAGE(OFFSET($H$3,0,0,'Données projet'!$E$15+1,1))</f>
        <v>312.1172301514103</v>
      </c>
      <c r="EP173" s="59">
        <f t="shared" si="154"/>
        <v>369.85500533493212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0.1688911390928918</v>
      </c>
      <c r="EW173" s="21">
        <f>EXP(-LN(2)/25)*EW172+(1-EXP(-LN(2)/25))/(LN(2)/25)*Calculateur!ER173*Calculateur!ET173*VLOOKUP('Données projet'!$B$15,Paramètres!$A$1:$I$89,3,0)*0.475*44/12</f>
        <v>0.31007458996781284</v>
      </c>
      <c r="EX173" s="21">
        <f>EXP(-LN(2)/2)*EX172+(1-EXP(-LN(2)/2))/(LN(2)/2)*ER173*EU173*VLOOKUP('Données projet'!$B$15,Paramètres!$A$1:$I$89,3,0)*0.475*44/12</f>
        <v>2.6831101569304229E-20</v>
      </c>
      <c r="EY173" s="22">
        <f t="shared" si="181"/>
        <v>0.47896572906070467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-7.9808160080574461E-14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87.187251664304199</v>
      </c>
      <c r="FK173" s="59">
        <f t="shared" si="156"/>
        <v>148.84938257884147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0.16625106029123213</v>
      </c>
      <c r="FS173" s="21">
        <f>EXP(-LN(2)/2)*FS172+(1-EXP(-LN(2)/2))/(LN(2)/2)*FM173*FP173*VLOOKUP('Données projet'!$B$16,Paramètres!$A$1:$I$89,3,0)*0.475*44/12</f>
        <v>5.153285141109992E-21</v>
      </c>
      <c r="FT173" s="22">
        <f t="shared" si="184"/>
        <v>0.16625106029123213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-1.1368683772161603E-13</v>
      </c>
      <c r="GA173" s="17">
        <f>FZ173*VLOOKUP('Données projet'!$B$17,Paramètres!$A$1:$I$89,3,0)*VLOOKUP('Données projet'!$B$17,Paramètres!$A$1:$I$89,5,0)</f>
        <v>-6.7984728957526396E-14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282.94722676586207</v>
      </c>
      <c r="GF173" s="59">
        <f t="shared" si="158"/>
        <v>310.63647941571298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0.22096635015185803</v>
      </c>
      <c r="GN173" s="21">
        <f>EXP(-LN(2)/2)*GN172+(1-EXP(-LN(2)/2))/(LN(2)/2)*GH173*GK173*VLOOKUP('Données projet'!$B$17,Paramètres!$A$1:$I$89,3,0)*0.475*44/12</f>
        <v>2.1716428058170902E-20</v>
      </c>
      <c r="GO173" s="21">
        <f t="shared" si="187"/>
        <v>0.22096635015185803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-1.1368683772161603E-13</v>
      </c>
      <c r="GV173" s="17">
        <f>GU173*VLOOKUP('Données projet'!$B$18,Paramètres!$A$1:$I$89,3,0)*VLOOKUP('Données projet'!$B$18,Paramètres!$A$1:$I$89,5,0)</f>
        <v>-6.7984728957526396E-14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255.54398581450459</v>
      </c>
      <c r="HA173" s="59">
        <f t="shared" si="160"/>
        <v>276.52622328061204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</v>
      </c>
      <c r="HH173" s="21">
        <f>EXP(-LN(2)/25)*HH172+(1-EXP(-LN(2)/25))/(LN(2)/25)*Calculateur!HC173*Calculateur!HE173*VLOOKUP('Données projet'!$B$18,Paramètres!$A$1:$I$89,3,0)*0.475*44/12</f>
        <v>0.11025527712646714</v>
      </c>
      <c r="HI173" s="21">
        <f>EXP(-LN(2)/2)*HI172+(1-EXP(-LN(2)/2))/(LN(2)/2)*HC173*HF173*VLOOKUP('Données projet'!$B$18,Paramètres!$A$1:$I$89,3,0)*0.475*44/12</f>
        <v>1.2592909984650661E-20</v>
      </c>
      <c r="HJ173" s="22">
        <f t="shared" si="190"/>
        <v>0.11025527712646714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4.9658410716801891E-14</v>
      </c>
      <c r="P174" s="13">
        <f t="shared" si="141"/>
        <v>8.0934058173791862E-13</v>
      </c>
      <c r="Q174" s="20">
        <f t="shared" si="162"/>
        <v>1.4960899118586383E-12</v>
      </c>
      <c r="R174" s="59">
        <f t="shared" si="109"/>
        <v>293.33333333333479</v>
      </c>
      <c r="S174" s="59">
        <f ca="1">AVERAGE(OFFSET($R$3,0,0,'Données projet'!$E$9+1,1))-AVERAGE(OFFSET($H$3,0,0,'Données projet'!$E$9+1,1))</f>
        <v>248.50221719467663</v>
      </c>
      <c r="T174" s="59">
        <f t="shared" si="142"/>
        <v>366.09064580347183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0.48375154059994058</v>
      </c>
      <c r="AA174" s="21">
        <f>EXP(-LN(2)/25)*AA173+(1-EXP(-LN(2)/25))/(LN(2)/25)*Calculateur!V174*Calculateur!X174*VLOOKUP('Données projet'!$B$9,Paramètres!$A$1:$I$89,3,0)*0.475*44/12</f>
        <v>0.48268640040241556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0.96643794100235614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263.22346936777603</v>
      </c>
      <c r="AO174" s="59">
        <f t="shared" si="144"/>
        <v>217.14714468707939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0.14591459209030289</v>
      </c>
      <c r="AW174" s="21">
        <f>EXP(-LN(2)/2)*AW173+(1-EXP(-LN(2)/2))/(LN(2)/2)*AQ174*AT174*VLOOKUP('Données projet'!$B$10,Paramètres!$A$1:$I$89,3,0)*0.475*44/12</f>
        <v>1.0691583388317831E-20</v>
      </c>
      <c r="AX174" s="21">
        <f t="shared" si="166"/>
        <v>0.14591459209030289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4.4337866711430253E-14</v>
      </c>
      <c r="BF174" s="13">
        <f t="shared" si="167"/>
        <v>7.3222115536967035E-13</v>
      </c>
      <c r="BG174" s="20">
        <f t="shared" si="168"/>
        <v>1.3525069634579169E-12</v>
      </c>
      <c r="BH174" s="59">
        <f t="shared" si="116"/>
        <v>293.33333333333468</v>
      </c>
      <c r="BI174" s="59">
        <f ca="1">AVERAGE(OFFSET($BH$3,0,0,'Données projet'!$E$11+1,1))-AVERAGE(OFFSET($H$3,0,0,'Données projet'!$E$11+1,1))</f>
        <v>219.22204054948094</v>
      </c>
      <c r="BJ174" s="59">
        <f t="shared" si="146"/>
        <v>222.41711966122034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6.2879467183237434E-2</v>
      </c>
      <c r="BR174" s="21">
        <f>EXP(-LN(2)/2)*BR173+(1-EXP(-LN(2)/2))/(LN(2)/2)*BL174*BO174*VLOOKUP('Données projet'!$B$11,Paramètres!$A$1:$I$89,3,0)*0.475*44/12</f>
        <v>1.9586071109281619E-21</v>
      </c>
      <c r="BS174" s="22">
        <f t="shared" si="169"/>
        <v>6.2879467183237434E-2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-3.979039320256561E-13</v>
      </c>
      <c r="BZ174" s="13">
        <f>BY174*VLOOKUP('Données projet'!$B$12,Paramètres!$A$1:$I$89,3,0)*VLOOKUP('Données projet'!$B$12,Paramètres!$A$1:$I$89,5,0)</f>
        <v>-3.41401573678013E-13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237.27357081252273</v>
      </c>
      <c r="CE174" s="59">
        <f t="shared" si="148"/>
        <v>68.768479693848576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-3.4106051316484809E-13</v>
      </c>
      <c r="CU174" s="17">
        <f>CT174*VLOOKUP('Données projet'!$B$13,Paramètres!$A$1:$I$89,3,0)*VLOOKUP('Données projet'!$B$13,Paramètres!$A$1:$I$89,5,0)</f>
        <v>-1.9065282685915009E-13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474.03051418249999</v>
      </c>
      <c r="CZ174" s="59">
        <f t="shared" si="150"/>
        <v>649.52271992719091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0.33487815055720216</v>
      </c>
      <c r="DG174" s="21">
        <f>EXP(-LN(2)/25)*DG173+(1-EXP(-LN(2)/25))/(LN(2)/25)*Calculateur!DB174*Calculateur!DD174*VLOOKUP('Données projet'!$B$13,Paramètres!$A$1:$I$89,3,0)*0.475*44/12</f>
        <v>0.48515646848139282</v>
      </c>
      <c r="DH174" s="21">
        <f>EXP(-LN(2)/2)*DH173+(1-EXP(-LN(2)/2))/(LN(2)/2)*DB174*DE174*VLOOKUP('Données projet'!$B$13,Paramètres!$A$1:$I$89,3,0)*0.475*44/12</f>
        <v>7.0074312504021765E-21</v>
      </c>
      <c r="DI174" s="22">
        <f t="shared" si="175"/>
        <v>0.82003461903859498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-5.6843418860808015E-14</v>
      </c>
      <c r="DP174" s="17">
        <f>DO174*VLOOKUP('Données projet'!$B$14,Paramètres!$A$1:$I$89,3,0)*VLOOKUP('Données projet'!$B$14,Paramètres!$A$1:$I$89,5,0)</f>
        <v>-3.1036506698001178E-14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164.0740581424559</v>
      </c>
      <c r="DU174" s="59">
        <f t="shared" si="152"/>
        <v>280.99861170359793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0.40475758666318706</v>
      </c>
      <c r="EB174" s="21">
        <f>EXP(-LN(2)/25)*EB173+(1-EXP(-LN(2)/25))/(LN(2)/25)*Calculateur!DW174*Calculateur!DY174*VLOOKUP('Données projet'!$B$14,Paramètres!$A$1:$I$89,3,0)*0.475*44/12</f>
        <v>0.51931964935456432</v>
      </c>
      <c r="EC174" s="21">
        <f>EXP(-LN(2)/2)*EC173+(1-EXP(-LN(2)/2))/(LN(2)/2)*DW174*DZ174*VLOOKUP('Données projet'!$B$14,Paramètres!$A$1:$I$89,3,0)*0.475*44/12</f>
        <v>9.0911801214153832E-21</v>
      </c>
      <c r="ED174" s="22">
        <f t="shared" si="178"/>
        <v>0.92407723601775138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1.1368683772161603E-13</v>
      </c>
      <c r="EK174" s="17">
        <f>EJ174*VLOOKUP('Données projet'!$B$15,Paramètres!$A$1:$I$89,3,0)*VLOOKUP('Données projet'!$B$15,Paramètres!$A$1:$I$89,5,0)</f>
        <v>5.4683368944097308E-14</v>
      </c>
      <c r="EL174" s="13">
        <f t="shared" si="179"/>
        <v>8.8129432816788268E-13</v>
      </c>
      <c r="EM174" s="20">
        <f t="shared" si="180"/>
        <v>1.6301611558033651E-12</v>
      </c>
      <c r="EN174" s="59">
        <f t="shared" si="128"/>
        <v>293.33333333333496</v>
      </c>
      <c r="EO174" s="59">
        <f ca="1">AVERAGE(OFFSET($EN$3,0,0,'Données projet'!$E$15+1,1))-AVERAGE(OFFSET($H$3,0,0,'Données projet'!$E$15+1,1))</f>
        <v>312.1172301514103</v>
      </c>
      <c r="EP174" s="59">
        <f t="shared" si="154"/>
        <v>369.85500533493212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0.1655792868687033</v>
      </c>
      <c r="EW174" s="21">
        <f>EXP(-LN(2)/25)*EW173+(1-EXP(-LN(2)/25))/(LN(2)/25)*Calculateur!ER174*Calculateur!ET174*VLOOKUP('Données projet'!$B$15,Paramètres!$A$1:$I$89,3,0)*0.475*44/12</f>
        <v>0.30159558399902897</v>
      </c>
      <c r="EX174" s="21">
        <f>EXP(-LN(2)/2)*EX173+(1-EXP(-LN(2)/2))/(LN(2)/2)*ER174*EU174*VLOOKUP('Données projet'!$B$15,Paramètres!$A$1:$I$89,3,0)*0.475*44/12</f>
        <v>1.8972453866360038E-20</v>
      </c>
      <c r="EY174" s="22">
        <f t="shared" si="181"/>
        <v>0.46717487086773224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-7.9808160080574461E-14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87.187251664304199</v>
      </c>
      <c r="FK174" s="59">
        <f t="shared" si="156"/>
        <v>148.84938257884147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0.1617049163048051</v>
      </c>
      <c r="FS174" s="21">
        <f>EXP(-LN(2)/2)*FS173+(1-EXP(-LN(2)/2))/(LN(2)/2)*FM174*FP174*VLOOKUP('Données projet'!$B$16,Paramètres!$A$1:$I$89,3,0)*0.475*44/12</f>
        <v>3.6439228686667498E-21</v>
      </c>
      <c r="FT174" s="22">
        <f t="shared" si="184"/>
        <v>0.1617049163048051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-1.1368683772161603E-13</v>
      </c>
      <c r="GA174" s="17">
        <f>FZ174*VLOOKUP('Données projet'!$B$17,Paramètres!$A$1:$I$89,3,0)*VLOOKUP('Données projet'!$B$17,Paramètres!$A$1:$I$89,5,0)</f>
        <v>-6.7984728957526396E-14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282.94722676586207</v>
      </c>
      <c r="GF174" s="59">
        <f t="shared" si="158"/>
        <v>310.63647941571298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0.21492401368684014</v>
      </c>
      <c r="GN174" s="21">
        <f>EXP(-LN(2)/2)*GN173+(1-EXP(-LN(2)/2))/(LN(2)/2)*GH174*GK174*VLOOKUP('Données projet'!$B$17,Paramètres!$A$1:$I$89,3,0)*0.475*44/12</f>
        <v>1.5355833543082453E-20</v>
      </c>
      <c r="GO174" s="21">
        <f t="shared" si="187"/>
        <v>0.21492401368684014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-1.1368683772161603E-13</v>
      </c>
      <c r="GV174" s="17">
        <f>GU174*VLOOKUP('Données projet'!$B$18,Paramètres!$A$1:$I$89,3,0)*VLOOKUP('Données projet'!$B$18,Paramètres!$A$1:$I$89,5,0)</f>
        <v>-6.7984728957526396E-14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255.54398581450459</v>
      </c>
      <c r="HA174" s="59">
        <f t="shared" si="160"/>
        <v>276.52622328061204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</v>
      </c>
      <c r="HH174" s="21">
        <f>EXP(-LN(2)/25)*HH173+(1-EXP(-LN(2)/25))/(LN(2)/25)*Calculateur!HC174*Calculateur!HE174*VLOOKUP('Données projet'!$B$18,Paramètres!$A$1:$I$89,3,0)*0.475*44/12</f>
        <v>0.10724034077537087</v>
      </c>
      <c r="HI174" s="21">
        <f>EXP(-LN(2)/2)*HI173+(1-EXP(-LN(2)/2))/(LN(2)/2)*HC174*HF174*VLOOKUP('Données projet'!$B$18,Paramètres!$A$1:$I$89,3,0)*0.475*44/12</f>
        <v>8.9045320450182645E-21</v>
      </c>
      <c r="HJ174" s="22">
        <f t="shared" si="190"/>
        <v>0.10724034077537087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4.9658410716801891E-14</v>
      </c>
      <c r="P175" s="13">
        <f t="shared" si="141"/>
        <v>8.0934058173791862E-13</v>
      </c>
      <c r="Q175" s="20">
        <f t="shared" si="162"/>
        <v>1.4960899118586383E-12</v>
      </c>
      <c r="R175" s="59">
        <f t="shared" si="109"/>
        <v>293.33333333333479</v>
      </c>
      <c r="S175" s="59">
        <f ca="1">AVERAGE(OFFSET($R$3,0,0,'Données projet'!$E$9+1,1))-AVERAGE(OFFSET($H$3,0,0,'Données projet'!$E$9+1,1))</f>
        <v>248.50221719467663</v>
      </c>
      <c r="T175" s="59">
        <f t="shared" si="142"/>
        <v>366.09064580347183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0.47426546794808083</v>
      </c>
      <c r="AA175" s="21">
        <f>EXP(-LN(2)/25)*AA174+(1-EXP(-LN(2)/25))/(LN(2)/25)*Calculateur!V175*Calculateur!X175*VLOOKUP('Données projet'!$B$9,Paramètres!$A$1:$I$89,3,0)*0.475*44/12</f>
        <v>0.46948731540003691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0.94375278334811774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263.22346936777603</v>
      </c>
      <c r="AO175" s="59">
        <f t="shared" si="144"/>
        <v>217.14714468707939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0.14192454989627865</v>
      </c>
      <c r="AW175" s="21">
        <f>EXP(-LN(2)/2)*AW174+(1-EXP(-LN(2)/2))/(LN(2)/2)*AQ175*AT175*VLOOKUP('Données projet'!$B$10,Paramètres!$A$1:$I$89,3,0)*0.475*44/12</f>
        <v>7.5600911155009826E-21</v>
      </c>
      <c r="AX175" s="21">
        <f t="shared" si="166"/>
        <v>0.14192454989627865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4.4337866711430253E-14</v>
      </c>
      <c r="BF175" s="13">
        <f t="shared" si="167"/>
        <v>7.3222115536967035E-13</v>
      </c>
      <c r="BG175" s="20">
        <f t="shared" si="168"/>
        <v>1.3525069634579169E-12</v>
      </c>
      <c r="BH175" s="59">
        <f t="shared" si="116"/>
        <v>293.33333333333468</v>
      </c>
      <c r="BI175" s="59">
        <f ca="1">AVERAGE(OFFSET($BH$3,0,0,'Données projet'!$E$11+1,1))-AVERAGE(OFFSET($H$3,0,0,'Données projet'!$E$11+1,1))</f>
        <v>219.22204054948094</v>
      </c>
      <c r="BJ175" s="59">
        <f t="shared" si="146"/>
        <v>222.41711966122034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6.1160024846424341E-2</v>
      </c>
      <c r="BR175" s="21">
        <f>EXP(-LN(2)/2)*BR174+(1-EXP(-LN(2)/2))/(LN(2)/2)*BL175*BO175*VLOOKUP('Données projet'!$B$11,Paramètres!$A$1:$I$89,3,0)*0.475*44/12</f>
        <v>1.3849443698174958E-21</v>
      </c>
      <c r="BS175" s="22">
        <f t="shared" si="169"/>
        <v>6.1160024846424341E-2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-3.979039320256561E-13</v>
      </c>
      <c r="BZ175" s="13">
        <f>BY175*VLOOKUP('Données projet'!$B$12,Paramètres!$A$1:$I$89,3,0)*VLOOKUP('Données projet'!$B$12,Paramètres!$A$1:$I$89,5,0)</f>
        <v>-3.41401573678013E-13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237.27357081252273</v>
      </c>
      <c r="CE175" s="59">
        <f t="shared" si="148"/>
        <v>68.768479693848576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-3.4106051316484809E-13</v>
      </c>
      <c r="CU175" s="17">
        <f>CT175*VLOOKUP('Données projet'!$B$13,Paramètres!$A$1:$I$89,3,0)*VLOOKUP('Données projet'!$B$13,Paramètres!$A$1:$I$89,5,0)</f>
        <v>-1.9065282685915009E-13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474.03051418249999</v>
      </c>
      <c r="CZ175" s="59">
        <f t="shared" si="150"/>
        <v>649.52271992719091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0.32831139428027872</v>
      </c>
      <c r="DG175" s="21">
        <f>EXP(-LN(2)/25)*DG174+(1-EXP(-LN(2)/25))/(LN(2)/25)*Calculateur!DB175*Calculateur!DD175*VLOOKUP('Données projet'!$B$13,Paramètres!$A$1:$I$89,3,0)*0.475*44/12</f>
        <v>0.47188983933749928</v>
      </c>
      <c r="DH175" s="21">
        <f>EXP(-LN(2)/2)*DH174+(1-EXP(-LN(2)/2))/(LN(2)/2)*DB175*DE175*VLOOKUP('Données projet'!$B$13,Paramètres!$A$1:$I$89,3,0)*0.475*44/12</f>
        <v>4.9550021558579069E-21</v>
      </c>
      <c r="DI175" s="22">
        <f t="shared" si="175"/>
        <v>0.80020123361777795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-5.6843418860808015E-14</v>
      </c>
      <c r="DP175" s="17">
        <f>DO175*VLOOKUP('Données projet'!$B$14,Paramètres!$A$1:$I$89,3,0)*VLOOKUP('Données projet'!$B$14,Paramètres!$A$1:$I$89,5,0)</f>
        <v>-3.1036506698001178E-14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164.0740581424559</v>
      </c>
      <c r="DU175" s="59">
        <f t="shared" si="152"/>
        <v>280.99861170359793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0.39682053726647265</v>
      </c>
      <c r="EB175" s="21">
        <f>EXP(-LN(2)/25)*EB174+(1-EXP(-LN(2)/25))/(LN(2)/25)*Calculateur!DW175*Calculateur!DY175*VLOOKUP('Données projet'!$B$14,Paramètres!$A$1:$I$89,3,0)*0.475*44/12</f>
        <v>0.50511882623313031</v>
      </c>
      <c r="EC175" s="21">
        <f>EXP(-LN(2)/2)*EC174+(1-EXP(-LN(2)/2))/(LN(2)/2)*DW175*DZ175*VLOOKUP('Données projet'!$B$14,Paramètres!$A$1:$I$89,3,0)*0.475*44/12</f>
        <v>6.428435112841158E-21</v>
      </c>
      <c r="ED175" s="22">
        <f t="shared" si="178"/>
        <v>0.90193936349960291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1.1368683772161603E-13</v>
      </c>
      <c r="EK175" s="17">
        <f>EJ175*VLOOKUP('Données projet'!$B$15,Paramètres!$A$1:$I$89,3,0)*VLOOKUP('Données projet'!$B$15,Paramètres!$A$1:$I$89,5,0)</f>
        <v>5.4683368944097308E-14</v>
      </c>
      <c r="EL175" s="13">
        <f t="shared" si="179"/>
        <v>8.8129432816788268E-13</v>
      </c>
      <c r="EM175" s="20">
        <f t="shared" si="180"/>
        <v>1.6301611558033651E-12</v>
      </c>
      <c r="EN175" s="59">
        <f t="shared" si="128"/>
        <v>293.33333333333496</v>
      </c>
      <c r="EO175" s="59">
        <f ca="1">AVERAGE(OFFSET($EN$3,0,0,'Données projet'!$E$15+1,1))-AVERAGE(OFFSET($H$3,0,0,'Données projet'!$E$15+1,1))</f>
        <v>312.1172301514103</v>
      </c>
      <c r="EP175" s="59">
        <f t="shared" si="154"/>
        <v>369.85500533493212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0.16233237804660075</v>
      </c>
      <c r="EW175" s="21">
        <f>EXP(-LN(2)/25)*EW174+(1-EXP(-LN(2)/25))/(LN(2)/25)*Calculateur!ER175*Calculateur!ET175*VLOOKUP('Données projet'!$B$15,Paramètres!$A$1:$I$89,3,0)*0.475*44/12</f>
        <v>0.29334843689435308</v>
      </c>
      <c r="EX175" s="21">
        <f>EXP(-LN(2)/2)*EX174+(1-EXP(-LN(2)/2))/(LN(2)/2)*ER175*EU175*VLOOKUP('Données projet'!$B$15,Paramètres!$A$1:$I$89,3,0)*0.475*44/12</f>
        <v>1.3415550784652116E-20</v>
      </c>
      <c r="EY175" s="22">
        <f t="shared" si="181"/>
        <v>0.4556808149409538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-7.9808160080574461E-14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87.187251664304199</v>
      </c>
      <c r="FK175" s="59">
        <f t="shared" si="156"/>
        <v>148.84938257884147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0.15728308686475823</v>
      </c>
      <c r="FS175" s="21">
        <f>EXP(-LN(2)/2)*FS174+(1-EXP(-LN(2)/2))/(LN(2)/2)*FM175*FP175*VLOOKUP('Données projet'!$B$16,Paramètres!$A$1:$I$89,3,0)*0.475*44/12</f>
        <v>2.576642570554996E-21</v>
      </c>
      <c r="FT175" s="22">
        <f t="shared" si="184"/>
        <v>0.15728308686475823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-1.1368683772161603E-13</v>
      </c>
      <c r="GA175" s="17">
        <f>FZ175*VLOOKUP('Données projet'!$B$17,Paramètres!$A$1:$I$89,3,0)*VLOOKUP('Données projet'!$B$17,Paramètres!$A$1:$I$89,5,0)</f>
        <v>-6.7984728957526396E-14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282.94722676586207</v>
      </c>
      <c r="GF175" s="59">
        <f t="shared" si="158"/>
        <v>310.63647941571298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0.20904690523021083</v>
      </c>
      <c r="GN175" s="21">
        <f>EXP(-LN(2)/2)*GN174+(1-EXP(-LN(2)/2))/(LN(2)/2)*GH175*GK175*VLOOKUP('Données projet'!$B$17,Paramètres!$A$1:$I$89,3,0)*0.475*44/12</f>
        <v>1.0858214029085451E-20</v>
      </c>
      <c r="GO175" s="21">
        <f t="shared" si="187"/>
        <v>0.20904690523021083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-1.1368683772161603E-13</v>
      </c>
      <c r="GV175" s="17">
        <f>GU175*VLOOKUP('Données projet'!$B$18,Paramètres!$A$1:$I$89,3,0)*VLOOKUP('Données projet'!$B$18,Paramètres!$A$1:$I$89,5,0)</f>
        <v>-6.7984728957526396E-14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255.54398581450459</v>
      </c>
      <c r="HA175" s="59">
        <f t="shared" si="160"/>
        <v>276.52622328061204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</v>
      </c>
      <c r="HH175" s="21">
        <f>EXP(-LN(2)/25)*HH174+(1-EXP(-LN(2)/25))/(LN(2)/25)*Calculateur!HC175*Calculateur!HE175*VLOOKUP('Données projet'!$B$18,Paramètres!$A$1:$I$89,3,0)*0.475*44/12</f>
        <v>0.10430784801734393</v>
      </c>
      <c r="HI175" s="21">
        <f>EXP(-LN(2)/2)*HI174+(1-EXP(-LN(2)/2))/(LN(2)/2)*HC175*HF175*VLOOKUP('Données projet'!$B$18,Paramètres!$A$1:$I$89,3,0)*0.475*44/12</f>
        <v>6.2964549923253306E-21</v>
      </c>
      <c r="HJ175" s="22">
        <f t="shared" si="190"/>
        <v>0.10430784801734393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4.9658410716801891E-14</v>
      </c>
      <c r="P176" s="13">
        <f t="shared" si="141"/>
        <v>8.0934058173791862E-13</v>
      </c>
      <c r="Q176" s="20">
        <f t="shared" si="162"/>
        <v>1.4960899118586383E-12</v>
      </c>
      <c r="R176" s="59">
        <f t="shared" si="109"/>
        <v>293.33333333333479</v>
      </c>
      <c r="S176" s="59">
        <f ca="1">AVERAGE(OFFSET($R$3,0,0,'Données projet'!$E$9+1,1))-AVERAGE(OFFSET($H$3,0,0,'Données projet'!$E$9+1,1))</f>
        <v>248.50221719467663</v>
      </c>
      <c r="T176" s="59">
        <f t="shared" si="142"/>
        <v>366.09064580347183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0.46496541139499104</v>
      </c>
      <c r="AA176" s="21">
        <f>EXP(-LN(2)/25)*AA175+(1-EXP(-LN(2)/25))/(LN(2)/25)*Calculateur!V176*Calculateur!X176*VLOOKUP('Données projet'!$B$9,Paramètres!$A$1:$I$89,3,0)*0.475*44/12</f>
        <v>0.45664916007115802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0.921614571466149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263.22346936777603</v>
      </c>
      <c r="AO176" s="59">
        <f t="shared" si="144"/>
        <v>217.14714468707939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0.13804361561587719</v>
      </c>
      <c r="AW176" s="21">
        <f>EXP(-LN(2)/2)*AW175+(1-EXP(-LN(2)/2))/(LN(2)/2)*AQ176*AT176*VLOOKUP('Données projet'!$B$10,Paramètres!$A$1:$I$89,3,0)*0.475*44/12</f>
        <v>5.3457916941589153E-21</v>
      </c>
      <c r="AX176" s="21">
        <f t="shared" si="166"/>
        <v>0.13804361561587719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4.4337866711430253E-14</v>
      </c>
      <c r="BF176" s="13">
        <f t="shared" si="167"/>
        <v>7.3222115536967035E-13</v>
      </c>
      <c r="BG176" s="20">
        <f t="shared" si="168"/>
        <v>1.3525069634579169E-12</v>
      </c>
      <c r="BH176" s="59">
        <f t="shared" si="116"/>
        <v>293.33333333333468</v>
      </c>
      <c r="BI176" s="59">
        <f ca="1">AVERAGE(OFFSET($BH$3,0,0,'Données projet'!$E$11+1,1))-AVERAGE(OFFSET($H$3,0,0,'Données projet'!$E$11+1,1))</f>
        <v>219.22204054948094</v>
      </c>
      <c r="BJ176" s="59">
        <f t="shared" si="146"/>
        <v>222.41711966122034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5.9487600750732943E-2</v>
      </c>
      <c r="BR176" s="21">
        <f>EXP(-LN(2)/2)*BR175+(1-EXP(-LN(2)/2))/(LN(2)/2)*BL176*BO176*VLOOKUP('Données projet'!$B$11,Paramètres!$A$1:$I$89,3,0)*0.475*44/12</f>
        <v>9.7930355546408093E-22</v>
      </c>
      <c r="BS176" s="22">
        <f t="shared" si="169"/>
        <v>5.9487600750732943E-2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-3.979039320256561E-13</v>
      </c>
      <c r="BZ176" s="13">
        <f>BY176*VLOOKUP('Données projet'!$B$12,Paramètres!$A$1:$I$89,3,0)*VLOOKUP('Données projet'!$B$12,Paramètres!$A$1:$I$89,5,0)</f>
        <v>-3.41401573678013E-13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237.27357081252273</v>
      </c>
      <c r="CE176" s="59">
        <f t="shared" si="148"/>
        <v>68.768479693848576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-3.4106051316484809E-13</v>
      </c>
      <c r="CU176" s="17">
        <f>CT176*VLOOKUP('Données projet'!$B$13,Paramètres!$A$1:$I$89,3,0)*VLOOKUP('Données projet'!$B$13,Paramètres!$A$1:$I$89,5,0)</f>
        <v>-1.9065282685915009E-13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474.03051418249999</v>
      </c>
      <c r="CZ176" s="59">
        <f t="shared" si="150"/>
        <v>649.52271992719091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0.32187340808861992</v>
      </c>
      <c r="DG176" s="21">
        <f>EXP(-LN(2)/25)*DG175+(1-EXP(-LN(2)/25))/(LN(2)/25)*Calculateur!DB176*Calculateur!DD176*VLOOKUP('Données projet'!$B$13,Paramètres!$A$1:$I$89,3,0)*0.475*44/12</f>
        <v>0.45898598686520725</v>
      </c>
      <c r="DH176" s="21">
        <f>EXP(-LN(2)/2)*DH175+(1-EXP(-LN(2)/2))/(LN(2)/2)*DB176*DE176*VLOOKUP('Données projet'!$B$13,Paramètres!$A$1:$I$89,3,0)*0.475*44/12</f>
        <v>3.5037156252010882E-21</v>
      </c>
      <c r="DI176" s="22">
        <f t="shared" si="175"/>
        <v>0.78085939495382717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-5.6843418860808015E-14</v>
      </c>
      <c r="DP176" s="17">
        <f>DO176*VLOOKUP('Données projet'!$B$14,Paramètres!$A$1:$I$89,3,0)*VLOOKUP('Données projet'!$B$14,Paramètres!$A$1:$I$89,5,0)</f>
        <v>-3.1036506698001178E-14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164.0740581424559</v>
      </c>
      <c r="DU176" s="59">
        <f t="shared" si="152"/>
        <v>280.99861170359793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0.38903912856730571</v>
      </c>
      <c r="EB176" s="21">
        <f>EXP(-LN(2)/25)*EB175+(1-EXP(-LN(2)/25))/(LN(2)/25)*Calculateur!DW176*Calculateur!DY176*VLOOKUP('Données projet'!$B$14,Paramètres!$A$1:$I$89,3,0)*0.475*44/12</f>
        <v>0.49130632536674074</v>
      </c>
      <c r="EC176" s="21">
        <f>EXP(-LN(2)/2)*EC175+(1-EXP(-LN(2)/2))/(LN(2)/2)*DW176*DZ176*VLOOKUP('Données projet'!$B$14,Paramètres!$A$1:$I$89,3,0)*0.475*44/12</f>
        <v>4.5455900607076916E-21</v>
      </c>
      <c r="ED176" s="22">
        <f t="shared" si="178"/>
        <v>0.88034545393404651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1.1368683772161603E-13</v>
      </c>
      <c r="EK176" s="17">
        <f>EJ176*VLOOKUP('Données projet'!$B$15,Paramètres!$A$1:$I$89,3,0)*VLOOKUP('Données projet'!$B$15,Paramètres!$A$1:$I$89,5,0)</f>
        <v>5.4683368944097308E-14</v>
      </c>
      <c r="EL176" s="13">
        <f t="shared" si="179"/>
        <v>8.8129432816788268E-13</v>
      </c>
      <c r="EM176" s="20">
        <f t="shared" si="180"/>
        <v>1.6301611558033651E-12</v>
      </c>
      <c r="EN176" s="59">
        <f t="shared" si="128"/>
        <v>293.33333333333496</v>
      </c>
      <c r="EO176" s="59">
        <f ca="1">AVERAGE(OFFSET($EN$3,0,0,'Données projet'!$E$15+1,1))-AVERAGE(OFFSET($H$3,0,0,'Données projet'!$E$15+1,1))</f>
        <v>312.1172301514103</v>
      </c>
      <c r="EP176" s="59">
        <f t="shared" si="154"/>
        <v>369.85500533493212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0.15914913912608081</v>
      </c>
      <c r="EW176" s="21">
        <f>EXP(-LN(2)/25)*EW175+(1-EXP(-LN(2)/25))/(LN(2)/25)*Calculateur!ER176*Calculateur!ET176*VLOOKUP('Données projet'!$B$15,Paramètres!$A$1:$I$89,3,0)*0.475*44/12</f>
        <v>0.28532680846095315</v>
      </c>
      <c r="EX176" s="21">
        <f>EXP(-LN(2)/2)*EX175+(1-EXP(-LN(2)/2))/(LN(2)/2)*ER176*EU176*VLOOKUP('Données projet'!$B$15,Paramètres!$A$1:$I$89,3,0)*0.475*44/12</f>
        <v>9.4862269331800207E-21</v>
      </c>
      <c r="EY176" s="22">
        <f t="shared" si="181"/>
        <v>0.44447594758703396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-7.9808160080574461E-14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87.187251664304199</v>
      </c>
      <c r="FK176" s="59">
        <f t="shared" si="156"/>
        <v>148.84938257884147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0.15298217258328334</v>
      </c>
      <c r="FS176" s="21">
        <f>EXP(-LN(2)/2)*FS175+(1-EXP(-LN(2)/2))/(LN(2)/2)*FM176*FP176*VLOOKUP('Données projet'!$B$16,Paramètres!$A$1:$I$89,3,0)*0.475*44/12</f>
        <v>1.8219614343333749E-21</v>
      </c>
      <c r="FT176" s="22">
        <f t="shared" si="184"/>
        <v>0.15298217258328334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-1.1368683772161603E-13</v>
      </c>
      <c r="GA176" s="17">
        <f>FZ176*VLOOKUP('Données projet'!$B$17,Paramètres!$A$1:$I$89,3,0)*VLOOKUP('Données projet'!$B$17,Paramètres!$A$1:$I$89,5,0)</f>
        <v>-6.7984728957526396E-14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282.94722676586207</v>
      </c>
      <c r="GF176" s="59">
        <f t="shared" si="158"/>
        <v>310.63647941571298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0.20333050661339175</v>
      </c>
      <c r="GN176" s="21">
        <f>EXP(-LN(2)/2)*GN175+(1-EXP(-LN(2)/2))/(LN(2)/2)*GH176*GK176*VLOOKUP('Données projet'!$B$17,Paramètres!$A$1:$I$89,3,0)*0.475*44/12</f>
        <v>7.6779167715412263E-21</v>
      </c>
      <c r="GO176" s="21">
        <f t="shared" si="187"/>
        <v>0.20333050661339175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-1.1368683772161603E-13</v>
      </c>
      <c r="GV176" s="17">
        <f>GU176*VLOOKUP('Données projet'!$B$18,Paramètres!$A$1:$I$89,3,0)*VLOOKUP('Données projet'!$B$18,Paramètres!$A$1:$I$89,5,0)</f>
        <v>-6.7984728957526396E-14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255.54398581450459</v>
      </c>
      <c r="HA176" s="59">
        <f t="shared" si="160"/>
        <v>276.52622328061204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</v>
      </c>
      <c r="HH176" s="21">
        <f>EXP(-LN(2)/25)*HH175+(1-EXP(-LN(2)/25))/(LN(2)/25)*Calculateur!HC176*Calculateur!HE176*VLOOKUP('Données projet'!$B$18,Paramètres!$A$1:$I$89,3,0)*0.475*44/12</f>
        <v>0.10145554442799833</v>
      </c>
      <c r="HI176" s="21">
        <f>EXP(-LN(2)/2)*HI175+(1-EXP(-LN(2)/2))/(LN(2)/2)*HC176*HF176*VLOOKUP('Données projet'!$B$18,Paramètres!$A$1:$I$89,3,0)*0.475*44/12</f>
        <v>4.4522660225091322E-21</v>
      </c>
      <c r="HJ176" s="22">
        <f t="shared" si="190"/>
        <v>0.10145554442799833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4.9658410716801891E-14</v>
      </c>
      <c r="P177" s="13">
        <f t="shared" si="141"/>
        <v>8.0934058173791862E-13</v>
      </c>
      <c r="Q177" s="20">
        <f t="shared" si="162"/>
        <v>1.4960899118586383E-12</v>
      </c>
      <c r="R177" s="59">
        <f t="shared" si="109"/>
        <v>293.33333333333479</v>
      </c>
      <c r="S177" s="59">
        <f ca="1">AVERAGE(OFFSET($R$3,0,0,'Données projet'!$E$9+1,1))-AVERAGE(OFFSET($H$3,0,0,'Données projet'!$E$9+1,1))</f>
        <v>248.50221719467663</v>
      </c>
      <c r="T177" s="59">
        <f t="shared" si="142"/>
        <v>366.09064580347183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0.45584772327843293</v>
      </c>
      <c r="AA177" s="21">
        <f>EXP(-LN(2)/25)*AA176+(1-EXP(-LN(2)/25))/(LN(2)/25)*Calculateur!V177*Calculateur!X177*VLOOKUP('Données projet'!$B$9,Paramètres!$A$1:$I$89,3,0)*0.475*44/12</f>
        <v>0.44416206477487657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0.90000978805330956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263.22346936777603</v>
      </c>
      <c r="AO177" s="59">
        <f t="shared" si="144"/>
        <v>217.14714468707939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0.1342688056874628</v>
      </c>
      <c r="AW177" s="21">
        <f>EXP(-LN(2)/2)*AW176+(1-EXP(-LN(2)/2))/(LN(2)/2)*AQ177*AT177*VLOOKUP('Données projet'!$B$10,Paramètres!$A$1:$I$89,3,0)*0.475*44/12</f>
        <v>3.7800455577504913E-21</v>
      </c>
      <c r="AX177" s="21">
        <f t="shared" si="166"/>
        <v>0.1342688056874628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4.4337866711430253E-14</v>
      </c>
      <c r="BF177" s="13">
        <f t="shared" si="167"/>
        <v>7.3222115536967035E-13</v>
      </c>
      <c r="BG177" s="20">
        <f t="shared" si="168"/>
        <v>1.3525069634579169E-12</v>
      </c>
      <c r="BH177" s="59">
        <f t="shared" si="116"/>
        <v>293.33333333333468</v>
      </c>
      <c r="BI177" s="59">
        <f ca="1">AVERAGE(OFFSET($BH$3,0,0,'Données projet'!$E$11+1,1))-AVERAGE(OFFSET($H$3,0,0,'Données projet'!$E$11+1,1))</f>
        <v>219.22204054948094</v>
      </c>
      <c r="BJ177" s="59">
        <f t="shared" si="146"/>
        <v>222.41711966122034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5.7860909179887191E-2</v>
      </c>
      <c r="BR177" s="21">
        <f>EXP(-LN(2)/2)*BR176+(1-EXP(-LN(2)/2))/(LN(2)/2)*BL177*BO177*VLOOKUP('Données projet'!$B$11,Paramètres!$A$1:$I$89,3,0)*0.475*44/12</f>
        <v>6.9247218490874789E-22</v>
      </c>
      <c r="BS177" s="22">
        <f t="shared" si="169"/>
        <v>5.7860909179887191E-2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-3.979039320256561E-13</v>
      </c>
      <c r="BZ177" s="13">
        <f>BY177*VLOOKUP('Données projet'!$B$12,Paramètres!$A$1:$I$89,3,0)*VLOOKUP('Données projet'!$B$12,Paramètres!$A$1:$I$89,5,0)</f>
        <v>-3.41401573678013E-13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237.27357081252273</v>
      </c>
      <c r="CE177" s="59">
        <f t="shared" si="148"/>
        <v>68.768479693848576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-3.4106051316484809E-13</v>
      </c>
      <c r="CU177" s="17">
        <f>CT177*VLOOKUP('Données projet'!$B$13,Paramètres!$A$1:$I$89,3,0)*VLOOKUP('Données projet'!$B$13,Paramètres!$A$1:$I$89,5,0)</f>
        <v>-1.9065282685915009E-13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474.03051418249999</v>
      </c>
      <c r="CZ177" s="59">
        <f t="shared" si="150"/>
        <v>649.52271992719091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0.31556166687939569</v>
      </c>
      <c r="DG177" s="21">
        <f>EXP(-LN(2)/25)*DG176+(1-EXP(-LN(2)/25))/(LN(2)/25)*Calculateur!DB177*Calculateur!DD177*VLOOKUP('Données projet'!$B$13,Paramètres!$A$1:$I$89,3,0)*0.475*44/12</f>
        <v>0.44643499091735411</v>
      </c>
      <c r="DH177" s="21">
        <f>EXP(-LN(2)/2)*DH176+(1-EXP(-LN(2)/2))/(LN(2)/2)*DB177*DE177*VLOOKUP('Données projet'!$B$13,Paramètres!$A$1:$I$89,3,0)*0.475*44/12</f>
        <v>2.4775010779289535E-21</v>
      </c>
      <c r="DI177" s="22">
        <f t="shared" si="175"/>
        <v>0.76199665779674985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-5.6843418860808015E-14</v>
      </c>
      <c r="DP177" s="17">
        <f>DO177*VLOOKUP('Données projet'!$B$14,Paramètres!$A$1:$I$89,3,0)*VLOOKUP('Données projet'!$B$14,Paramètres!$A$1:$I$89,5,0)</f>
        <v>-3.1036506698001178E-14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164.0740581424559</v>
      </c>
      <c r="DU177" s="59">
        <f t="shared" si="152"/>
        <v>280.99861170359793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0.38141030854653879</v>
      </c>
      <c r="EB177" s="21">
        <f>EXP(-LN(2)/25)*EB176+(1-EXP(-LN(2)/25))/(LN(2)/25)*Calculateur!DW177*Calculateur!DY177*VLOOKUP('Données projet'!$B$14,Paramètres!$A$1:$I$89,3,0)*0.475*44/12</f>
        <v>0.47787152806291044</v>
      </c>
      <c r="EC177" s="21">
        <f>EXP(-LN(2)/2)*EC176+(1-EXP(-LN(2)/2))/(LN(2)/2)*DW177*DZ177*VLOOKUP('Données projet'!$B$14,Paramètres!$A$1:$I$89,3,0)*0.475*44/12</f>
        <v>3.214217556420579E-21</v>
      </c>
      <c r="ED177" s="22">
        <f t="shared" si="178"/>
        <v>0.85928183660944923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1.1368683772161603E-13</v>
      </c>
      <c r="EK177" s="17">
        <f>EJ177*VLOOKUP('Données projet'!$B$15,Paramètres!$A$1:$I$89,3,0)*VLOOKUP('Données projet'!$B$15,Paramètres!$A$1:$I$89,5,0)</f>
        <v>5.4683368944097308E-14</v>
      </c>
      <c r="EL177" s="13">
        <f t="shared" si="179"/>
        <v>8.8129432816788268E-13</v>
      </c>
      <c r="EM177" s="20">
        <f t="shared" si="180"/>
        <v>1.6301611558033651E-12</v>
      </c>
      <c r="EN177" s="59">
        <f t="shared" si="128"/>
        <v>293.33333333333496</v>
      </c>
      <c r="EO177" s="59">
        <f ca="1">AVERAGE(OFFSET($EN$3,0,0,'Données projet'!$E$15+1,1))-AVERAGE(OFFSET($H$3,0,0,'Données projet'!$E$15+1,1))</f>
        <v>312.1172301514103</v>
      </c>
      <c r="EP177" s="59">
        <f t="shared" si="154"/>
        <v>369.85500533493212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0.15602832157920823</v>
      </c>
      <c r="EW177" s="21">
        <f>EXP(-LN(2)/25)*EW176+(1-EXP(-LN(2)/25))/(LN(2)/25)*Calculateur!ER177*Calculateur!ET177*VLOOKUP('Données projet'!$B$15,Paramètres!$A$1:$I$89,3,0)*0.475*44/12</f>
        <v>0.27752453187890364</v>
      </c>
      <c r="EX177" s="21">
        <f>EXP(-LN(2)/2)*EX176+(1-EXP(-LN(2)/2))/(LN(2)/2)*ER177*EU177*VLOOKUP('Données projet'!$B$15,Paramètres!$A$1:$I$89,3,0)*0.475*44/12</f>
        <v>6.7077753923260589E-21</v>
      </c>
      <c r="EY177" s="22">
        <f t="shared" si="181"/>
        <v>0.4335528534581119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-7.9808160080574461E-14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87.187251664304199</v>
      </c>
      <c r="FK177" s="59">
        <f t="shared" si="156"/>
        <v>148.84938257884147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0.14879886702901066</v>
      </c>
      <c r="FS177" s="21">
        <f>EXP(-LN(2)/2)*FS176+(1-EXP(-LN(2)/2))/(LN(2)/2)*FM177*FP177*VLOOKUP('Données projet'!$B$16,Paramètres!$A$1:$I$89,3,0)*0.475*44/12</f>
        <v>1.288321285277498E-21</v>
      </c>
      <c r="FT177" s="22">
        <f t="shared" si="184"/>
        <v>0.14879886702901066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-1.1368683772161603E-13</v>
      </c>
      <c r="GA177" s="17">
        <f>FZ177*VLOOKUP('Données projet'!$B$17,Paramètres!$A$1:$I$89,3,0)*VLOOKUP('Données projet'!$B$17,Paramètres!$A$1:$I$89,5,0)</f>
        <v>-6.7984728957526396E-14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282.94722676586207</v>
      </c>
      <c r="GF177" s="59">
        <f t="shared" si="158"/>
        <v>310.63647941571298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0.19777042321736193</v>
      </c>
      <c r="GN177" s="21">
        <f>EXP(-LN(2)/2)*GN176+(1-EXP(-LN(2)/2))/(LN(2)/2)*GH177*GK177*VLOOKUP('Données projet'!$B$17,Paramètres!$A$1:$I$89,3,0)*0.475*44/12</f>
        <v>5.4291070145427254E-21</v>
      </c>
      <c r="GO177" s="21">
        <f t="shared" si="187"/>
        <v>0.19777042321736193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-1.1368683772161603E-13</v>
      </c>
      <c r="GV177" s="17">
        <f>GU177*VLOOKUP('Données projet'!$B$18,Paramètres!$A$1:$I$89,3,0)*VLOOKUP('Données projet'!$B$18,Paramètres!$A$1:$I$89,5,0)</f>
        <v>-6.7984728957526396E-14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255.54398581450459</v>
      </c>
      <c r="HA177" s="59">
        <f t="shared" si="160"/>
        <v>276.52622328061204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</v>
      </c>
      <c r="HH177" s="21">
        <f>EXP(-LN(2)/25)*HH176+(1-EXP(-LN(2)/25))/(LN(2)/25)*Calculateur!HC177*Calculateur!HE177*VLOOKUP('Données projet'!$B$18,Paramètres!$A$1:$I$89,3,0)*0.475*44/12</f>
        <v>9.8681237230299507E-2</v>
      </c>
      <c r="HI177" s="21">
        <f>EXP(-LN(2)/2)*HI176+(1-EXP(-LN(2)/2))/(LN(2)/2)*HC177*HF177*VLOOKUP('Données projet'!$B$18,Paramètres!$A$1:$I$89,3,0)*0.475*44/12</f>
        <v>3.1482274961626653E-21</v>
      </c>
      <c r="HJ177" s="22">
        <f t="shared" si="190"/>
        <v>9.8681237230299507E-2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4.9658410716801891E-14</v>
      </c>
      <c r="P178" s="13">
        <f t="shared" si="141"/>
        <v>8.0934058173791862E-13</v>
      </c>
      <c r="Q178" s="20">
        <f t="shared" si="162"/>
        <v>1.4960899118586383E-12</v>
      </c>
      <c r="R178" s="59">
        <f t="shared" si="109"/>
        <v>293.33333333333479</v>
      </c>
      <c r="S178" s="59">
        <f ca="1">AVERAGE(OFFSET($R$3,0,0,'Données projet'!$E$9+1,1))-AVERAGE(OFFSET($H$3,0,0,'Données projet'!$E$9+1,1))</f>
        <v>248.50221719467663</v>
      </c>
      <c r="T178" s="59">
        <f t="shared" si="142"/>
        <v>366.09064580347183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0.44690882746459992</v>
      </c>
      <c r="AA178" s="21">
        <f>EXP(-LN(2)/25)*AA177+(1-EXP(-LN(2)/25))/(LN(2)/25)*Calculateur!V178*Calculateur!X178*VLOOKUP('Données projet'!$B$9,Paramètres!$A$1:$I$89,3,0)*0.475*44/12</f>
        <v>0.43201642975613974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0.87892525722073966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263.22346936777603</v>
      </c>
      <c r="AO178" s="59">
        <f t="shared" si="144"/>
        <v>217.14714468707939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0.13059721813504951</v>
      </c>
      <c r="AW178" s="21">
        <f>EXP(-LN(2)/2)*AW177+(1-EXP(-LN(2)/2))/(LN(2)/2)*AQ178*AT178*VLOOKUP('Données projet'!$B$10,Paramètres!$A$1:$I$89,3,0)*0.475*44/12</f>
        <v>2.6728958470794577E-21</v>
      </c>
      <c r="AX178" s="21">
        <f t="shared" si="166"/>
        <v>0.13059721813504951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4.4337866711430253E-14</v>
      </c>
      <c r="BF178" s="13">
        <f t="shared" si="167"/>
        <v>7.3222115536967035E-13</v>
      </c>
      <c r="BG178" s="20">
        <f t="shared" si="168"/>
        <v>1.3525069634579169E-12</v>
      </c>
      <c r="BH178" s="59">
        <f t="shared" si="116"/>
        <v>293.33333333333468</v>
      </c>
      <c r="BI178" s="59">
        <f ca="1">AVERAGE(OFFSET($BH$3,0,0,'Données projet'!$E$11+1,1))-AVERAGE(OFFSET($H$3,0,0,'Données projet'!$E$11+1,1))</f>
        <v>219.22204054948094</v>
      </c>
      <c r="BJ178" s="59">
        <f t="shared" si="146"/>
        <v>222.41711966122034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5.6278699575590202E-2</v>
      </c>
      <c r="BR178" s="21">
        <f>EXP(-LN(2)/2)*BR177+(1-EXP(-LN(2)/2))/(LN(2)/2)*BL178*BO178*VLOOKUP('Données projet'!$B$11,Paramètres!$A$1:$I$89,3,0)*0.475*44/12</f>
        <v>4.8965177773204047E-22</v>
      </c>
      <c r="BS178" s="22">
        <f t="shared" si="169"/>
        <v>5.6278699575590202E-2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-3.979039320256561E-13</v>
      </c>
      <c r="BZ178" s="13">
        <f>BY178*VLOOKUP('Données projet'!$B$12,Paramètres!$A$1:$I$89,3,0)*VLOOKUP('Données projet'!$B$12,Paramètres!$A$1:$I$89,5,0)</f>
        <v>-3.41401573678013E-13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237.27357081252273</v>
      </c>
      <c r="CE178" s="59">
        <f t="shared" si="148"/>
        <v>68.768479693848576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-3.4106051316484809E-13</v>
      </c>
      <c r="CU178" s="17">
        <f>CT178*VLOOKUP('Données projet'!$B$13,Paramètres!$A$1:$I$89,3,0)*VLOOKUP('Données projet'!$B$13,Paramètres!$A$1:$I$89,5,0)</f>
        <v>-1.9065282685915009E-13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474.03051418249999</v>
      </c>
      <c r="CZ178" s="59">
        <f t="shared" si="150"/>
        <v>649.52271992719091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0.30937369506550233</v>
      </c>
      <c r="DG178" s="21">
        <f>EXP(-LN(2)/25)*DG177+(1-EXP(-LN(2)/25))/(LN(2)/25)*Calculateur!DB178*Calculateur!DD178*VLOOKUP('Données projet'!$B$13,Paramètres!$A$1:$I$89,3,0)*0.475*44/12</f>
        <v>0.43422720261372322</v>
      </c>
      <c r="DH178" s="21">
        <f>EXP(-LN(2)/2)*DH177+(1-EXP(-LN(2)/2))/(LN(2)/2)*DB178*DE178*VLOOKUP('Données projet'!$B$13,Paramètres!$A$1:$I$89,3,0)*0.475*44/12</f>
        <v>1.7518578126005441E-21</v>
      </c>
      <c r="DI178" s="22">
        <f t="shared" si="175"/>
        <v>0.74360089767922555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-5.6843418860808015E-14</v>
      </c>
      <c r="DP178" s="17">
        <f>DO178*VLOOKUP('Données projet'!$B$14,Paramètres!$A$1:$I$89,3,0)*VLOOKUP('Données projet'!$B$14,Paramètres!$A$1:$I$89,5,0)</f>
        <v>-3.1036506698001178E-14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164.0740581424559</v>
      </c>
      <c r="DU178" s="59">
        <f t="shared" si="152"/>
        <v>280.99861170359793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0.37393108503325834</v>
      </c>
      <c r="EB178" s="21">
        <f>EXP(-LN(2)/25)*EB177+(1-EXP(-LN(2)/25))/(LN(2)/25)*Calculateur!DW178*Calculateur!DY178*VLOOKUP('Données projet'!$B$14,Paramètres!$A$1:$I$89,3,0)*0.475*44/12</f>
        <v>0.46480410599785871</v>
      </c>
      <c r="EC178" s="21">
        <f>EXP(-LN(2)/2)*EC177+(1-EXP(-LN(2)/2))/(LN(2)/2)*DW178*DZ178*VLOOKUP('Données projet'!$B$14,Paramètres!$A$1:$I$89,3,0)*0.475*44/12</f>
        <v>2.2727950303538458E-21</v>
      </c>
      <c r="ED178" s="22">
        <f t="shared" si="178"/>
        <v>0.83873519103111704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1.1368683772161603E-13</v>
      </c>
      <c r="EK178" s="17">
        <f>EJ178*VLOOKUP('Données projet'!$B$15,Paramètres!$A$1:$I$89,3,0)*VLOOKUP('Données projet'!$B$15,Paramètres!$A$1:$I$89,5,0)</f>
        <v>5.4683368944097308E-14</v>
      </c>
      <c r="EL178" s="13">
        <f t="shared" si="179"/>
        <v>8.8129432816788268E-13</v>
      </c>
      <c r="EM178" s="20">
        <f t="shared" si="180"/>
        <v>1.6301611558033651E-12</v>
      </c>
      <c r="EN178" s="59">
        <f t="shared" si="128"/>
        <v>293.33333333333496</v>
      </c>
      <c r="EO178" s="59">
        <f ca="1">AVERAGE(OFFSET($EN$3,0,0,'Données projet'!$E$15+1,1))-AVERAGE(OFFSET($H$3,0,0,'Données projet'!$E$15+1,1))</f>
        <v>312.1172301514103</v>
      </c>
      <c r="EP178" s="59">
        <f t="shared" si="154"/>
        <v>369.85500533493212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0.15296870136091908</v>
      </c>
      <c r="EW178" s="21">
        <f>EXP(-LN(2)/25)*EW177+(1-EXP(-LN(2)/25))/(LN(2)/25)*Calculateur!ER178*Calculateur!ET178*VLOOKUP('Données projet'!$B$15,Paramètres!$A$1:$I$89,3,0)*0.475*44/12</f>
        <v>0.26993560896029417</v>
      </c>
      <c r="EX178" s="21">
        <f>EXP(-LN(2)/2)*EX177+(1-EXP(-LN(2)/2))/(LN(2)/2)*ER178*EU178*VLOOKUP('Données projet'!$B$15,Paramètres!$A$1:$I$89,3,0)*0.475*44/12</f>
        <v>4.7431134665900111E-21</v>
      </c>
      <c r="EY178" s="22">
        <f t="shared" si="181"/>
        <v>0.42290431032121323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-7.9808160080574461E-14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87.187251664304199</v>
      </c>
      <c r="FK178" s="59">
        <f t="shared" si="156"/>
        <v>148.84938257884147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0.14472995418511003</v>
      </c>
      <c r="FS178" s="21">
        <f>EXP(-LN(2)/2)*FS177+(1-EXP(-LN(2)/2))/(LN(2)/2)*FM178*FP178*VLOOKUP('Données projet'!$B$16,Paramètres!$A$1:$I$89,3,0)*0.475*44/12</f>
        <v>9.1098071716668744E-22</v>
      </c>
      <c r="FT178" s="22">
        <f t="shared" si="184"/>
        <v>0.14472995418511003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-1.1368683772161603E-13</v>
      </c>
      <c r="GA178" s="17">
        <f>FZ178*VLOOKUP('Données projet'!$B$17,Paramètres!$A$1:$I$89,3,0)*VLOOKUP('Données projet'!$B$17,Paramètres!$A$1:$I$89,5,0)</f>
        <v>-6.7984728957526396E-14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282.94722676586207</v>
      </c>
      <c r="GF178" s="59">
        <f t="shared" si="158"/>
        <v>310.63647941571298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0.19236238059418861</v>
      </c>
      <c r="GN178" s="21">
        <f>EXP(-LN(2)/2)*GN177+(1-EXP(-LN(2)/2))/(LN(2)/2)*GH178*GK178*VLOOKUP('Données projet'!$B$17,Paramètres!$A$1:$I$89,3,0)*0.475*44/12</f>
        <v>3.8389583857706131E-21</v>
      </c>
      <c r="GO178" s="21">
        <f t="shared" si="187"/>
        <v>0.19236238059418861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-1.1368683772161603E-13</v>
      </c>
      <c r="GV178" s="17">
        <f>GU178*VLOOKUP('Données projet'!$B$18,Paramètres!$A$1:$I$89,3,0)*VLOOKUP('Données projet'!$B$18,Paramètres!$A$1:$I$89,5,0)</f>
        <v>-6.7984728957526396E-14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255.54398581450459</v>
      </c>
      <c r="HA178" s="59">
        <f t="shared" si="160"/>
        <v>276.52622328061204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</v>
      </c>
      <c r="HH178" s="21">
        <f>EXP(-LN(2)/25)*HH177+(1-EXP(-LN(2)/25))/(LN(2)/25)*Calculateur!HC178*Calculateur!HE178*VLOOKUP('Données projet'!$B$18,Paramètres!$A$1:$I$89,3,0)*0.475*44/12</f>
        <v>9.5982793608816244E-2</v>
      </c>
      <c r="HI178" s="21">
        <f>EXP(-LN(2)/2)*HI177+(1-EXP(-LN(2)/2))/(LN(2)/2)*HC178*HF178*VLOOKUP('Données projet'!$B$18,Paramètres!$A$1:$I$89,3,0)*0.475*44/12</f>
        <v>2.2261330112545661E-21</v>
      </c>
      <c r="HJ178" s="22">
        <f t="shared" si="190"/>
        <v>9.5982793608816244E-2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4.9658410716801891E-14</v>
      </c>
      <c r="P179" s="13">
        <f t="shared" si="141"/>
        <v>8.0934058173791862E-13</v>
      </c>
      <c r="Q179" s="20">
        <f t="shared" si="162"/>
        <v>1.4960899118586383E-12</v>
      </c>
      <c r="R179" s="59">
        <f t="shared" si="109"/>
        <v>293.33333333333479</v>
      </c>
      <c r="S179" s="59">
        <f ca="1">AVERAGE(OFFSET($R$3,0,0,'Données projet'!$E$9+1,1))-AVERAGE(OFFSET($H$3,0,0,'Données projet'!$E$9+1,1))</f>
        <v>248.50221719467663</v>
      </c>
      <c r="T179" s="59">
        <f t="shared" si="142"/>
        <v>366.09064580347183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0.43814521794548811</v>
      </c>
      <c r="AA179" s="21">
        <f>EXP(-LN(2)/25)*AA178+(1-EXP(-LN(2)/25))/(LN(2)/25)*Calculateur!V179*Calculateur!X179*VLOOKUP('Données projet'!$B$9,Paramètres!$A$1:$I$89,3,0)*0.475*44/12</f>
        <v>0.42020291776570146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0.85834813571118951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263.22346936777603</v>
      </c>
      <c r="AO179" s="59">
        <f t="shared" si="144"/>
        <v>217.14714468707939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0.12702603033733736</v>
      </c>
      <c r="AW179" s="21">
        <f>EXP(-LN(2)/2)*AW178+(1-EXP(-LN(2)/2))/(LN(2)/2)*AQ179*AT179*VLOOKUP('Données projet'!$B$10,Paramètres!$A$1:$I$89,3,0)*0.475*44/12</f>
        <v>1.8900227788752456E-21</v>
      </c>
      <c r="AX179" s="21">
        <f t="shared" si="166"/>
        <v>0.12702603033733736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4.4337866711430253E-14</v>
      </c>
      <c r="BF179" s="13">
        <f t="shared" si="167"/>
        <v>7.3222115536967035E-13</v>
      </c>
      <c r="BG179" s="20">
        <f t="shared" si="168"/>
        <v>1.3525069634579169E-12</v>
      </c>
      <c r="BH179" s="59">
        <f t="shared" si="116"/>
        <v>293.33333333333468</v>
      </c>
      <c r="BI179" s="59">
        <f ca="1">AVERAGE(OFFSET($BH$3,0,0,'Données projet'!$E$11+1,1))-AVERAGE(OFFSET($H$3,0,0,'Données projet'!$E$11+1,1))</f>
        <v>219.22204054948094</v>
      </c>
      <c r="BJ179" s="59">
        <f t="shared" si="146"/>
        <v>222.41711966122034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5.4739755576127501E-2</v>
      </c>
      <c r="BR179" s="21">
        <f>EXP(-LN(2)/2)*BR178+(1-EXP(-LN(2)/2))/(LN(2)/2)*BL179*BO179*VLOOKUP('Données projet'!$B$11,Paramètres!$A$1:$I$89,3,0)*0.475*44/12</f>
        <v>3.4623609245437394E-22</v>
      </c>
      <c r="BS179" s="22">
        <f t="shared" si="169"/>
        <v>5.4739755576127501E-2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-3.979039320256561E-13</v>
      </c>
      <c r="BZ179" s="13">
        <f>BY179*VLOOKUP('Données projet'!$B$12,Paramètres!$A$1:$I$89,3,0)*VLOOKUP('Données projet'!$B$12,Paramètres!$A$1:$I$89,5,0)</f>
        <v>-3.41401573678013E-13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237.27357081252273</v>
      </c>
      <c r="CE179" s="59">
        <f t="shared" si="148"/>
        <v>68.768479693848576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-3.4106051316484809E-13</v>
      </c>
      <c r="CU179" s="17">
        <f>CT179*VLOOKUP('Données projet'!$B$13,Paramètres!$A$1:$I$89,3,0)*VLOOKUP('Données projet'!$B$13,Paramètres!$A$1:$I$89,5,0)</f>
        <v>-1.9065282685915009E-13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474.03051418249999</v>
      </c>
      <c r="CZ179" s="59">
        <f t="shared" si="150"/>
        <v>649.52271992719091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0.30330706560458931</v>
      </c>
      <c r="DG179" s="21">
        <f>EXP(-LN(2)/25)*DG178+(1-EXP(-LN(2)/25))/(LN(2)/25)*Calculateur!DB179*Calculateur!DD179*VLOOKUP('Données projet'!$B$13,Paramètres!$A$1:$I$89,3,0)*0.475*44/12</f>
        <v>0.42235323692323479</v>
      </c>
      <c r="DH179" s="21">
        <f>EXP(-LN(2)/2)*DH178+(1-EXP(-LN(2)/2))/(LN(2)/2)*DB179*DE179*VLOOKUP('Données projet'!$B$13,Paramètres!$A$1:$I$89,3,0)*0.475*44/12</f>
        <v>1.2387505389644767E-21</v>
      </c>
      <c r="DI179" s="22">
        <f t="shared" si="175"/>
        <v>0.7256603025278241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-5.6843418860808015E-14</v>
      </c>
      <c r="DP179" s="17">
        <f>DO179*VLOOKUP('Données projet'!$B$14,Paramètres!$A$1:$I$89,3,0)*VLOOKUP('Données projet'!$B$14,Paramètres!$A$1:$I$89,5,0)</f>
        <v>-3.1036506698001178E-14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164.0740581424559</v>
      </c>
      <c r="DU179" s="59">
        <f t="shared" si="152"/>
        <v>280.99861170359793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0.36659852453119746</v>
      </c>
      <c r="EB179" s="21">
        <f>EXP(-LN(2)/25)*EB178+(1-EXP(-LN(2)/25))/(LN(2)/25)*Calculateur!DW179*Calculateur!DY179*VLOOKUP('Données projet'!$B$14,Paramètres!$A$1:$I$89,3,0)*0.475*44/12</f>
        <v>0.45209401327636167</v>
      </c>
      <c r="EC179" s="21">
        <f>EXP(-LN(2)/2)*EC178+(1-EXP(-LN(2)/2))/(LN(2)/2)*DW179*DZ179*VLOOKUP('Données projet'!$B$14,Paramètres!$A$1:$I$89,3,0)*0.475*44/12</f>
        <v>1.6071087782102895E-21</v>
      </c>
      <c r="ED179" s="22">
        <f t="shared" si="178"/>
        <v>0.81869253780755913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1.1368683772161603E-13</v>
      </c>
      <c r="EK179" s="17">
        <f>EJ179*VLOOKUP('Données projet'!$B$15,Paramètres!$A$1:$I$89,3,0)*VLOOKUP('Données projet'!$B$15,Paramètres!$A$1:$I$89,5,0)</f>
        <v>5.4683368944097308E-14</v>
      </c>
      <c r="EL179" s="13">
        <f t="shared" si="179"/>
        <v>8.8129432816788268E-13</v>
      </c>
      <c r="EM179" s="20">
        <f t="shared" si="180"/>
        <v>1.6301611558033651E-12</v>
      </c>
      <c r="EN179" s="59">
        <f t="shared" si="128"/>
        <v>293.33333333333496</v>
      </c>
      <c r="EO179" s="59">
        <f ca="1">AVERAGE(OFFSET($EN$3,0,0,'Données projet'!$E$15+1,1))-AVERAGE(OFFSET($H$3,0,0,'Données projet'!$E$15+1,1))</f>
        <v>312.1172301514103</v>
      </c>
      <c r="EP179" s="59">
        <f t="shared" si="154"/>
        <v>369.85500533493212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0.14996907842892651</v>
      </c>
      <c r="EW179" s="21">
        <f>EXP(-LN(2)/25)*EW178+(1-EXP(-LN(2)/25))/(LN(2)/25)*Calculateur!ER179*Calculateur!ET179*VLOOKUP('Données projet'!$B$15,Paramètres!$A$1:$I$89,3,0)*0.475*44/12</f>
        <v>0.2625542055379782</v>
      </c>
      <c r="EX179" s="21">
        <f>EXP(-LN(2)/2)*EX178+(1-EXP(-LN(2)/2))/(LN(2)/2)*ER179*EU179*VLOOKUP('Données projet'!$B$15,Paramètres!$A$1:$I$89,3,0)*0.475*44/12</f>
        <v>3.3538876961630302E-21</v>
      </c>
      <c r="EY179" s="22">
        <f t="shared" si="181"/>
        <v>0.41252328396690474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-7.9808160080574461E-14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87.187251664304199</v>
      </c>
      <c r="FK179" s="59">
        <f t="shared" si="156"/>
        <v>148.84938257884147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0.14077230597690069</v>
      </c>
      <c r="FS179" s="21">
        <f>EXP(-LN(2)/2)*FS178+(1-EXP(-LN(2)/2))/(LN(2)/2)*FM179*FP179*VLOOKUP('Données projet'!$B$16,Paramètres!$A$1:$I$89,3,0)*0.475*44/12</f>
        <v>6.44160642638749E-22</v>
      </c>
      <c r="FT179" s="22">
        <f t="shared" si="184"/>
        <v>0.14077230597690069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-1.1368683772161603E-13</v>
      </c>
      <c r="GA179" s="17">
        <f>FZ179*VLOOKUP('Données projet'!$B$17,Paramètres!$A$1:$I$89,3,0)*VLOOKUP('Données projet'!$B$17,Paramètres!$A$1:$I$89,5,0)</f>
        <v>-6.7984728957526396E-14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282.94722676586207</v>
      </c>
      <c r="GF179" s="59">
        <f t="shared" si="158"/>
        <v>310.63647941571298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0.18710222118094258</v>
      </c>
      <c r="GN179" s="21">
        <f>EXP(-LN(2)/2)*GN178+(1-EXP(-LN(2)/2))/(LN(2)/2)*GH179*GK179*VLOOKUP('Données projet'!$B$17,Paramètres!$A$1:$I$89,3,0)*0.475*44/12</f>
        <v>2.7145535072713627E-21</v>
      </c>
      <c r="GO179" s="21">
        <f t="shared" si="187"/>
        <v>0.18710222118094258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-1.1368683772161603E-13</v>
      </c>
      <c r="GV179" s="17">
        <f>GU179*VLOOKUP('Données projet'!$B$18,Paramètres!$A$1:$I$89,3,0)*VLOOKUP('Données projet'!$B$18,Paramètres!$A$1:$I$89,5,0)</f>
        <v>-6.7984728957526396E-14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255.54398581450459</v>
      </c>
      <c r="HA179" s="59">
        <f t="shared" si="160"/>
        <v>276.52622328061204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</v>
      </c>
      <c r="HH179" s="21">
        <f>EXP(-LN(2)/25)*HH178+(1-EXP(-LN(2)/25))/(LN(2)/25)*Calculateur!HC179*Calculateur!HE179*VLOOKUP('Données projet'!$B$18,Paramètres!$A$1:$I$89,3,0)*0.475*44/12</f>
        <v>9.3358139070067417E-2</v>
      </c>
      <c r="HI179" s="21">
        <f>EXP(-LN(2)/2)*HI178+(1-EXP(-LN(2)/2))/(LN(2)/2)*HC179*HF179*VLOOKUP('Données projet'!$B$18,Paramètres!$A$1:$I$89,3,0)*0.475*44/12</f>
        <v>1.5741137480813326E-21</v>
      </c>
      <c r="HJ179" s="22">
        <f t="shared" si="190"/>
        <v>9.3358139070067417E-2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4.9658410716801891E-14</v>
      </c>
      <c r="P180" s="13">
        <f t="shared" si="141"/>
        <v>8.0934058173791862E-13</v>
      </c>
      <c r="Q180" s="20">
        <f t="shared" si="162"/>
        <v>1.4960899118586383E-12</v>
      </c>
      <c r="R180" s="59">
        <f t="shared" si="109"/>
        <v>293.33333333333479</v>
      </c>
      <c r="S180" s="59">
        <f ca="1">AVERAGE(OFFSET($R$3,0,0,'Données projet'!$E$9+1,1))-AVERAGE(OFFSET($H$3,0,0,'Données projet'!$E$9+1,1))</f>
        <v>248.50221719467663</v>
      </c>
      <c r="T180" s="59">
        <f t="shared" si="142"/>
        <v>366.09064580347183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0.42955345746377205</v>
      </c>
      <c r="AA180" s="21">
        <f>EXP(-LN(2)/25)*AA179+(1-EXP(-LN(2)/25))/(LN(2)/25)*Calculateur!V180*Calculateur!X180*VLOOKUP('Données projet'!$B$9,Paramètres!$A$1:$I$89,3,0)*0.475*44/12</f>
        <v>0.40871244688188729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0.83826590434565929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263.22346936777603</v>
      </c>
      <c r="AO180" s="59">
        <f t="shared" si="144"/>
        <v>217.14714468707939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0.12355249685775425</v>
      </c>
      <c r="AW180" s="21">
        <f>EXP(-LN(2)/2)*AW179+(1-EXP(-LN(2)/2))/(LN(2)/2)*AQ180*AT180*VLOOKUP('Données projet'!$B$10,Paramètres!$A$1:$I$89,3,0)*0.475*44/12</f>
        <v>1.3364479235397288E-21</v>
      </c>
      <c r="AX180" s="21">
        <f t="shared" si="166"/>
        <v>0.12355249685775425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4.4337866711430253E-14</v>
      </c>
      <c r="BF180" s="13">
        <f t="shared" si="167"/>
        <v>7.3222115536967035E-13</v>
      </c>
      <c r="BG180" s="20">
        <f t="shared" si="168"/>
        <v>1.3525069634579169E-12</v>
      </c>
      <c r="BH180" s="59">
        <f t="shared" si="116"/>
        <v>293.33333333333468</v>
      </c>
      <c r="BI180" s="59">
        <f ca="1">AVERAGE(OFFSET($BH$3,0,0,'Données projet'!$E$11+1,1))-AVERAGE(OFFSET($H$3,0,0,'Données projet'!$E$11+1,1))</f>
        <v>219.22204054948094</v>
      </c>
      <c r="BJ180" s="59">
        <f t="shared" si="146"/>
        <v>222.41711966122034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5.3242894081259658E-2</v>
      </c>
      <c r="BR180" s="21">
        <f>EXP(-LN(2)/2)*BR179+(1-EXP(-LN(2)/2))/(LN(2)/2)*BL180*BO180*VLOOKUP('Données projet'!$B$11,Paramètres!$A$1:$I$89,3,0)*0.475*44/12</f>
        <v>2.4482588886602023E-22</v>
      </c>
      <c r="BS180" s="22">
        <f t="shared" si="169"/>
        <v>5.3242894081259658E-2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-3.979039320256561E-13</v>
      </c>
      <c r="BZ180" s="13">
        <f>BY180*VLOOKUP('Données projet'!$B$12,Paramètres!$A$1:$I$89,3,0)*VLOOKUP('Données projet'!$B$12,Paramètres!$A$1:$I$89,5,0)</f>
        <v>-3.41401573678013E-13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237.27357081252273</v>
      </c>
      <c r="CE180" s="59">
        <f t="shared" si="148"/>
        <v>68.768479693848576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-3.4106051316484809E-13</v>
      </c>
      <c r="CU180" s="17">
        <f>CT180*VLOOKUP('Données projet'!$B$13,Paramètres!$A$1:$I$89,3,0)*VLOOKUP('Données projet'!$B$13,Paramètres!$A$1:$I$89,5,0)</f>
        <v>-1.9065282685915009E-13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474.03051418249999</v>
      </c>
      <c r="CZ180" s="59">
        <f t="shared" si="150"/>
        <v>649.52271992719091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0.29735939904712622</v>
      </c>
      <c r="DG180" s="21">
        <f>EXP(-LN(2)/25)*DG179+(1-EXP(-LN(2)/25))/(LN(2)/25)*Calculateur!DB180*Calculateur!DD180*VLOOKUP('Données projet'!$B$13,Paramètres!$A$1:$I$89,3,0)*0.475*44/12</f>
        <v>0.41080396544897751</v>
      </c>
      <c r="DH180" s="21">
        <f>EXP(-LN(2)/2)*DH179+(1-EXP(-LN(2)/2))/(LN(2)/2)*DB180*DE180*VLOOKUP('Données projet'!$B$13,Paramètres!$A$1:$I$89,3,0)*0.475*44/12</f>
        <v>8.7592890630027206E-22</v>
      </c>
      <c r="DI180" s="22">
        <f t="shared" si="175"/>
        <v>0.70816336449610373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-5.6843418860808015E-14</v>
      </c>
      <c r="DP180" s="17">
        <f>DO180*VLOOKUP('Données projet'!$B$14,Paramètres!$A$1:$I$89,3,0)*VLOOKUP('Données projet'!$B$14,Paramètres!$A$1:$I$89,5,0)</f>
        <v>-3.1036506698001178E-14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164.0740581424559</v>
      </c>
      <c r="DU180" s="59">
        <f t="shared" si="152"/>
        <v>280.99861170359793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0.3594097510681617</v>
      </c>
      <c r="EB180" s="21">
        <f>EXP(-LN(2)/25)*EB179+(1-EXP(-LN(2)/25))/(LN(2)/25)*Calculateur!DW180*Calculateur!DY180*VLOOKUP('Données projet'!$B$14,Paramètres!$A$1:$I$89,3,0)*0.475*44/12</f>
        <v>0.4397314787087287</v>
      </c>
      <c r="EC180" s="21">
        <f>EXP(-LN(2)/2)*EC179+(1-EXP(-LN(2)/2))/(LN(2)/2)*DW180*DZ180*VLOOKUP('Données projet'!$B$14,Paramètres!$A$1:$I$89,3,0)*0.475*44/12</f>
        <v>1.1363975151769229E-21</v>
      </c>
      <c r="ED180" s="22">
        <f t="shared" si="178"/>
        <v>0.79914122977689039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1.1368683772161603E-13</v>
      </c>
      <c r="EK180" s="17">
        <f>EJ180*VLOOKUP('Données projet'!$B$15,Paramètres!$A$1:$I$89,3,0)*VLOOKUP('Données projet'!$B$15,Paramètres!$A$1:$I$89,5,0)</f>
        <v>5.4683368944097308E-14</v>
      </c>
      <c r="EL180" s="13">
        <f t="shared" si="179"/>
        <v>8.8129432816788268E-13</v>
      </c>
      <c r="EM180" s="20">
        <f t="shared" si="180"/>
        <v>1.6301611558033651E-12</v>
      </c>
      <c r="EN180" s="59">
        <f t="shared" si="128"/>
        <v>293.33333333333496</v>
      </c>
      <c r="EO180" s="59">
        <f ca="1">AVERAGE(OFFSET($EN$3,0,0,'Données projet'!$E$15+1,1))-AVERAGE(OFFSET($H$3,0,0,'Données projet'!$E$15+1,1))</f>
        <v>312.1172301514103</v>
      </c>
      <c r="EP180" s="59">
        <f t="shared" si="154"/>
        <v>369.85500533493212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0.14702827627304099</v>
      </c>
      <c r="EW180" s="21">
        <f>EXP(-LN(2)/25)*EW179+(1-EXP(-LN(2)/25))/(LN(2)/25)*Calculateur!ER180*Calculateur!ET180*VLOOKUP('Données projet'!$B$15,Paramètres!$A$1:$I$89,3,0)*0.475*44/12</f>
        <v>0.25537464698041662</v>
      </c>
      <c r="EX180" s="21">
        <f>EXP(-LN(2)/2)*EX179+(1-EXP(-LN(2)/2))/(LN(2)/2)*ER180*EU180*VLOOKUP('Données projet'!$B$15,Paramètres!$A$1:$I$89,3,0)*0.475*44/12</f>
        <v>2.3715567332950059E-21</v>
      </c>
      <c r="EY180" s="22">
        <f t="shared" si="181"/>
        <v>0.40240292325345761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-7.9808160080574461E-14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87.187251664304199</v>
      </c>
      <c r="FK180" s="59">
        <f t="shared" si="156"/>
        <v>148.84938257884147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0.1369228798670685</v>
      </c>
      <c r="FS180" s="21">
        <f>EXP(-LN(2)/2)*FS179+(1-EXP(-LN(2)/2))/(LN(2)/2)*FM180*FP180*VLOOKUP('Données projet'!$B$16,Paramètres!$A$1:$I$89,3,0)*0.475*44/12</f>
        <v>4.5549035858334372E-22</v>
      </c>
      <c r="FT180" s="22">
        <f t="shared" si="184"/>
        <v>0.1369228798670685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-1.1368683772161603E-13</v>
      </c>
      <c r="GA180" s="17">
        <f>FZ180*VLOOKUP('Données projet'!$B$17,Paramètres!$A$1:$I$89,3,0)*VLOOKUP('Données projet'!$B$17,Paramètres!$A$1:$I$89,5,0)</f>
        <v>-6.7984728957526396E-14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282.94722676586207</v>
      </c>
      <c r="GF180" s="59">
        <f t="shared" si="158"/>
        <v>310.63647941571298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0.18198590110347151</v>
      </c>
      <c r="GN180" s="21">
        <f>EXP(-LN(2)/2)*GN179+(1-EXP(-LN(2)/2))/(LN(2)/2)*GH180*GK180*VLOOKUP('Données projet'!$B$17,Paramètres!$A$1:$I$89,3,0)*0.475*44/12</f>
        <v>1.9194791928853066E-21</v>
      </c>
      <c r="GO180" s="21">
        <f t="shared" si="187"/>
        <v>0.18198590110347151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-1.1368683772161603E-13</v>
      </c>
      <c r="GV180" s="17">
        <f>GU180*VLOOKUP('Données projet'!$B$18,Paramètres!$A$1:$I$89,3,0)*VLOOKUP('Données projet'!$B$18,Paramètres!$A$1:$I$89,5,0)</f>
        <v>-6.7984728957526396E-14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255.54398581450459</v>
      </c>
      <c r="HA180" s="59">
        <f t="shared" si="160"/>
        <v>276.52622328061204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</v>
      </c>
      <c r="HH180" s="21">
        <f>EXP(-LN(2)/25)*HH179+(1-EXP(-LN(2)/25))/(LN(2)/25)*Calculateur!HC180*Calculateur!HE180*VLOOKUP('Données projet'!$B$18,Paramètres!$A$1:$I$89,3,0)*0.475*44/12</f>
        <v>9.0805255847705268E-2</v>
      </c>
      <c r="HI180" s="21">
        <f>EXP(-LN(2)/2)*HI179+(1-EXP(-LN(2)/2))/(LN(2)/2)*HC180*HF180*VLOOKUP('Données projet'!$B$18,Paramètres!$A$1:$I$89,3,0)*0.475*44/12</f>
        <v>1.1130665056272831E-21</v>
      </c>
      <c r="HJ180" s="22">
        <f t="shared" si="190"/>
        <v>9.0805255847705268E-2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4.9658410716801891E-14</v>
      </c>
      <c r="P181" s="13">
        <f t="shared" si="141"/>
        <v>8.0934058173791862E-13</v>
      </c>
      <c r="Q181" s="20">
        <f t="shared" si="162"/>
        <v>1.4960899118586383E-12</v>
      </c>
      <c r="R181" s="59">
        <f t="shared" si="109"/>
        <v>293.33333333333479</v>
      </c>
      <c r="S181" s="59">
        <f ca="1">AVERAGE(OFFSET($R$3,0,0,'Données projet'!$E$9+1,1))-AVERAGE(OFFSET($H$3,0,0,'Données projet'!$E$9+1,1))</f>
        <v>248.50221719467663</v>
      </c>
      <c r="T181" s="59">
        <f t="shared" si="142"/>
        <v>366.09064580347183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0.42113017616464599</v>
      </c>
      <c r="AA181" s="21">
        <f>EXP(-LN(2)/25)*AA180+(1-EXP(-LN(2)/25))/(LN(2)/25)*Calculateur!V181*Calculateur!X181*VLOOKUP('Données projet'!$B$9,Paramètres!$A$1:$I$89,3,0)*0.475*44/12</f>
        <v>0.39753618352864861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0.8186663596932946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263.22346936777603</v>
      </c>
      <c r="AO181" s="59">
        <f t="shared" si="144"/>
        <v>217.14714468707939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0.12017394733383553</v>
      </c>
      <c r="AW181" s="21">
        <f>EXP(-LN(2)/2)*AW180+(1-EXP(-LN(2)/2))/(LN(2)/2)*AQ181*AT181*VLOOKUP('Données projet'!$B$10,Paramètres!$A$1:$I$89,3,0)*0.475*44/12</f>
        <v>9.4501138943762282E-22</v>
      </c>
      <c r="AX181" s="21">
        <f t="shared" si="166"/>
        <v>0.12017394733383553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4.4337866711430253E-14</v>
      </c>
      <c r="BF181" s="13">
        <f t="shared" si="167"/>
        <v>7.3222115536967035E-13</v>
      </c>
      <c r="BG181" s="20">
        <f t="shared" si="168"/>
        <v>1.3525069634579169E-12</v>
      </c>
      <c r="BH181" s="59">
        <f t="shared" si="116"/>
        <v>293.33333333333468</v>
      </c>
      <c r="BI181" s="59">
        <f ca="1">AVERAGE(OFFSET($BH$3,0,0,'Données projet'!$E$11+1,1))-AVERAGE(OFFSET($H$3,0,0,'Données projet'!$E$11+1,1))</f>
        <v>219.22204054948094</v>
      </c>
      <c r="BJ181" s="59">
        <f t="shared" si="146"/>
        <v>222.41711966122034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5.1786964342685503E-2</v>
      </c>
      <c r="BR181" s="21">
        <f>EXP(-LN(2)/2)*BR180+(1-EXP(-LN(2)/2))/(LN(2)/2)*BL181*BO181*VLOOKUP('Données projet'!$B$11,Paramètres!$A$1:$I$89,3,0)*0.475*44/12</f>
        <v>1.7311804622718697E-22</v>
      </c>
      <c r="BS181" s="22">
        <f t="shared" si="169"/>
        <v>5.1786964342685503E-2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-3.979039320256561E-13</v>
      </c>
      <c r="BZ181" s="13">
        <f>BY181*VLOOKUP('Données projet'!$B$12,Paramètres!$A$1:$I$89,3,0)*VLOOKUP('Données projet'!$B$12,Paramètres!$A$1:$I$89,5,0)</f>
        <v>-3.41401573678013E-13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237.27357081252273</v>
      </c>
      <c r="CE181" s="59">
        <f t="shared" si="148"/>
        <v>68.768479693848576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-3.4106051316484809E-13</v>
      </c>
      <c r="CU181" s="17">
        <f>CT181*VLOOKUP('Données projet'!$B$13,Paramètres!$A$1:$I$89,3,0)*VLOOKUP('Données projet'!$B$13,Paramètres!$A$1:$I$89,5,0)</f>
        <v>-1.9065282685915009E-13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474.03051418249999</v>
      </c>
      <c r="CZ181" s="59">
        <f t="shared" si="150"/>
        <v>649.52271992719091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0.29152836260313658</v>
      </c>
      <c r="DG181" s="21">
        <f>EXP(-LN(2)/25)*DG180+(1-EXP(-LN(2)/25))/(LN(2)/25)*Calculateur!DB181*Calculateur!DD181*VLOOKUP('Données projet'!$B$13,Paramètres!$A$1:$I$89,3,0)*0.475*44/12</f>
        <v>0.39957050941053357</v>
      </c>
      <c r="DH181" s="21">
        <f>EXP(-LN(2)/2)*DH180+(1-EXP(-LN(2)/2))/(LN(2)/2)*DB181*DE181*VLOOKUP('Données projet'!$B$13,Paramètres!$A$1:$I$89,3,0)*0.475*44/12</f>
        <v>6.1937526948223837E-22</v>
      </c>
      <c r="DI181" s="22">
        <f t="shared" si="175"/>
        <v>0.69109887201367015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-5.6843418860808015E-14</v>
      </c>
      <c r="DP181" s="17">
        <f>DO181*VLOOKUP('Données projet'!$B$14,Paramètres!$A$1:$I$89,3,0)*VLOOKUP('Données projet'!$B$14,Paramètres!$A$1:$I$89,5,0)</f>
        <v>-3.1036506698001178E-14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164.0740581424559</v>
      </c>
      <c r="DU181" s="59">
        <f t="shared" si="152"/>
        <v>280.99861170359793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0.35236194506801721</v>
      </c>
      <c r="EB181" s="21">
        <f>EXP(-LN(2)/25)*EB180+(1-EXP(-LN(2)/25))/(LN(2)/25)*Calculateur!DW181*Calculateur!DY181*VLOOKUP('Données projet'!$B$14,Paramètres!$A$1:$I$89,3,0)*0.475*44/12</f>
        <v>0.42770699829896508</v>
      </c>
      <c r="EC181" s="21">
        <f>EXP(-LN(2)/2)*EC180+(1-EXP(-LN(2)/2))/(LN(2)/2)*DW181*DZ181*VLOOKUP('Données projet'!$B$14,Paramètres!$A$1:$I$89,3,0)*0.475*44/12</f>
        <v>8.0355438910514475E-22</v>
      </c>
      <c r="ED181" s="22">
        <f t="shared" si="178"/>
        <v>0.78006894336698229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1.1368683772161603E-13</v>
      </c>
      <c r="EK181" s="17">
        <f>EJ181*VLOOKUP('Données projet'!$B$15,Paramètres!$A$1:$I$89,3,0)*VLOOKUP('Données projet'!$B$15,Paramètres!$A$1:$I$89,5,0)</f>
        <v>5.4683368944097308E-14</v>
      </c>
      <c r="EL181" s="13">
        <f t="shared" si="179"/>
        <v>8.8129432816788268E-13</v>
      </c>
      <c r="EM181" s="20">
        <f t="shared" si="180"/>
        <v>1.6301611558033651E-12</v>
      </c>
      <c r="EN181" s="59">
        <f t="shared" si="128"/>
        <v>293.33333333333496</v>
      </c>
      <c r="EO181" s="59">
        <f ca="1">AVERAGE(OFFSET($EN$3,0,0,'Données projet'!$E$15+1,1))-AVERAGE(OFFSET($H$3,0,0,'Données projet'!$E$15+1,1))</f>
        <v>312.1172301514103</v>
      </c>
      <c r="EP181" s="59">
        <f t="shared" si="154"/>
        <v>369.85500533493212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0.14414514145372018</v>
      </c>
      <c r="EW181" s="21">
        <f>EXP(-LN(2)/25)*EW180+(1-EXP(-LN(2)/25))/(LN(2)/25)*Calculateur!ER181*Calculateur!ET181*VLOOKUP('Données projet'!$B$15,Paramètres!$A$1:$I$89,3,0)*0.475*44/12</f>
        <v>0.2483914138291681</v>
      </c>
      <c r="EX181" s="21">
        <f>EXP(-LN(2)/2)*EX180+(1-EXP(-LN(2)/2))/(LN(2)/2)*ER181*EU181*VLOOKUP('Données projet'!$B$15,Paramètres!$A$1:$I$89,3,0)*0.475*44/12</f>
        <v>1.6769438480815153E-21</v>
      </c>
      <c r="EY181" s="22">
        <f t="shared" si="181"/>
        <v>0.39253655528288828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-7.9808160080574461E-14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87.187251664304199</v>
      </c>
      <c r="FK181" s="59">
        <f t="shared" si="156"/>
        <v>148.84938257884147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0.1331787165166422</v>
      </c>
      <c r="FS181" s="21">
        <f>EXP(-LN(2)/2)*FS180+(1-EXP(-LN(2)/2))/(LN(2)/2)*FM181*FP181*VLOOKUP('Données projet'!$B$16,Paramètres!$A$1:$I$89,3,0)*0.475*44/12</f>
        <v>3.220803213193745E-22</v>
      </c>
      <c r="FT181" s="22">
        <f t="shared" si="184"/>
        <v>0.1331787165166422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-1.1368683772161603E-13</v>
      </c>
      <c r="GA181" s="17">
        <f>FZ181*VLOOKUP('Données projet'!$B$17,Paramètres!$A$1:$I$89,3,0)*VLOOKUP('Données projet'!$B$17,Paramètres!$A$1:$I$89,5,0)</f>
        <v>-6.7984728957526396E-14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282.94722676586207</v>
      </c>
      <c r="GF181" s="59">
        <f t="shared" si="158"/>
        <v>310.63647941571298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0.17700948706757449</v>
      </c>
      <c r="GN181" s="21">
        <f>EXP(-LN(2)/2)*GN180+(1-EXP(-LN(2)/2))/(LN(2)/2)*GH181*GK181*VLOOKUP('Données projet'!$B$17,Paramètres!$A$1:$I$89,3,0)*0.475*44/12</f>
        <v>1.3572767536356814E-21</v>
      </c>
      <c r="GO181" s="21">
        <f t="shared" si="187"/>
        <v>0.17700948706757449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-1.1368683772161603E-13</v>
      </c>
      <c r="GV181" s="17">
        <f>GU181*VLOOKUP('Données projet'!$B$18,Paramètres!$A$1:$I$89,3,0)*VLOOKUP('Données projet'!$B$18,Paramètres!$A$1:$I$89,5,0)</f>
        <v>-6.7984728957526396E-14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255.54398581450459</v>
      </c>
      <c r="HA181" s="59">
        <f t="shared" si="160"/>
        <v>276.52622328061204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</v>
      </c>
      <c r="HH181" s="21">
        <f>EXP(-LN(2)/25)*HH180+(1-EXP(-LN(2)/25))/(LN(2)/25)*Calculateur!HC181*Calculateur!HE181*VLOOKUP('Données projet'!$B$18,Paramètres!$A$1:$I$89,3,0)*0.475*44/12</f>
        <v>8.8322181351308898E-2</v>
      </c>
      <c r="HI181" s="21">
        <f>EXP(-LN(2)/2)*HI180+(1-EXP(-LN(2)/2))/(LN(2)/2)*HC181*HF181*VLOOKUP('Données projet'!$B$18,Paramètres!$A$1:$I$89,3,0)*0.475*44/12</f>
        <v>7.8705687404066632E-22</v>
      </c>
      <c r="HJ181" s="22">
        <f t="shared" si="190"/>
        <v>8.8322181351308898E-2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4.9658410716801891E-14</v>
      </c>
      <c r="P182" s="13">
        <f t="shared" si="141"/>
        <v>8.0934058173791862E-13</v>
      </c>
      <c r="Q182" s="20">
        <f t="shared" si="162"/>
        <v>1.4960899118586383E-12</v>
      </c>
      <c r="R182" s="59">
        <f t="shared" si="109"/>
        <v>293.33333333333479</v>
      </c>
      <c r="S182" s="59">
        <f ca="1">AVERAGE(OFFSET($R$3,0,0,'Données projet'!$E$9+1,1))-AVERAGE(OFFSET($H$3,0,0,'Données projet'!$E$9+1,1))</f>
        <v>248.50221719467663</v>
      </c>
      <c r="T182" s="59">
        <f t="shared" si="142"/>
        <v>366.09064580347183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0.4128720702741015</v>
      </c>
      <c r="AA182" s="21">
        <f>EXP(-LN(2)/25)*AA181+(1-EXP(-LN(2)/25))/(LN(2)/25)*Calculateur!V182*Calculateur!X182*VLOOKUP('Données projet'!$B$9,Paramètres!$A$1:$I$89,3,0)*0.475*44/12</f>
        <v>0.38666553568453843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0.79953760595863987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263.22346936777603</v>
      </c>
      <c r="AO182" s="59">
        <f t="shared" si="144"/>
        <v>217.14714468707939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0.11688778442431857</v>
      </c>
      <c r="AW182" s="21">
        <f>EXP(-LN(2)/2)*AW181+(1-EXP(-LN(2)/2))/(LN(2)/2)*AQ182*AT182*VLOOKUP('Données projet'!$B$10,Paramètres!$A$1:$I$89,3,0)*0.475*44/12</f>
        <v>6.6822396176986442E-22</v>
      </c>
      <c r="AX182" s="21">
        <f t="shared" si="166"/>
        <v>0.11688778442431857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4.4337866711430253E-14</v>
      </c>
      <c r="BF182" s="13">
        <f t="shared" si="167"/>
        <v>7.3222115536967035E-13</v>
      </c>
      <c r="BG182" s="20">
        <f t="shared" si="168"/>
        <v>1.3525069634579169E-12</v>
      </c>
      <c r="BH182" s="59">
        <f t="shared" si="116"/>
        <v>293.33333333333468</v>
      </c>
      <c r="BI182" s="59">
        <f ca="1">AVERAGE(OFFSET($BH$3,0,0,'Données projet'!$E$11+1,1))-AVERAGE(OFFSET($H$3,0,0,'Données projet'!$E$11+1,1))</f>
        <v>219.22204054948094</v>
      </c>
      <c r="BJ182" s="59">
        <f t="shared" si="146"/>
        <v>222.41711966122034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5.0370847079376675E-2</v>
      </c>
      <c r="BR182" s="21">
        <f>EXP(-LN(2)/2)*BR181+(1-EXP(-LN(2)/2))/(LN(2)/2)*BL182*BO182*VLOOKUP('Données projet'!$B$11,Paramètres!$A$1:$I$89,3,0)*0.475*44/12</f>
        <v>1.2241294443301012E-22</v>
      </c>
      <c r="BS182" s="22">
        <f t="shared" si="169"/>
        <v>5.0370847079376675E-2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-3.979039320256561E-13</v>
      </c>
      <c r="BZ182" s="13">
        <f>BY182*VLOOKUP('Données projet'!$B$12,Paramètres!$A$1:$I$89,3,0)*VLOOKUP('Données projet'!$B$12,Paramètres!$A$1:$I$89,5,0)</f>
        <v>-3.41401573678013E-13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237.27357081252273</v>
      </c>
      <c r="CE182" s="59">
        <f t="shared" si="148"/>
        <v>68.768479693848576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-3.4106051316484809E-13</v>
      </c>
      <c r="CU182" s="17">
        <f>CT182*VLOOKUP('Données projet'!$B$13,Paramètres!$A$1:$I$89,3,0)*VLOOKUP('Données projet'!$B$13,Paramètres!$A$1:$I$89,5,0)</f>
        <v>-1.9065282685915009E-13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474.03051418249999</v>
      </c>
      <c r="CZ182" s="59">
        <f t="shared" si="150"/>
        <v>649.52271992719091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0.2858116692272325</v>
      </c>
      <c r="DG182" s="21">
        <f>EXP(-LN(2)/25)*DG181+(1-EXP(-LN(2)/25))/(LN(2)/25)*Calculateur!DB182*Calculateur!DD182*VLOOKUP('Données projet'!$B$13,Paramètres!$A$1:$I$89,3,0)*0.475*44/12</f>
        <v>0.38864423281820265</v>
      </c>
      <c r="DH182" s="21">
        <f>EXP(-LN(2)/2)*DH181+(1-EXP(-LN(2)/2))/(LN(2)/2)*DB182*DE182*VLOOKUP('Données projet'!$B$13,Paramètres!$A$1:$I$89,3,0)*0.475*44/12</f>
        <v>4.3796445315013603E-22</v>
      </c>
      <c r="DI182" s="22">
        <f t="shared" si="175"/>
        <v>0.67445590204543515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-5.6843418860808015E-14</v>
      </c>
      <c r="DP182" s="17">
        <f>DO182*VLOOKUP('Données projet'!$B$14,Paramètres!$A$1:$I$89,3,0)*VLOOKUP('Données projet'!$B$14,Paramètres!$A$1:$I$89,5,0)</f>
        <v>-3.1036506698001178E-14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164.0740581424559</v>
      </c>
      <c r="DU182" s="59">
        <f t="shared" si="152"/>
        <v>280.99861170359793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0.34545234224479832</v>
      </c>
      <c r="EB182" s="21">
        <f>EXP(-LN(2)/25)*EB181+(1-EXP(-LN(2)/25))/(LN(2)/25)*Calculateur!DW182*Calculateur!DY182*VLOOKUP('Données projet'!$B$14,Paramètres!$A$1:$I$89,3,0)*0.475*44/12</f>
        <v>0.41601132793834639</v>
      </c>
      <c r="EC182" s="21">
        <f>EXP(-LN(2)/2)*EC181+(1-EXP(-LN(2)/2))/(LN(2)/2)*DW182*DZ182*VLOOKUP('Données projet'!$B$14,Paramètres!$A$1:$I$89,3,0)*0.475*44/12</f>
        <v>5.6819875758846145E-22</v>
      </c>
      <c r="ED182" s="22">
        <f t="shared" si="178"/>
        <v>0.76146367018314476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1.1368683772161603E-13</v>
      </c>
      <c r="EK182" s="17">
        <f>EJ182*VLOOKUP('Données projet'!$B$15,Paramètres!$A$1:$I$89,3,0)*VLOOKUP('Données projet'!$B$15,Paramètres!$A$1:$I$89,5,0)</f>
        <v>5.4683368944097308E-14</v>
      </c>
      <c r="EL182" s="13">
        <f t="shared" si="179"/>
        <v>8.8129432816788268E-13</v>
      </c>
      <c r="EM182" s="20">
        <f t="shared" si="180"/>
        <v>1.6301611558033651E-12</v>
      </c>
      <c r="EN182" s="59">
        <f t="shared" si="128"/>
        <v>293.33333333333496</v>
      </c>
      <c r="EO182" s="59">
        <f ca="1">AVERAGE(OFFSET($EN$3,0,0,'Données projet'!$E$15+1,1))-AVERAGE(OFFSET($H$3,0,0,'Données projet'!$E$15+1,1))</f>
        <v>312.1172301514103</v>
      </c>
      <c r="EP182" s="59">
        <f t="shared" si="154"/>
        <v>369.85500533493212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0.14131854314966766</v>
      </c>
      <c r="EW182" s="21">
        <f>EXP(-LN(2)/25)*EW181+(1-EXP(-LN(2)/25))/(LN(2)/25)*Calculateur!ER182*Calculateur!ET182*VLOOKUP('Données projet'!$B$15,Paramètres!$A$1:$I$89,3,0)*0.475*44/12</f>
        <v>0.24159913755567275</v>
      </c>
      <c r="EX182" s="21">
        <f>EXP(-LN(2)/2)*EX181+(1-EXP(-LN(2)/2))/(LN(2)/2)*ER182*EU182*VLOOKUP('Données projet'!$B$15,Paramètres!$A$1:$I$89,3,0)*0.475*44/12</f>
        <v>1.1857783666475032E-21</v>
      </c>
      <c r="EY182" s="22">
        <f t="shared" si="181"/>
        <v>0.38291768070534038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-7.9808160080574461E-14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87.187251664304199</v>
      </c>
      <c r="FK182" s="59">
        <f t="shared" si="156"/>
        <v>148.84938257884147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0.12953693750993031</v>
      </c>
      <c r="FS182" s="21">
        <f>EXP(-LN(2)/2)*FS181+(1-EXP(-LN(2)/2))/(LN(2)/2)*FM182*FP182*VLOOKUP('Données projet'!$B$16,Paramètres!$A$1:$I$89,3,0)*0.475*44/12</f>
        <v>2.2774517929167186E-22</v>
      </c>
      <c r="FT182" s="22">
        <f t="shared" si="184"/>
        <v>0.12953693750993031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-1.1368683772161603E-13</v>
      </c>
      <c r="GA182" s="17">
        <f>FZ182*VLOOKUP('Données projet'!$B$17,Paramètres!$A$1:$I$89,3,0)*VLOOKUP('Données projet'!$B$17,Paramètres!$A$1:$I$89,5,0)</f>
        <v>-6.7984728957526396E-14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282.94722676586207</v>
      </c>
      <c r="GF182" s="59">
        <f t="shared" si="158"/>
        <v>310.63647941571298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0.17216915333518731</v>
      </c>
      <c r="GN182" s="21">
        <f>EXP(-LN(2)/2)*GN181+(1-EXP(-LN(2)/2))/(LN(2)/2)*GH182*GK182*VLOOKUP('Données projet'!$B$17,Paramètres!$A$1:$I$89,3,0)*0.475*44/12</f>
        <v>9.5973959644265328E-22</v>
      </c>
      <c r="GO182" s="21">
        <f t="shared" si="187"/>
        <v>0.17216915333518731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-1.1368683772161603E-13</v>
      </c>
      <c r="GV182" s="17">
        <f>GU182*VLOOKUP('Données projet'!$B$18,Paramètres!$A$1:$I$89,3,0)*VLOOKUP('Données projet'!$B$18,Paramètres!$A$1:$I$89,5,0)</f>
        <v>-6.7984728957526396E-14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255.54398581450459</v>
      </c>
      <c r="HA182" s="59">
        <f t="shared" si="160"/>
        <v>276.52622328061204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</v>
      </c>
      <c r="HH182" s="21">
        <f>EXP(-LN(2)/25)*HH181+(1-EXP(-LN(2)/25))/(LN(2)/25)*Calculateur!HC182*Calculateur!HE182*VLOOKUP('Données projet'!$B$18,Paramètres!$A$1:$I$89,3,0)*0.475*44/12</f>
        <v>8.5907006657595708E-2</v>
      </c>
      <c r="HI182" s="21">
        <f>EXP(-LN(2)/2)*HI181+(1-EXP(-LN(2)/2))/(LN(2)/2)*HC182*HF182*VLOOKUP('Données projet'!$B$18,Paramètres!$A$1:$I$89,3,0)*0.475*44/12</f>
        <v>5.5653325281364153E-22</v>
      </c>
      <c r="HJ182" s="22">
        <f t="shared" si="190"/>
        <v>8.5907006657595708E-2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4.9658410716801891E-14</v>
      </c>
      <c r="P183" s="13">
        <f t="shared" si="141"/>
        <v>8.0934058173791862E-13</v>
      </c>
      <c r="Q183" s="20">
        <f t="shared" si="162"/>
        <v>1.4960899118586383E-12</v>
      </c>
      <c r="R183" s="59">
        <f t="shared" si="109"/>
        <v>293.33333333333479</v>
      </c>
      <c r="S183" s="59">
        <f ca="1">AVERAGE(OFFSET($R$3,0,0,'Données projet'!$E$9+1,1))-AVERAGE(OFFSET($H$3,0,0,'Données projet'!$E$9+1,1))</f>
        <v>248.50221719467663</v>
      </c>
      <c r="T183" s="59">
        <f t="shared" si="142"/>
        <v>366.09064580347183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0.40477590080312337</v>
      </c>
      <c r="AA183" s="21">
        <f>EXP(-LN(2)/25)*AA182+(1-EXP(-LN(2)/25))/(LN(2)/25)*Calculateur!V183*Calculateur!X183*VLOOKUP('Données projet'!$B$9,Paramètres!$A$1:$I$89,3,0)*0.475*44/12</f>
        <v>0.37609214627738796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0.78086804708051138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263.22346936777603</v>
      </c>
      <c r="AO183" s="59">
        <f t="shared" si="144"/>
        <v>217.14714468707939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0.11369148181237415</v>
      </c>
      <c r="AW183" s="21">
        <f>EXP(-LN(2)/2)*AW182+(1-EXP(-LN(2)/2))/(LN(2)/2)*AQ183*AT183*VLOOKUP('Données projet'!$B$10,Paramètres!$A$1:$I$89,3,0)*0.475*44/12</f>
        <v>4.7250569471881141E-22</v>
      </c>
      <c r="AX183" s="21">
        <f t="shared" si="166"/>
        <v>0.11369148181237415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4.4337866711430253E-14</v>
      </c>
      <c r="BF183" s="13">
        <f t="shared" si="167"/>
        <v>7.3222115536967035E-13</v>
      </c>
      <c r="BG183" s="20">
        <f t="shared" si="168"/>
        <v>1.3525069634579169E-12</v>
      </c>
      <c r="BH183" s="59">
        <f t="shared" si="116"/>
        <v>293.33333333333468</v>
      </c>
      <c r="BI183" s="59">
        <f ca="1">AVERAGE(OFFSET($BH$3,0,0,'Données projet'!$E$11+1,1))-AVERAGE(OFFSET($H$3,0,0,'Données projet'!$E$11+1,1))</f>
        <v>219.22204054948094</v>
      </c>
      <c r="BJ183" s="59">
        <f t="shared" si="146"/>
        <v>222.41711966122034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4.8993453617103395E-2</v>
      </c>
      <c r="BR183" s="21">
        <f>EXP(-LN(2)/2)*BR182+(1-EXP(-LN(2)/2))/(LN(2)/2)*BL183*BO183*VLOOKUP('Données projet'!$B$11,Paramètres!$A$1:$I$89,3,0)*0.475*44/12</f>
        <v>8.6559023113593486E-23</v>
      </c>
      <c r="BS183" s="22">
        <f t="shared" si="169"/>
        <v>4.8993453617103395E-2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-3.979039320256561E-13</v>
      </c>
      <c r="BZ183" s="13">
        <f>BY183*VLOOKUP('Données projet'!$B$12,Paramètres!$A$1:$I$89,3,0)*VLOOKUP('Données projet'!$B$12,Paramètres!$A$1:$I$89,5,0)</f>
        <v>-3.41401573678013E-13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237.27357081252273</v>
      </c>
      <c r="CE183" s="59">
        <f t="shared" si="148"/>
        <v>68.768479693848576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-3.4106051316484809E-13</v>
      </c>
      <c r="CU183" s="17">
        <f>CT183*VLOOKUP('Données projet'!$B$13,Paramètres!$A$1:$I$89,3,0)*VLOOKUP('Données projet'!$B$13,Paramètres!$A$1:$I$89,5,0)</f>
        <v>-1.9065282685915009E-13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474.03051418249999</v>
      </c>
      <c r="CZ183" s="59">
        <f t="shared" si="150"/>
        <v>649.52271992719091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0.28020707672159123</v>
      </c>
      <c r="DG183" s="21">
        <f>EXP(-LN(2)/25)*DG182+(1-EXP(-LN(2)/25))/(LN(2)/25)*Calculateur!DB183*Calculateur!DD183*VLOOKUP('Données projet'!$B$13,Paramètres!$A$1:$I$89,3,0)*0.475*44/12</f>
        <v>0.37801673583387696</v>
      </c>
      <c r="DH183" s="21">
        <f>EXP(-LN(2)/2)*DH182+(1-EXP(-LN(2)/2))/(LN(2)/2)*DB183*DE183*VLOOKUP('Données projet'!$B$13,Paramètres!$A$1:$I$89,3,0)*0.475*44/12</f>
        <v>3.0968763474111918E-22</v>
      </c>
      <c r="DI183" s="22">
        <f t="shared" si="175"/>
        <v>0.65822381255546825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-5.6843418860808015E-14</v>
      </c>
      <c r="DP183" s="17">
        <f>DO183*VLOOKUP('Données projet'!$B$14,Paramètres!$A$1:$I$89,3,0)*VLOOKUP('Données projet'!$B$14,Paramètres!$A$1:$I$89,5,0)</f>
        <v>-3.1036506698001178E-14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164.0740581424559</v>
      </c>
      <c r="DU183" s="59">
        <f t="shared" si="152"/>
        <v>280.99861170359793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0.33867823251850121</v>
      </c>
      <c r="EB183" s="21">
        <f>EXP(-LN(2)/25)*EB182+(1-EXP(-LN(2)/25))/(LN(2)/25)*Calculateur!DW183*Calculateur!DY183*VLOOKUP('Données projet'!$B$14,Paramètres!$A$1:$I$89,3,0)*0.475*44/12</f>
        <v>0.40463547629878738</v>
      </c>
      <c r="EC183" s="21">
        <f>EXP(-LN(2)/2)*EC182+(1-EXP(-LN(2)/2))/(LN(2)/2)*DW183*DZ183*VLOOKUP('Données projet'!$B$14,Paramètres!$A$1:$I$89,3,0)*0.475*44/12</f>
        <v>4.0177719455257238E-22</v>
      </c>
      <c r="ED183" s="22">
        <f t="shared" si="178"/>
        <v>0.74331370881728853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1.1368683772161603E-13</v>
      </c>
      <c r="EK183" s="17">
        <f>EJ183*VLOOKUP('Données projet'!$B$15,Paramètres!$A$1:$I$89,3,0)*VLOOKUP('Données projet'!$B$15,Paramètres!$A$1:$I$89,5,0)</f>
        <v>5.4683368944097308E-14</v>
      </c>
      <c r="EL183" s="13">
        <f t="shared" si="179"/>
        <v>8.8129432816788268E-13</v>
      </c>
      <c r="EM183" s="20">
        <f t="shared" si="180"/>
        <v>1.6301611558033651E-12</v>
      </c>
      <c r="EN183" s="59">
        <f t="shared" si="128"/>
        <v>293.33333333333496</v>
      </c>
      <c r="EO183" s="59">
        <f ca="1">AVERAGE(OFFSET($EN$3,0,0,'Données projet'!$E$15+1,1))-AVERAGE(OFFSET($H$3,0,0,'Données projet'!$E$15+1,1))</f>
        <v>312.1172301514103</v>
      </c>
      <c r="EP183" s="59">
        <f t="shared" si="154"/>
        <v>369.85500533493212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0.13854737271430287</v>
      </c>
      <c r="EW183" s="21">
        <f>EXP(-LN(2)/25)*EW182+(1-EXP(-LN(2)/25))/(LN(2)/25)*Calculateur!ER183*Calculateur!ET183*VLOOKUP('Données projet'!$B$15,Paramètres!$A$1:$I$89,3,0)*0.475*44/12</f>
        <v>0.23499259643406642</v>
      </c>
      <c r="EX183" s="21">
        <f>EXP(-LN(2)/2)*EX182+(1-EXP(-LN(2)/2))/(LN(2)/2)*ER183*EU183*VLOOKUP('Données projet'!$B$15,Paramètres!$A$1:$I$89,3,0)*0.475*44/12</f>
        <v>8.3847192404075783E-22</v>
      </c>
      <c r="EY183" s="22">
        <f t="shared" si="181"/>
        <v>0.37353996914836929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-7.9808160080574461E-14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87.187251664304199</v>
      </c>
      <c r="FK183" s="59">
        <f t="shared" si="156"/>
        <v>148.84938257884147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0.12599474314166978</v>
      </c>
      <c r="FS183" s="21">
        <f>EXP(-LN(2)/2)*FS182+(1-EXP(-LN(2)/2))/(LN(2)/2)*FM183*FP183*VLOOKUP('Données projet'!$B$16,Paramètres!$A$1:$I$89,3,0)*0.475*44/12</f>
        <v>1.6104016065968725E-22</v>
      </c>
      <c r="FT183" s="22">
        <f t="shared" si="184"/>
        <v>0.12599474314166978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-1.1368683772161603E-13</v>
      </c>
      <c r="GA183" s="17">
        <f>FZ183*VLOOKUP('Données projet'!$B$17,Paramètres!$A$1:$I$89,3,0)*VLOOKUP('Données projet'!$B$17,Paramètres!$A$1:$I$89,5,0)</f>
        <v>-6.7984728957526396E-14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282.94722676586207</v>
      </c>
      <c r="GF183" s="59">
        <f t="shared" si="158"/>
        <v>310.63647941571298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0.16746117878325434</v>
      </c>
      <c r="GN183" s="21">
        <f>EXP(-LN(2)/2)*GN182+(1-EXP(-LN(2)/2))/(LN(2)/2)*GH183*GK183*VLOOKUP('Données projet'!$B$17,Paramètres!$A$1:$I$89,3,0)*0.475*44/12</f>
        <v>6.7863837681784068E-22</v>
      </c>
      <c r="GO183" s="21">
        <f t="shared" si="187"/>
        <v>0.16746117878325434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-1.1368683772161603E-13</v>
      </c>
      <c r="GV183" s="17">
        <f>GU183*VLOOKUP('Données projet'!$B$18,Paramètres!$A$1:$I$89,3,0)*VLOOKUP('Données projet'!$B$18,Paramètres!$A$1:$I$89,5,0)</f>
        <v>-6.7984728957526396E-14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255.54398581450459</v>
      </c>
      <c r="HA183" s="59">
        <f t="shared" si="160"/>
        <v>276.52622328061204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</v>
      </c>
      <c r="HH183" s="21">
        <f>EXP(-LN(2)/25)*HH182+(1-EXP(-LN(2)/25))/(LN(2)/25)*Calculateur!HC183*Calculateur!HE183*VLOOKUP('Données projet'!$B$18,Paramètres!$A$1:$I$89,3,0)*0.475*44/12</f>
        <v>8.3557875042890611E-2</v>
      </c>
      <c r="HI183" s="21">
        <f>EXP(-LN(2)/2)*HI182+(1-EXP(-LN(2)/2))/(LN(2)/2)*HC183*HF183*VLOOKUP('Données projet'!$B$18,Paramètres!$A$1:$I$89,3,0)*0.475*44/12</f>
        <v>3.9352843702033316E-22</v>
      </c>
      <c r="HJ183" s="22">
        <f t="shared" si="190"/>
        <v>8.3557875042890611E-2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4.9658410716801891E-14</v>
      </c>
      <c r="P184" s="13">
        <f t="shared" si="141"/>
        <v>8.0934058173791862E-13</v>
      </c>
      <c r="Q184" s="20">
        <f t="shared" si="162"/>
        <v>1.4960899118586383E-12</v>
      </c>
      <c r="R184" s="59">
        <f t="shared" si="109"/>
        <v>293.33333333333479</v>
      </c>
      <c r="S184" s="59">
        <f ca="1">AVERAGE(OFFSET($R$3,0,0,'Données projet'!$E$9+1,1))-AVERAGE(OFFSET($H$3,0,0,'Données projet'!$E$9+1,1))</f>
        <v>248.50221719467663</v>
      </c>
      <c r="T184" s="59">
        <f t="shared" si="142"/>
        <v>366.09064580347183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0.39683849227729534</v>
      </c>
      <c r="AA184" s="21">
        <f>EXP(-LN(2)/25)*AA183+(1-EXP(-LN(2)/25))/(LN(2)/25)*Calculateur!V184*Calculateur!X184*VLOOKUP('Données projet'!$B$9,Paramètres!$A$1:$I$89,3,0)*0.475*44/12</f>
        <v>0.3658078867596064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0.7626463790369018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263.22346936777603</v>
      </c>
      <c r="AO184" s="59">
        <f t="shared" si="144"/>
        <v>217.14714468707939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0.1105825822634396</v>
      </c>
      <c r="AW184" s="21">
        <f>EXP(-LN(2)/2)*AW183+(1-EXP(-LN(2)/2))/(LN(2)/2)*AQ184*AT184*VLOOKUP('Données projet'!$B$10,Paramètres!$A$1:$I$89,3,0)*0.475*44/12</f>
        <v>3.3411198088493221E-22</v>
      </c>
      <c r="AX184" s="21">
        <f t="shared" si="166"/>
        <v>0.1105825822634396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4.4337866711430253E-14</v>
      </c>
      <c r="BF184" s="13">
        <f t="shared" si="167"/>
        <v>7.3222115536967035E-13</v>
      </c>
      <c r="BG184" s="20">
        <f t="shared" si="168"/>
        <v>1.3525069634579169E-12</v>
      </c>
      <c r="BH184" s="59">
        <f t="shared" si="116"/>
        <v>293.33333333333468</v>
      </c>
      <c r="BI184" s="59">
        <f ca="1">AVERAGE(OFFSET($BH$3,0,0,'Données projet'!$E$11+1,1))-AVERAGE(OFFSET($H$3,0,0,'Données projet'!$E$11+1,1))</f>
        <v>219.22204054948094</v>
      </c>
      <c r="BJ184" s="59">
        <f t="shared" si="146"/>
        <v>222.41711966122034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4.7653725051489952E-2</v>
      </c>
      <c r="BR184" s="21">
        <f>EXP(-LN(2)/2)*BR183+(1-EXP(-LN(2)/2))/(LN(2)/2)*BL184*BO184*VLOOKUP('Données projet'!$B$11,Paramètres!$A$1:$I$89,3,0)*0.475*44/12</f>
        <v>6.1206472216505058E-23</v>
      </c>
      <c r="BS184" s="22">
        <f t="shared" si="169"/>
        <v>4.7653725051489952E-2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-3.979039320256561E-13</v>
      </c>
      <c r="BZ184" s="13">
        <f>BY184*VLOOKUP('Données projet'!$B$12,Paramètres!$A$1:$I$89,3,0)*VLOOKUP('Données projet'!$B$12,Paramètres!$A$1:$I$89,5,0)</f>
        <v>-3.41401573678013E-13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237.27357081252273</v>
      </c>
      <c r="CE184" s="59">
        <f t="shared" si="148"/>
        <v>68.768479693848576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-3.4106051316484809E-13</v>
      </c>
      <c r="CU184" s="17">
        <f>CT184*VLOOKUP('Données projet'!$B$13,Paramètres!$A$1:$I$89,3,0)*VLOOKUP('Données projet'!$B$13,Paramètres!$A$1:$I$89,5,0)</f>
        <v>-1.9065282685915009E-13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474.03051418249999</v>
      </c>
      <c r="CZ184" s="59">
        <f t="shared" si="150"/>
        <v>649.52271992719091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0.27471238685652172</v>
      </c>
      <c r="DG184" s="21">
        <f>EXP(-LN(2)/25)*DG183+(1-EXP(-LN(2)/25))/(LN(2)/25)*Calculateur!DB184*Calculateur!DD184*VLOOKUP('Données projet'!$B$13,Paramètres!$A$1:$I$89,3,0)*0.475*44/12</f>
        <v>0.36767984831346345</v>
      </c>
      <c r="DH184" s="21">
        <f>EXP(-LN(2)/2)*DH183+(1-EXP(-LN(2)/2))/(LN(2)/2)*DB184*DE184*VLOOKUP('Données projet'!$B$13,Paramètres!$A$1:$I$89,3,0)*0.475*44/12</f>
        <v>2.1898222657506801E-22</v>
      </c>
      <c r="DI184" s="22">
        <f t="shared" si="175"/>
        <v>0.64239223516998512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-5.6843418860808015E-14</v>
      </c>
      <c r="DP184" s="17">
        <f>DO184*VLOOKUP('Données projet'!$B$14,Paramètres!$A$1:$I$89,3,0)*VLOOKUP('Données projet'!$B$14,Paramètres!$A$1:$I$89,5,0)</f>
        <v>-3.1036506698001178E-14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164.0740581424559</v>
      </c>
      <c r="DU184" s="59">
        <f t="shared" si="152"/>
        <v>280.99861170359793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0.33203695895213781</v>
      </c>
      <c r="EB184" s="21">
        <f>EXP(-LN(2)/25)*EB183+(1-EXP(-LN(2)/25))/(LN(2)/25)*Calculateur!DW184*Calculateur!DY184*VLOOKUP('Données projet'!$B$14,Paramètres!$A$1:$I$89,3,0)*0.475*44/12</f>
        <v>0.39357069792054217</v>
      </c>
      <c r="EC184" s="21">
        <f>EXP(-LN(2)/2)*EC183+(1-EXP(-LN(2)/2))/(LN(2)/2)*DW184*DZ184*VLOOKUP('Données projet'!$B$14,Paramètres!$A$1:$I$89,3,0)*0.475*44/12</f>
        <v>2.8409937879423073E-22</v>
      </c>
      <c r="ED184" s="22">
        <f t="shared" si="178"/>
        <v>0.72560765687267992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1.1368683772161603E-13</v>
      </c>
      <c r="EK184" s="17">
        <f>EJ184*VLOOKUP('Données projet'!$B$15,Paramètres!$A$1:$I$89,3,0)*VLOOKUP('Données projet'!$B$15,Paramètres!$A$1:$I$89,5,0)</f>
        <v>5.4683368944097308E-14</v>
      </c>
      <c r="EL184" s="13">
        <f t="shared" si="179"/>
        <v>8.8129432816788268E-13</v>
      </c>
      <c r="EM184" s="20">
        <f t="shared" si="180"/>
        <v>1.6301611558033651E-12</v>
      </c>
      <c r="EN184" s="59">
        <f t="shared" si="128"/>
        <v>293.33333333333496</v>
      </c>
      <c r="EO184" s="59">
        <f ca="1">AVERAGE(OFFSET($EN$3,0,0,'Données projet'!$E$15+1,1))-AVERAGE(OFFSET($H$3,0,0,'Données projet'!$E$15+1,1))</f>
        <v>312.1172301514103</v>
      </c>
      <c r="EP184" s="59">
        <f t="shared" si="154"/>
        <v>369.85500533493212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0.13583054324092853</v>
      </c>
      <c r="EW184" s="21">
        <f>EXP(-LN(2)/25)*EW183+(1-EXP(-LN(2)/25))/(LN(2)/25)*Calculateur!ER184*Calculateur!ET184*VLOOKUP('Données projet'!$B$15,Paramètres!$A$1:$I$89,3,0)*0.475*44/12</f>
        <v>0.22856671152685332</v>
      </c>
      <c r="EX184" s="21">
        <f>EXP(-LN(2)/2)*EX183+(1-EXP(-LN(2)/2))/(LN(2)/2)*ER184*EU184*VLOOKUP('Données projet'!$B$15,Paramètres!$A$1:$I$89,3,0)*0.475*44/12</f>
        <v>5.9288918332375167E-22</v>
      </c>
      <c r="EY184" s="22">
        <f t="shared" si="181"/>
        <v>0.36439725476778184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-7.9808160080574461E-14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87.187251664304199</v>
      </c>
      <c r="FK184" s="59">
        <f t="shared" si="156"/>
        <v>148.84938257884147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0.12254941026468524</v>
      </c>
      <c r="FS184" s="21">
        <f>EXP(-LN(2)/2)*FS183+(1-EXP(-LN(2)/2))/(LN(2)/2)*FM184*FP184*VLOOKUP('Données projet'!$B$16,Paramètres!$A$1:$I$89,3,0)*0.475*44/12</f>
        <v>1.1387258964583593E-22</v>
      </c>
      <c r="FT184" s="22">
        <f t="shared" si="184"/>
        <v>0.12254941026468524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-1.1368683772161603E-13</v>
      </c>
      <c r="GA184" s="17">
        <f>FZ184*VLOOKUP('Données projet'!$B$17,Paramètres!$A$1:$I$89,3,0)*VLOOKUP('Données projet'!$B$17,Paramètres!$A$1:$I$89,5,0)</f>
        <v>-6.7984728957526396E-14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282.94722676586207</v>
      </c>
      <c r="GF184" s="59">
        <f t="shared" si="158"/>
        <v>310.63647941571298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0.16288194404302558</v>
      </c>
      <c r="GN184" s="21">
        <f>EXP(-LN(2)/2)*GN183+(1-EXP(-LN(2)/2))/(LN(2)/2)*GH184*GK184*VLOOKUP('Données projet'!$B$17,Paramètres!$A$1:$I$89,3,0)*0.475*44/12</f>
        <v>4.7986979822132664E-22</v>
      </c>
      <c r="GO184" s="21">
        <f t="shared" si="187"/>
        <v>0.16288194404302558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-1.1368683772161603E-13</v>
      </c>
      <c r="GV184" s="17">
        <f>GU184*VLOOKUP('Données projet'!$B$18,Paramètres!$A$1:$I$89,3,0)*VLOOKUP('Données projet'!$B$18,Paramètres!$A$1:$I$89,5,0)</f>
        <v>-6.7984728957526396E-14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255.54398581450459</v>
      </c>
      <c r="HA184" s="59">
        <f t="shared" si="160"/>
        <v>276.52622328061204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</v>
      </c>
      <c r="HH184" s="21">
        <f>EXP(-LN(2)/25)*HH183+(1-EXP(-LN(2)/25))/(LN(2)/25)*Calculateur!HC184*Calculateur!HE184*VLOOKUP('Données projet'!$B$18,Paramètres!$A$1:$I$89,3,0)*0.475*44/12</f>
        <v>8.1272980555725099E-2</v>
      </c>
      <c r="HI184" s="21">
        <f>EXP(-LN(2)/2)*HI183+(1-EXP(-LN(2)/2))/(LN(2)/2)*HC184*HF184*VLOOKUP('Données projet'!$B$18,Paramètres!$A$1:$I$89,3,0)*0.475*44/12</f>
        <v>2.7826662640682077E-22</v>
      </c>
      <c r="HJ184" s="22">
        <f t="shared" si="190"/>
        <v>8.1272980555725099E-2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4.9658410716801891E-14</v>
      </c>
      <c r="P185" s="13">
        <f t="shared" si="141"/>
        <v>8.0934058173791862E-13</v>
      </c>
      <c r="Q185" s="20">
        <f t="shared" si="162"/>
        <v>1.4960899118586383E-12</v>
      </c>
      <c r="R185" s="59">
        <f t="shared" si="109"/>
        <v>293.33333333333479</v>
      </c>
      <c r="S185" s="59">
        <f ca="1">AVERAGE(OFFSET($R$3,0,0,'Données projet'!$E$9+1,1))-AVERAGE(OFFSET($H$3,0,0,'Données projet'!$E$9+1,1))</f>
        <v>248.50221719467663</v>
      </c>
      <c r="T185" s="59">
        <f t="shared" si="142"/>
        <v>366.09064580347183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0.38905673149131764</v>
      </c>
      <c r="AA185" s="21">
        <f>EXP(-LN(2)/25)*AA184+(1-EXP(-LN(2)/25))/(LN(2)/25)*Calculateur!V185*Calculateur!X185*VLOOKUP('Données projet'!$B$9,Paramètres!$A$1:$I$89,3,0)*0.475*44/12</f>
        <v>0.35580485085916425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0.74486158235048183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263.22346936777603</v>
      </c>
      <c r="AO185" s="59">
        <f t="shared" si="144"/>
        <v>217.14714468707939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0.10755869573616059</v>
      </c>
      <c r="AW185" s="21">
        <f>EXP(-LN(2)/2)*AW184+(1-EXP(-LN(2)/2))/(LN(2)/2)*AQ185*AT185*VLOOKUP('Données projet'!$B$10,Paramètres!$A$1:$I$89,3,0)*0.475*44/12</f>
        <v>2.3625284735940571E-22</v>
      </c>
      <c r="AX185" s="21">
        <f t="shared" si="166"/>
        <v>0.10755869573616059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4.4337866711430253E-14</v>
      </c>
      <c r="BF185" s="13">
        <f t="shared" si="167"/>
        <v>7.3222115536967035E-13</v>
      </c>
      <c r="BG185" s="20">
        <f t="shared" si="168"/>
        <v>1.3525069634579169E-12</v>
      </c>
      <c r="BH185" s="59">
        <f t="shared" si="116"/>
        <v>293.33333333333468</v>
      </c>
      <c r="BI185" s="59">
        <f ca="1">AVERAGE(OFFSET($BH$3,0,0,'Données projet'!$E$11+1,1))-AVERAGE(OFFSET($H$3,0,0,'Données projet'!$E$11+1,1))</f>
        <v>219.22204054948094</v>
      </c>
      <c r="BJ185" s="59">
        <f t="shared" si="146"/>
        <v>222.41711966122034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4.6350631433956471E-2</v>
      </c>
      <c r="BR185" s="21">
        <f>EXP(-LN(2)/2)*BR184+(1-EXP(-LN(2)/2))/(LN(2)/2)*BL185*BO185*VLOOKUP('Données projet'!$B$11,Paramètres!$A$1:$I$89,3,0)*0.475*44/12</f>
        <v>4.3279511556796743E-23</v>
      </c>
      <c r="BS185" s="22">
        <f t="shared" si="169"/>
        <v>4.6350631433956471E-2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-3.979039320256561E-13</v>
      </c>
      <c r="BZ185" s="13">
        <f>BY185*VLOOKUP('Données projet'!$B$12,Paramètres!$A$1:$I$89,3,0)*VLOOKUP('Données projet'!$B$12,Paramètres!$A$1:$I$89,5,0)</f>
        <v>-3.41401573678013E-13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237.27357081252273</v>
      </c>
      <c r="CE185" s="59">
        <f t="shared" si="148"/>
        <v>68.768479693848576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-3.4106051316484809E-13</v>
      </c>
      <c r="CU185" s="17">
        <f>CT185*VLOOKUP('Données projet'!$B$13,Paramètres!$A$1:$I$89,3,0)*VLOOKUP('Données projet'!$B$13,Paramètres!$A$1:$I$89,5,0)</f>
        <v>-1.9065282685915009E-13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474.03051418249999</v>
      </c>
      <c r="CZ185" s="59">
        <f t="shared" si="150"/>
        <v>649.52271992719091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0.26932544450827633</v>
      </c>
      <c r="DG185" s="21">
        <f>EXP(-LN(2)/25)*DG184+(1-EXP(-LN(2)/25))/(LN(2)/25)*Calculateur!DB185*Calculateur!DD185*VLOOKUP('Données projet'!$B$13,Paramètres!$A$1:$I$89,3,0)*0.475*44/12</f>
        <v>0.35762562352588889</v>
      </c>
      <c r="DH185" s="21">
        <f>EXP(-LN(2)/2)*DH184+(1-EXP(-LN(2)/2))/(LN(2)/2)*DB185*DE185*VLOOKUP('Données projet'!$B$13,Paramètres!$A$1:$I$89,3,0)*0.475*44/12</f>
        <v>1.5484381737055959E-22</v>
      </c>
      <c r="DI185" s="22">
        <f t="shared" si="175"/>
        <v>0.62695106803416523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-5.6843418860808015E-14</v>
      </c>
      <c r="DP185" s="17">
        <f>DO185*VLOOKUP('Données projet'!$B$14,Paramètres!$A$1:$I$89,3,0)*VLOOKUP('Données projet'!$B$14,Paramètres!$A$1:$I$89,5,0)</f>
        <v>-3.1036506698001178E-14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164.0740581424559</v>
      </c>
      <c r="DU185" s="59">
        <f t="shared" si="152"/>
        <v>280.99861170359793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0.32552591670963388</v>
      </c>
      <c r="EB185" s="21">
        <f>EXP(-LN(2)/25)*EB184+(1-EXP(-LN(2)/25))/(LN(2)/25)*Calculateur!DW185*Calculateur!DY185*VLOOKUP('Données projet'!$B$14,Paramètres!$A$1:$I$89,3,0)*0.475*44/12</f>
        <v>0.38280848648892146</v>
      </c>
      <c r="EC185" s="21">
        <f>EXP(-LN(2)/2)*EC184+(1-EXP(-LN(2)/2))/(LN(2)/2)*DW185*DZ185*VLOOKUP('Données projet'!$B$14,Paramètres!$A$1:$I$89,3,0)*0.475*44/12</f>
        <v>2.0088859727628619E-22</v>
      </c>
      <c r="ED185" s="22">
        <f t="shared" si="178"/>
        <v>0.70833440319855534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1.1368683772161603E-13</v>
      </c>
      <c r="EK185" s="17">
        <f>EJ185*VLOOKUP('Données projet'!$B$15,Paramètres!$A$1:$I$89,3,0)*VLOOKUP('Données projet'!$B$15,Paramètres!$A$1:$I$89,5,0)</f>
        <v>5.4683368944097308E-14</v>
      </c>
      <c r="EL185" s="13">
        <f t="shared" si="179"/>
        <v>8.8129432816788268E-13</v>
      </c>
      <c r="EM185" s="20">
        <f t="shared" si="180"/>
        <v>1.6301611558033651E-12</v>
      </c>
      <c r="EN185" s="59">
        <f t="shared" si="128"/>
        <v>293.33333333333496</v>
      </c>
      <c r="EO185" s="59">
        <f ca="1">AVERAGE(OFFSET($EN$3,0,0,'Données projet'!$E$15+1,1))-AVERAGE(OFFSET($H$3,0,0,'Données projet'!$E$15+1,1))</f>
        <v>312.1172301514103</v>
      </c>
      <c r="EP185" s="59">
        <f t="shared" si="154"/>
        <v>369.85500533493212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0.13316698913642469</v>
      </c>
      <c r="EW185" s="21">
        <f>EXP(-LN(2)/25)*EW184+(1-EXP(-LN(2)/25))/(LN(2)/25)*Calculateur!ER185*Calculateur!ET185*VLOOKUP('Données projet'!$B$15,Paramètres!$A$1:$I$89,3,0)*0.475*44/12</f>
        <v>0.22231654278035054</v>
      </c>
      <c r="EX185" s="21">
        <f>EXP(-LN(2)/2)*EX184+(1-EXP(-LN(2)/2))/(LN(2)/2)*ER185*EU185*VLOOKUP('Données projet'!$B$15,Paramètres!$A$1:$I$89,3,0)*0.475*44/12</f>
        <v>4.1923596202037896E-22</v>
      </c>
      <c r="EY185" s="22">
        <f t="shared" si="181"/>
        <v>0.35548353191677523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-7.9808160080574461E-14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87.187251664304199</v>
      </c>
      <c r="FK185" s="59">
        <f t="shared" si="156"/>
        <v>148.84938257884147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0.11919829019640403</v>
      </c>
      <c r="FS185" s="21">
        <f>EXP(-LN(2)/2)*FS184+(1-EXP(-LN(2)/2))/(LN(2)/2)*FM185*FP185*VLOOKUP('Données projet'!$B$16,Paramètres!$A$1:$I$89,3,0)*0.475*44/12</f>
        <v>8.0520080329843624E-23</v>
      </c>
      <c r="FT185" s="22">
        <f t="shared" si="184"/>
        <v>0.11919829019640403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-1.1368683772161603E-13</v>
      </c>
      <c r="GA185" s="17">
        <f>FZ185*VLOOKUP('Données projet'!$B$17,Paramètres!$A$1:$I$89,3,0)*VLOOKUP('Données projet'!$B$17,Paramètres!$A$1:$I$89,5,0)</f>
        <v>-6.7984728957526396E-14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282.94722676586207</v>
      </c>
      <c r="GF185" s="59">
        <f t="shared" si="158"/>
        <v>310.63647941571298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0.15842792871757988</v>
      </c>
      <c r="GN185" s="21">
        <f>EXP(-LN(2)/2)*GN184+(1-EXP(-LN(2)/2))/(LN(2)/2)*GH185*GK185*VLOOKUP('Données projet'!$B$17,Paramètres!$A$1:$I$89,3,0)*0.475*44/12</f>
        <v>3.3931918840892034E-22</v>
      </c>
      <c r="GO185" s="21">
        <f t="shared" si="187"/>
        <v>0.15842792871757988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-1.1368683772161603E-13</v>
      </c>
      <c r="GV185" s="17">
        <f>GU185*VLOOKUP('Données projet'!$B$18,Paramètres!$A$1:$I$89,3,0)*VLOOKUP('Données projet'!$B$18,Paramètres!$A$1:$I$89,5,0)</f>
        <v>-6.7984728957526396E-14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255.54398581450459</v>
      </c>
      <c r="HA185" s="59">
        <f t="shared" si="160"/>
        <v>276.52622328061204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</v>
      </c>
      <c r="HH185" s="21">
        <f>EXP(-LN(2)/25)*HH184+(1-EXP(-LN(2)/25))/(LN(2)/25)*Calculateur!HC185*Calculateur!HE185*VLOOKUP('Données projet'!$B$18,Paramètres!$A$1:$I$89,3,0)*0.475*44/12</f>
        <v>7.9050566628468502E-2</v>
      </c>
      <c r="HI185" s="21">
        <f>EXP(-LN(2)/2)*HI184+(1-EXP(-LN(2)/2))/(LN(2)/2)*HC185*HF185*VLOOKUP('Données projet'!$B$18,Paramètres!$A$1:$I$89,3,0)*0.475*44/12</f>
        <v>1.9676421851016658E-22</v>
      </c>
      <c r="HJ185" s="22">
        <f t="shared" si="190"/>
        <v>7.9050566628468502E-2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4.9658410716801891E-14</v>
      </c>
      <c r="P186" s="13">
        <f t="shared" si="141"/>
        <v>8.0934058173791862E-13</v>
      </c>
      <c r="Q186" s="20">
        <f t="shared" si="162"/>
        <v>1.4960899118586383E-12</v>
      </c>
      <c r="R186" s="59">
        <f t="shared" si="109"/>
        <v>293.33333333333479</v>
      </c>
      <c r="S186" s="59">
        <f ca="1">AVERAGE(OFFSET($R$3,0,0,'Données projet'!$E$9+1,1))-AVERAGE(OFFSET($H$3,0,0,'Données projet'!$E$9+1,1))</f>
        <v>248.50221719467663</v>
      </c>
      <c r="T186" s="59">
        <f t="shared" si="142"/>
        <v>366.09064580347183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0.38142756628794755</v>
      </c>
      <c r="AA186" s="21">
        <f>EXP(-LN(2)/25)*AA185+(1-EXP(-LN(2)/25))/(LN(2)/25)*Calculateur!V186*Calculateur!X186*VLOOKUP('Données projet'!$B$9,Paramètres!$A$1:$I$89,3,0)*0.475*44/12</f>
        <v>0.34607534850145649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0.7275029147894041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263.22346936777603</v>
      </c>
      <c r="AO186" s="59">
        <f t="shared" si="144"/>
        <v>217.14714468707939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0.10461749754498929</v>
      </c>
      <c r="AW186" s="21">
        <f>EXP(-LN(2)/2)*AW185+(1-EXP(-LN(2)/2))/(LN(2)/2)*AQ186*AT186*VLOOKUP('Données projet'!$B$10,Paramètres!$A$1:$I$89,3,0)*0.475*44/12</f>
        <v>1.670559904424661E-22</v>
      </c>
      <c r="AX186" s="21">
        <f t="shared" si="166"/>
        <v>0.10461749754498929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4.4337866711430253E-14</v>
      </c>
      <c r="BF186" s="13">
        <f t="shared" si="167"/>
        <v>7.3222115536967035E-13</v>
      </c>
      <c r="BG186" s="20">
        <f t="shared" si="168"/>
        <v>1.3525069634579169E-12</v>
      </c>
      <c r="BH186" s="59">
        <f t="shared" si="116"/>
        <v>293.33333333333468</v>
      </c>
      <c r="BI186" s="59">
        <f ca="1">AVERAGE(OFFSET($BH$3,0,0,'Données projet'!$E$11+1,1))-AVERAGE(OFFSET($H$3,0,0,'Données projet'!$E$11+1,1))</f>
        <v>219.22204054948094</v>
      </c>
      <c r="BJ186" s="59">
        <f t="shared" si="146"/>
        <v>222.41711966122034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4.5083170979921157E-2</v>
      </c>
      <c r="BR186" s="21">
        <f>EXP(-LN(2)/2)*BR185+(1-EXP(-LN(2)/2))/(LN(2)/2)*BL186*BO186*VLOOKUP('Données projet'!$B$11,Paramètres!$A$1:$I$89,3,0)*0.475*44/12</f>
        <v>3.0603236108252529E-23</v>
      </c>
      <c r="BS186" s="22">
        <f t="shared" si="169"/>
        <v>4.5083170979921157E-2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-3.979039320256561E-13</v>
      </c>
      <c r="BZ186" s="13">
        <f>BY186*VLOOKUP('Données projet'!$B$12,Paramètres!$A$1:$I$89,3,0)*VLOOKUP('Données projet'!$B$12,Paramètres!$A$1:$I$89,5,0)</f>
        <v>-3.41401573678013E-13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237.27357081252273</v>
      </c>
      <c r="CE186" s="59">
        <f t="shared" si="148"/>
        <v>68.768479693848576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-3.4106051316484809E-13</v>
      </c>
      <c r="CU186" s="17">
        <f>CT186*VLOOKUP('Données projet'!$B$13,Paramètres!$A$1:$I$89,3,0)*VLOOKUP('Données projet'!$B$13,Paramètres!$A$1:$I$89,5,0)</f>
        <v>-1.9065282685915009E-13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474.03051418249999</v>
      </c>
      <c r="CZ186" s="59">
        <f t="shared" si="150"/>
        <v>649.52271992719091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0.26404413681376965</v>
      </c>
      <c r="DG186" s="21">
        <f>EXP(-LN(2)/25)*DG185+(1-EXP(-LN(2)/25))/(LN(2)/25)*Calculateur!DB186*Calculateur!DD186*VLOOKUP('Données projet'!$B$13,Paramètres!$A$1:$I$89,3,0)*0.475*44/12</f>
        <v>0.34784633204385929</v>
      </c>
      <c r="DH186" s="21">
        <f>EXP(-LN(2)/2)*DH185+(1-EXP(-LN(2)/2))/(LN(2)/2)*DB186*DE186*VLOOKUP('Données projet'!$B$13,Paramètres!$A$1:$I$89,3,0)*0.475*44/12</f>
        <v>1.0949111328753401E-22</v>
      </c>
      <c r="DI186" s="22">
        <f t="shared" si="175"/>
        <v>0.61189046885762899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-5.6843418860808015E-14</v>
      </c>
      <c r="DP186" s="17">
        <f>DO186*VLOOKUP('Données projet'!$B$14,Paramètres!$A$1:$I$89,3,0)*VLOOKUP('Données projet'!$B$14,Paramètres!$A$1:$I$89,5,0)</f>
        <v>-3.1036506698001178E-14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164.0740581424559</v>
      </c>
      <c r="DU186" s="59">
        <f t="shared" si="152"/>
        <v>280.99861170359793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0.31914255203416186</v>
      </c>
      <c r="EB186" s="21">
        <f>EXP(-LN(2)/25)*EB185+(1-EXP(-LN(2)/25))/(LN(2)/25)*Calculateur!DW186*Calculateur!DY186*VLOOKUP('Données projet'!$B$14,Paramètres!$A$1:$I$89,3,0)*0.475*44/12</f>
        <v>0.37234056829485851</v>
      </c>
      <c r="EC186" s="21">
        <f>EXP(-LN(2)/2)*EC185+(1-EXP(-LN(2)/2))/(LN(2)/2)*DW186*DZ186*VLOOKUP('Données projet'!$B$14,Paramètres!$A$1:$I$89,3,0)*0.475*44/12</f>
        <v>1.4204968939711536E-22</v>
      </c>
      <c r="ED186" s="22">
        <f t="shared" si="178"/>
        <v>0.69148312032902037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1.1368683772161603E-13</v>
      </c>
      <c r="EK186" s="17">
        <f>EJ186*VLOOKUP('Données projet'!$B$15,Paramètres!$A$1:$I$89,3,0)*VLOOKUP('Données projet'!$B$15,Paramètres!$A$1:$I$89,5,0)</f>
        <v>5.4683368944097308E-14</v>
      </c>
      <c r="EL186" s="13">
        <f t="shared" si="179"/>
        <v>8.8129432816788268E-13</v>
      </c>
      <c r="EM186" s="20">
        <f t="shared" si="180"/>
        <v>1.6301611558033651E-12</v>
      </c>
      <c r="EN186" s="59">
        <f t="shared" si="128"/>
        <v>293.33333333333496</v>
      </c>
      <c r="EO186" s="59">
        <f ca="1">AVERAGE(OFFSET($EN$3,0,0,'Données projet'!$E$15+1,1))-AVERAGE(OFFSET($H$3,0,0,'Données projet'!$E$15+1,1))</f>
        <v>312.1172301514103</v>
      </c>
      <c r="EP186" s="59">
        <f t="shared" si="154"/>
        <v>369.85500533493212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0.1305556657033026</v>
      </c>
      <c r="EW186" s="21">
        <f>EXP(-LN(2)/25)*EW185+(1-EXP(-LN(2)/25))/(LN(2)/25)*Calculateur!ER186*Calculateur!ET186*VLOOKUP('Données projet'!$B$15,Paramètres!$A$1:$I$89,3,0)*0.475*44/12</f>
        <v>0.21623728522690297</v>
      </c>
      <c r="EX186" s="21">
        <f>EXP(-LN(2)/2)*EX185+(1-EXP(-LN(2)/2))/(LN(2)/2)*ER186*EU186*VLOOKUP('Données projet'!$B$15,Paramètres!$A$1:$I$89,3,0)*0.475*44/12</f>
        <v>2.9644459166187588E-22</v>
      </c>
      <c r="EY186" s="22">
        <f t="shared" si="181"/>
        <v>0.34679295093020557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-7.9808160080574461E-14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87.187251664304199</v>
      </c>
      <c r="FK186" s="59">
        <f t="shared" si="156"/>
        <v>148.84938257884147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0.11593880668261772</v>
      </c>
      <c r="FS186" s="21">
        <f>EXP(-LN(2)/2)*FS185+(1-EXP(-LN(2)/2))/(LN(2)/2)*FM186*FP186*VLOOKUP('Données projet'!$B$16,Paramètres!$A$1:$I$89,3,0)*0.475*44/12</f>
        <v>5.6936294822917965E-23</v>
      </c>
      <c r="FT186" s="22">
        <f t="shared" si="184"/>
        <v>0.11593880668261772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-1.1368683772161603E-13</v>
      </c>
      <c r="GA186" s="17">
        <f>FZ186*VLOOKUP('Données projet'!$B$17,Paramètres!$A$1:$I$89,3,0)*VLOOKUP('Données projet'!$B$17,Paramètres!$A$1:$I$89,5,0)</f>
        <v>-6.7984728957526396E-14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282.94722676586207</v>
      </c>
      <c r="GF186" s="59">
        <f t="shared" si="158"/>
        <v>310.63647941571298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0.15409570867543498</v>
      </c>
      <c r="GN186" s="21">
        <f>EXP(-LN(2)/2)*GN185+(1-EXP(-LN(2)/2))/(LN(2)/2)*GH186*GK186*VLOOKUP('Données projet'!$B$17,Paramètres!$A$1:$I$89,3,0)*0.475*44/12</f>
        <v>2.3993489911066332E-22</v>
      </c>
      <c r="GO186" s="21">
        <f t="shared" si="187"/>
        <v>0.15409570867543498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-1.1368683772161603E-13</v>
      </c>
      <c r="GV186" s="17">
        <f>GU186*VLOOKUP('Données projet'!$B$18,Paramètres!$A$1:$I$89,3,0)*VLOOKUP('Données projet'!$B$18,Paramètres!$A$1:$I$89,5,0)</f>
        <v>-6.7984728957526396E-14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255.54398581450459</v>
      </c>
      <c r="HA186" s="59">
        <f t="shared" si="160"/>
        <v>276.52622328061204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</v>
      </c>
      <c r="HH186" s="21">
        <f>EXP(-LN(2)/25)*HH185+(1-EXP(-LN(2)/25))/(LN(2)/25)*Calculateur!HC186*Calculateur!HE186*VLOOKUP('Données projet'!$B$18,Paramètres!$A$1:$I$89,3,0)*0.475*44/12</f>
        <v>7.6888924726924407E-2</v>
      </c>
      <c r="HI186" s="21">
        <f>EXP(-LN(2)/2)*HI185+(1-EXP(-LN(2)/2))/(LN(2)/2)*HC186*HF186*VLOOKUP('Données projet'!$B$18,Paramètres!$A$1:$I$89,3,0)*0.475*44/12</f>
        <v>1.3913331320341038E-22</v>
      </c>
      <c r="HJ186" s="22">
        <f t="shared" si="190"/>
        <v>7.6888924726924407E-2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4.9658410716801891E-14</v>
      </c>
      <c r="P187" s="13">
        <f t="shared" si="141"/>
        <v>8.0934058173791862E-13</v>
      </c>
      <c r="Q187" s="20">
        <f t="shared" si="162"/>
        <v>1.4960899118586383E-12</v>
      </c>
      <c r="R187" s="59">
        <f t="shared" si="109"/>
        <v>293.33333333333479</v>
      </c>
      <c r="S187" s="59">
        <f ca="1">AVERAGE(OFFSET($R$3,0,0,'Données projet'!$E$9+1,1))-AVERAGE(OFFSET($H$3,0,0,'Données projet'!$E$9+1,1))</f>
        <v>248.50221719467663</v>
      </c>
      <c r="T187" s="59">
        <f t="shared" si="142"/>
        <v>366.09064580347183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0.37394800436088427</v>
      </c>
      <c r="AA187" s="21">
        <f>EXP(-LN(2)/25)*AA186+(1-EXP(-LN(2)/25))/(LN(2)/25)*Calculateur!V187*Calculateur!X187*VLOOKUP('Données projet'!$B$9,Paramètres!$A$1:$I$89,3,0)*0.475*44/12</f>
        <v>0.33661189989737256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0.71055990425825688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263.22346936777603</v>
      </c>
      <c r="AO187" s="59">
        <f t="shared" si="144"/>
        <v>217.14714468707939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0.10175672657302647</v>
      </c>
      <c r="AW187" s="21">
        <f>EXP(-LN(2)/2)*AW186+(1-EXP(-LN(2)/2))/(LN(2)/2)*AQ187*AT187*VLOOKUP('Données projet'!$B$10,Paramètres!$A$1:$I$89,3,0)*0.475*44/12</f>
        <v>1.1812642367970285E-22</v>
      </c>
      <c r="AX187" s="21">
        <f t="shared" si="166"/>
        <v>0.10175672657302647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4.4337866711430253E-14</v>
      </c>
      <c r="BF187" s="13">
        <f t="shared" si="167"/>
        <v>7.3222115536967035E-13</v>
      </c>
      <c r="BG187" s="20">
        <f t="shared" si="168"/>
        <v>1.3525069634579169E-12</v>
      </c>
      <c r="BH187" s="59">
        <f t="shared" si="116"/>
        <v>293.33333333333468</v>
      </c>
      <c r="BI187" s="59">
        <f ca="1">AVERAGE(OFFSET($BH$3,0,0,'Données projet'!$E$11+1,1))-AVERAGE(OFFSET($H$3,0,0,'Données projet'!$E$11+1,1))</f>
        <v>219.22204054948094</v>
      </c>
      <c r="BJ187" s="59">
        <f t="shared" si="146"/>
        <v>222.41711966122034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4.3850369298654289E-2</v>
      </c>
      <c r="BR187" s="21">
        <f>EXP(-LN(2)/2)*BR186+(1-EXP(-LN(2)/2))/(LN(2)/2)*BL187*BO187*VLOOKUP('Données projet'!$B$11,Paramètres!$A$1:$I$89,3,0)*0.475*44/12</f>
        <v>2.1639755778398372E-23</v>
      </c>
      <c r="BS187" s="22">
        <f t="shared" si="169"/>
        <v>4.3850369298654289E-2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-3.979039320256561E-13</v>
      </c>
      <c r="BZ187" s="13">
        <f>BY187*VLOOKUP('Données projet'!$B$12,Paramètres!$A$1:$I$89,3,0)*VLOOKUP('Données projet'!$B$12,Paramètres!$A$1:$I$89,5,0)</f>
        <v>-3.41401573678013E-13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237.27357081252273</v>
      </c>
      <c r="CE187" s="59">
        <f t="shared" si="148"/>
        <v>68.768479693848576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-3.4106051316484809E-13</v>
      </c>
      <c r="CU187" s="17">
        <f>CT187*VLOOKUP('Données projet'!$B$13,Paramètres!$A$1:$I$89,3,0)*VLOOKUP('Données projet'!$B$13,Paramètres!$A$1:$I$89,5,0)</f>
        <v>-1.9065282685915009E-13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474.03051418249999</v>
      </c>
      <c r="CZ187" s="59">
        <f t="shared" si="150"/>
        <v>649.52271992719091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0.25886639234187259</v>
      </c>
      <c r="DG187" s="21">
        <f>EXP(-LN(2)/25)*DG186+(1-EXP(-LN(2)/25))/(LN(2)/25)*Calculateur!DB187*Calculateur!DD187*VLOOKUP('Données projet'!$B$13,Paramètres!$A$1:$I$89,3,0)*0.475*44/12</f>
        <v>0.33833445580167637</v>
      </c>
      <c r="DH187" s="21">
        <f>EXP(-LN(2)/2)*DH186+(1-EXP(-LN(2)/2))/(LN(2)/2)*DB187*DE187*VLOOKUP('Données projet'!$B$13,Paramètres!$A$1:$I$89,3,0)*0.475*44/12</f>
        <v>7.7421908685279796E-23</v>
      </c>
      <c r="DI187" s="22">
        <f t="shared" si="175"/>
        <v>0.5972008481435489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-5.6843418860808015E-14</v>
      </c>
      <c r="DP187" s="17">
        <f>DO187*VLOOKUP('Données projet'!$B$14,Paramètres!$A$1:$I$89,3,0)*VLOOKUP('Données projet'!$B$14,Paramètres!$A$1:$I$89,5,0)</f>
        <v>-3.1036506698001178E-14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164.0740581424559</v>
      </c>
      <c r="DU187" s="59">
        <f t="shared" si="152"/>
        <v>280.99861170359793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0.31288436124650781</v>
      </c>
      <c r="EB187" s="21">
        <f>EXP(-LN(2)/25)*EB186+(1-EXP(-LN(2)/25))/(LN(2)/25)*Calculateur!DW187*Calculateur!DY187*VLOOKUP('Données projet'!$B$14,Paramètres!$A$1:$I$89,3,0)*0.475*44/12</f>
        <v>0.36215889587429612</v>
      </c>
      <c r="EC187" s="21">
        <f>EXP(-LN(2)/2)*EC186+(1-EXP(-LN(2)/2))/(LN(2)/2)*DW187*DZ187*VLOOKUP('Données projet'!$B$14,Paramètres!$A$1:$I$89,3,0)*0.475*44/12</f>
        <v>1.0044429863814309E-22</v>
      </c>
      <c r="ED187" s="22">
        <f t="shared" si="178"/>
        <v>0.67504325712080393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1.1368683772161603E-13</v>
      </c>
      <c r="EK187" s="17">
        <f>EJ187*VLOOKUP('Données projet'!$B$15,Paramètres!$A$1:$I$89,3,0)*VLOOKUP('Données projet'!$B$15,Paramètres!$A$1:$I$89,5,0)</f>
        <v>5.4683368944097308E-14</v>
      </c>
      <c r="EL187" s="13">
        <f t="shared" si="179"/>
        <v>8.8129432816788268E-13</v>
      </c>
      <c r="EM187" s="20">
        <f t="shared" si="180"/>
        <v>1.6301611558033651E-12</v>
      </c>
      <c r="EN187" s="59">
        <f t="shared" si="128"/>
        <v>293.33333333333496</v>
      </c>
      <c r="EO187" s="59">
        <f ca="1">AVERAGE(OFFSET($EN$3,0,0,'Données projet'!$E$15+1,1))-AVERAGE(OFFSET($H$3,0,0,'Données projet'!$E$15+1,1))</f>
        <v>312.1172301514103</v>
      </c>
      <c r="EP187" s="59">
        <f t="shared" si="154"/>
        <v>369.85500533493212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0.127995548729954</v>
      </c>
      <c r="EW187" s="21">
        <f>EXP(-LN(2)/25)*EW186+(1-EXP(-LN(2)/25))/(LN(2)/25)*Calculateur!ER187*Calculateur!ET187*VLOOKUP('Données projet'!$B$15,Paramètres!$A$1:$I$89,3,0)*0.475*44/12</f>
        <v>0.21032426529094869</v>
      </c>
      <c r="EX187" s="21">
        <f>EXP(-LN(2)/2)*EX186+(1-EXP(-LN(2)/2))/(LN(2)/2)*ER187*EU187*VLOOKUP('Données projet'!$B$15,Paramètres!$A$1:$I$89,3,0)*0.475*44/12</f>
        <v>2.096179810101895E-22</v>
      </c>
      <c r="EY187" s="22">
        <f t="shared" si="181"/>
        <v>0.33831981402090272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-7.9808160080574461E-14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87.187251664304199</v>
      </c>
      <c r="FK187" s="59">
        <f t="shared" si="156"/>
        <v>148.84938257884147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0.11276845391692468</v>
      </c>
      <c r="FS187" s="21">
        <f>EXP(-LN(2)/2)*FS186+(1-EXP(-LN(2)/2))/(LN(2)/2)*FM187*FP187*VLOOKUP('Données projet'!$B$16,Paramètres!$A$1:$I$89,3,0)*0.475*44/12</f>
        <v>4.0260040164921812E-23</v>
      </c>
      <c r="FT187" s="22">
        <f t="shared" si="184"/>
        <v>0.11276845391692468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-1.1368683772161603E-13</v>
      </c>
      <c r="GA187" s="17">
        <f>FZ187*VLOOKUP('Données projet'!$B$17,Paramètres!$A$1:$I$89,3,0)*VLOOKUP('Données projet'!$B$17,Paramètres!$A$1:$I$89,5,0)</f>
        <v>-6.7984728957526396E-14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282.94722676586207</v>
      </c>
      <c r="GF187" s="59">
        <f t="shared" si="158"/>
        <v>310.63647941571298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0.1498819534181641</v>
      </c>
      <c r="GN187" s="21">
        <f>EXP(-LN(2)/2)*GN186+(1-EXP(-LN(2)/2))/(LN(2)/2)*GH187*GK187*VLOOKUP('Données projet'!$B$17,Paramètres!$A$1:$I$89,3,0)*0.475*44/12</f>
        <v>1.6965959420446017E-22</v>
      </c>
      <c r="GO187" s="21">
        <f t="shared" si="187"/>
        <v>0.1498819534181641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-1.1368683772161603E-13</v>
      </c>
      <c r="GV187" s="17">
        <f>GU187*VLOOKUP('Données projet'!$B$18,Paramètres!$A$1:$I$89,3,0)*VLOOKUP('Données projet'!$B$18,Paramètres!$A$1:$I$89,5,0)</f>
        <v>-6.7984728957526396E-14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255.54398581450459</v>
      </c>
      <c r="HA187" s="59">
        <f t="shared" si="160"/>
        <v>276.52622328061204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</v>
      </c>
      <c r="HH187" s="21">
        <f>EXP(-LN(2)/25)*HH186+(1-EXP(-LN(2)/25))/(LN(2)/25)*Calculateur!HC187*Calculateur!HE187*VLOOKUP('Données projet'!$B$18,Paramètres!$A$1:$I$89,3,0)*0.475*44/12</f>
        <v>7.4786393036853846E-2</v>
      </c>
      <c r="HI187" s="21">
        <f>EXP(-LN(2)/2)*HI186+(1-EXP(-LN(2)/2))/(LN(2)/2)*HC187*HF187*VLOOKUP('Données projet'!$B$18,Paramètres!$A$1:$I$89,3,0)*0.475*44/12</f>
        <v>9.838210925508329E-23</v>
      </c>
      <c r="HJ187" s="22">
        <f t="shared" si="190"/>
        <v>7.4786393036853846E-2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4.9658410716801891E-14</v>
      </c>
      <c r="P188" s="13">
        <f t="shared" si="141"/>
        <v>8.0934058173791862E-13</v>
      </c>
      <c r="Q188" s="20">
        <f t="shared" si="162"/>
        <v>1.4960899118586383E-12</v>
      </c>
      <c r="R188" s="59">
        <f t="shared" si="109"/>
        <v>293.33333333333479</v>
      </c>
      <c r="S188" s="59">
        <f ca="1">AVERAGE(OFFSET($R$3,0,0,'Données projet'!$E$9+1,1))-AVERAGE(OFFSET($H$3,0,0,'Données projet'!$E$9+1,1))</f>
        <v>248.50221719467663</v>
      </c>
      <c r="T188" s="59">
        <f t="shared" si="142"/>
        <v>366.09064580347183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0.3666151120811284</v>
      </c>
      <c r="AA188" s="21">
        <f>EXP(-LN(2)/25)*AA187+(1-EXP(-LN(2)/25))/(LN(2)/25)*Calculateur!V188*Calculateur!X188*VLOOKUP('Données projet'!$B$9,Paramètres!$A$1:$I$89,3,0)*0.475*44/12</f>
        <v>0.32740722979302844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0.6940223418741569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263.22346936777603</v>
      </c>
      <c r="AO188" s="59">
        <f t="shared" si="144"/>
        <v>217.14714468707939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9.897418353373337E-2</v>
      </c>
      <c r="AW188" s="21">
        <f>EXP(-LN(2)/2)*AW187+(1-EXP(-LN(2)/2))/(LN(2)/2)*AQ188*AT188*VLOOKUP('Données projet'!$B$10,Paramètres!$A$1:$I$89,3,0)*0.475*44/12</f>
        <v>8.3527995221233052E-23</v>
      </c>
      <c r="AX188" s="21">
        <f t="shared" si="166"/>
        <v>9.897418353373337E-2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4.4337866711430253E-14</v>
      </c>
      <c r="BF188" s="13">
        <f t="shared" si="167"/>
        <v>7.3222115536967035E-13</v>
      </c>
      <c r="BG188" s="20">
        <f t="shared" si="168"/>
        <v>1.3525069634579169E-12</v>
      </c>
      <c r="BH188" s="59">
        <f t="shared" si="116"/>
        <v>293.33333333333468</v>
      </c>
      <c r="BI188" s="59">
        <f ca="1">AVERAGE(OFFSET($BH$3,0,0,'Données projet'!$E$11+1,1))-AVERAGE(OFFSET($H$3,0,0,'Données projet'!$E$11+1,1))</f>
        <v>219.22204054948094</v>
      </c>
      <c r="BJ188" s="59">
        <f t="shared" si="146"/>
        <v>222.41711966122034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4.2651278644191888E-2</v>
      </c>
      <c r="BR188" s="21">
        <f>EXP(-LN(2)/2)*BR187+(1-EXP(-LN(2)/2))/(LN(2)/2)*BL188*BO188*VLOOKUP('Données projet'!$B$11,Paramètres!$A$1:$I$89,3,0)*0.475*44/12</f>
        <v>1.5301618054126265E-23</v>
      </c>
      <c r="BS188" s="22">
        <f t="shared" si="169"/>
        <v>4.2651278644191888E-2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-3.979039320256561E-13</v>
      </c>
      <c r="BZ188" s="13">
        <f>BY188*VLOOKUP('Données projet'!$B$12,Paramètres!$A$1:$I$89,3,0)*VLOOKUP('Données projet'!$B$12,Paramètres!$A$1:$I$89,5,0)</f>
        <v>-3.41401573678013E-13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237.27357081252273</v>
      </c>
      <c r="CE188" s="59">
        <f t="shared" si="148"/>
        <v>68.768479693848576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-3.4106051316484809E-13</v>
      </c>
      <c r="CU188" s="17">
        <f>CT188*VLOOKUP('Données projet'!$B$13,Paramètres!$A$1:$I$89,3,0)*VLOOKUP('Données projet'!$B$13,Paramètres!$A$1:$I$89,5,0)</f>
        <v>-1.9065282685915009E-13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474.03051418249999</v>
      </c>
      <c r="CZ188" s="59">
        <f t="shared" si="150"/>
        <v>649.52271992719091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0.25379018028095718</v>
      </c>
      <c r="DG188" s="21">
        <f>EXP(-LN(2)/25)*DG187+(1-EXP(-LN(2)/25))/(LN(2)/25)*Calculateur!DB188*Calculateur!DD188*VLOOKUP('Données projet'!$B$13,Paramètres!$A$1:$I$89,3,0)*0.475*44/12</f>
        <v>0.32908268231554377</v>
      </c>
      <c r="DH188" s="21">
        <f>EXP(-LN(2)/2)*DH187+(1-EXP(-LN(2)/2))/(LN(2)/2)*DB188*DE188*VLOOKUP('Données projet'!$B$13,Paramètres!$A$1:$I$89,3,0)*0.475*44/12</f>
        <v>5.4745556643767004E-23</v>
      </c>
      <c r="DI188" s="22">
        <f t="shared" si="175"/>
        <v>0.58287286259650095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-5.6843418860808015E-14</v>
      </c>
      <c r="DP188" s="17">
        <f>DO188*VLOOKUP('Données projet'!$B$14,Paramètres!$A$1:$I$89,3,0)*VLOOKUP('Données projet'!$B$14,Paramètres!$A$1:$I$89,5,0)</f>
        <v>-3.1036506698001178E-14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164.0740581424559</v>
      </c>
      <c r="DU188" s="59">
        <f t="shared" si="152"/>
        <v>280.99861170359793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0.30674888976308023</v>
      </c>
      <c r="EB188" s="21">
        <f>EXP(-LN(2)/25)*EB187+(1-EXP(-LN(2)/25))/(LN(2)/25)*Calculateur!DW188*Calculateur!DY188*VLOOKUP('Données projet'!$B$14,Paramètres!$A$1:$I$89,3,0)*0.475*44/12</f>
        <v>0.35225564182150487</v>
      </c>
      <c r="EC188" s="21">
        <f>EXP(-LN(2)/2)*EC187+(1-EXP(-LN(2)/2))/(LN(2)/2)*DW188*DZ188*VLOOKUP('Données projet'!$B$14,Paramètres!$A$1:$I$89,3,0)*0.475*44/12</f>
        <v>7.1024844698557682E-23</v>
      </c>
      <c r="ED188" s="22">
        <f t="shared" si="178"/>
        <v>0.65900453158458516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1.1368683772161603E-13</v>
      </c>
      <c r="EK188" s="17">
        <f>EJ188*VLOOKUP('Données projet'!$B$15,Paramètres!$A$1:$I$89,3,0)*VLOOKUP('Données projet'!$B$15,Paramètres!$A$1:$I$89,5,0)</f>
        <v>5.4683368944097308E-14</v>
      </c>
      <c r="EL188" s="13">
        <f t="shared" si="179"/>
        <v>8.8129432816788268E-13</v>
      </c>
      <c r="EM188" s="20">
        <f t="shared" si="180"/>
        <v>1.6301611558033651E-12</v>
      </c>
      <c r="EN188" s="59">
        <f t="shared" si="128"/>
        <v>293.33333333333496</v>
      </c>
      <c r="EO188" s="59">
        <f ca="1">AVERAGE(OFFSET($EN$3,0,0,'Données projet'!$E$15+1,1))-AVERAGE(OFFSET($H$3,0,0,'Données projet'!$E$15+1,1))</f>
        <v>312.1172301514103</v>
      </c>
      <c r="EP188" s="59">
        <f t="shared" si="154"/>
        <v>369.85500533493212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0.12548563408893559</v>
      </c>
      <c r="EW188" s="21">
        <f>EXP(-LN(2)/25)*EW187+(1-EXP(-LN(2)/25))/(LN(2)/25)*Calculateur!ER188*Calculateur!ET188*VLOOKUP('Données projet'!$B$15,Paramètres!$A$1:$I$89,3,0)*0.475*44/12</f>
        <v>0.20457293719609529</v>
      </c>
      <c r="EX188" s="21">
        <f>EXP(-LN(2)/2)*EX187+(1-EXP(-LN(2)/2))/(LN(2)/2)*ER188*EU188*VLOOKUP('Données projet'!$B$15,Paramètres!$A$1:$I$89,3,0)*0.475*44/12</f>
        <v>1.4822229583093796E-22</v>
      </c>
      <c r="EY188" s="22">
        <f t="shared" si="181"/>
        <v>0.33005857128503091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-7.9808160080574461E-14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87.187251664304199</v>
      </c>
      <c r="FK188" s="59">
        <f t="shared" si="156"/>
        <v>148.84938257884147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0.10968479461433112</v>
      </c>
      <c r="FS188" s="21">
        <f>EXP(-LN(2)/2)*FS187+(1-EXP(-LN(2)/2))/(LN(2)/2)*FM188*FP188*VLOOKUP('Données projet'!$B$16,Paramètres!$A$1:$I$89,3,0)*0.475*44/12</f>
        <v>2.8468147411458982E-23</v>
      </c>
      <c r="FT188" s="22">
        <f t="shared" si="184"/>
        <v>0.10968479461433112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-1.1368683772161603E-13</v>
      </c>
      <c r="GA188" s="17">
        <f>FZ188*VLOOKUP('Données projet'!$B$17,Paramètres!$A$1:$I$89,3,0)*VLOOKUP('Données projet'!$B$17,Paramètres!$A$1:$I$89,5,0)</f>
        <v>-6.7984728957526396E-14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282.94722676586207</v>
      </c>
      <c r="GF188" s="59">
        <f t="shared" si="158"/>
        <v>310.63647941571298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0.14578342351999504</v>
      </c>
      <c r="GN188" s="21">
        <f>EXP(-LN(2)/2)*GN187+(1-EXP(-LN(2)/2))/(LN(2)/2)*GH188*GK188*VLOOKUP('Données projet'!$B$17,Paramètres!$A$1:$I$89,3,0)*0.475*44/12</f>
        <v>1.1996744955533166E-22</v>
      </c>
      <c r="GO188" s="21">
        <f t="shared" si="187"/>
        <v>0.14578342351999504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-1.1368683772161603E-13</v>
      </c>
      <c r="GV188" s="17">
        <f>GU188*VLOOKUP('Données projet'!$B$18,Paramètres!$A$1:$I$89,3,0)*VLOOKUP('Données projet'!$B$18,Paramètres!$A$1:$I$89,5,0)</f>
        <v>-6.7984728957526396E-14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255.54398581450459</v>
      </c>
      <c r="HA188" s="59">
        <f t="shared" si="160"/>
        <v>276.52622328061204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</v>
      </c>
      <c r="HH188" s="21">
        <f>EXP(-LN(2)/25)*HH187+(1-EXP(-LN(2)/25))/(LN(2)/25)*Calculateur!HC188*Calculateur!HE188*VLOOKUP('Données projet'!$B$18,Paramètres!$A$1:$I$89,3,0)*0.475*44/12</f>
        <v>7.2741355186415599E-2</v>
      </c>
      <c r="HI188" s="21">
        <f>EXP(-LN(2)/2)*HI187+(1-EXP(-LN(2)/2))/(LN(2)/2)*HC188*HF188*VLOOKUP('Données projet'!$B$18,Paramètres!$A$1:$I$89,3,0)*0.475*44/12</f>
        <v>6.9566656601705191E-23</v>
      </c>
      <c r="HJ188" s="22">
        <f t="shared" si="190"/>
        <v>7.2741355186415599E-2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4.9658410716801891E-14</v>
      </c>
      <c r="P189" s="13">
        <f t="shared" si="141"/>
        <v>8.0934058173791862E-13</v>
      </c>
      <c r="Q189" s="20">
        <f t="shared" si="162"/>
        <v>1.4960899118586383E-12</v>
      </c>
      <c r="R189" s="59">
        <f t="shared" si="109"/>
        <v>293.33333333333479</v>
      </c>
      <c r="S189" s="59">
        <f ca="1">AVERAGE(OFFSET($R$3,0,0,'Données projet'!$E$9+1,1))-AVERAGE(OFFSET($H$3,0,0,'Données projet'!$E$9+1,1))</f>
        <v>248.50221719467663</v>
      </c>
      <c r="T189" s="59">
        <f t="shared" si="142"/>
        <v>366.09064580347183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0.35942601334635588</v>
      </c>
      <c r="AA189" s="21">
        <f>EXP(-LN(2)/25)*AA188+(1-EXP(-LN(2)/25))/(LN(2)/25)*Calculateur!V189*Calculateur!X189*VLOOKUP('Données projet'!$B$9,Paramètres!$A$1:$I$89,3,0)*0.475*44/12</f>
        <v>0.31845426187674014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0.67788027522309602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263.22346936777603</v>
      </c>
      <c r="AO189" s="59">
        <f t="shared" si="144"/>
        <v>217.14714468707939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9.6267729280177322E-2</v>
      </c>
      <c r="AW189" s="21">
        <f>EXP(-LN(2)/2)*AW188+(1-EXP(-LN(2)/2))/(LN(2)/2)*AQ189*AT189*VLOOKUP('Données projet'!$B$10,Paramètres!$A$1:$I$89,3,0)*0.475*44/12</f>
        <v>5.9063211839851426E-23</v>
      </c>
      <c r="AX189" s="21">
        <f t="shared" si="166"/>
        <v>9.6267729280177322E-2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4.4337866711430253E-14</v>
      </c>
      <c r="BF189" s="13">
        <f t="shared" si="167"/>
        <v>7.3222115536967035E-13</v>
      </c>
      <c r="BG189" s="20">
        <f t="shared" si="168"/>
        <v>1.3525069634579169E-12</v>
      </c>
      <c r="BH189" s="59">
        <f t="shared" si="116"/>
        <v>293.33333333333468</v>
      </c>
      <c r="BI189" s="59">
        <f ca="1">AVERAGE(OFFSET($BH$3,0,0,'Données projet'!$E$11+1,1))-AVERAGE(OFFSET($H$3,0,0,'Données projet'!$E$11+1,1))</f>
        <v>219.22204054948094</v>
      </c>
      <c r="BJ189" s="59">
        <f t="shared" si="146"/>
        <v>222.41711966122034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4.1484977186733198E-2</v>
      </c>
      <c r="BR189" s="21">
        <f>EXP(-LN(2)/2)*BR188+(1-EXP(-LN(2)/2))/(LN(2)/2)*BL189*BO189*VLOOKUP('Données projet'!$B$11,Paramètres!$A$1:$I$89,3,0)*0.475*44/12</f>
        <v>1.0819877889199186E-23</v>
      </c>
      <c r="BS189" s="22">
        <f t="shared" si="169"/>
        <v>4.1484977186733198E-2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-3.979039320256561E-13</v>
      </c>
      <c r="BZ189" s="13">
        <f>BY189*VLOOKUP('Données projet'!$B$12,Paramètres!$A$1:$I$89,3,0)*VLOOKUP('Données projet'!$B$12,Paramètres!$A$1:$I$89,5,0)</f>
        <v>-3.41401573678013E-13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237.27357081252273</v>
      </c>
      <c r="CE189" s="59">
        <f t="shared" si="148"/>
        <v>68.768479693848576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-3.4106051316484809E-13</v>
      </c>
      <c r="CU189" s="17">
        <f>CT189*VLOOKUP('Données projet'!$B$13,Paramètres!$A$1:$I$89,3,0)*VLOOKUP('Données projet'!$B$13,Paramètres!$A$1:$I$89,5,0)</f>
        <v>-1.9065282685915009E-13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474.03051418249999</v>
      </c>
      <c r="CZ189" s="59">
        <f t="shared" si="150"/>
        <v>649.52271992719091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0.24881350964237267</v>
      </c>
      <c r="DG189" s="21">
        <f>EXP(-LN(2)/25)*DG188+(1-EXP(-LN(2)/25))/(LN(2)/25)*Calculateur!DB189*Calculateur!DD189*VLOOKUP('Données projet'!$B$13,Paramètres!$A$1:$I$89,3,0)*0.475*44/12</f>
        <v>0.32008389906191909</v>
      </c>
      <c r="DH189" s="21">
        <f>EXP(-LN(2)/2)*DH188+(1-EXP(-LN(2)/2))/(LN(2)/2)*DB189*DE189*VLOOKUP('Données projet'!$B$13,Paramètres!$A$1:$I$89,3,0)*0.475*44/12</f>
        <v>3.8710954342639898E-23</v>
      </c>
      <c r="DI189" s="22">
        <f t="shared" si="175"/>
        <v>0.56889740870429173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-5.6843418860808015E-14</v>
      </c>
      <c r="DP189" s="17">
        <f>DO189*VLOOKUP('Données projet'!$B$14,Paramètres!$A$1:$I$89,3,0)*VLOOKUP('Données projet'!$B$14,Paramètres!$A$1:$I$89,5,0)</f>
        <v>-3.1036506698001178E-14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164.0740581424559</v>
      </c>
      <c r="DU189" s="59">
        <f t="shared" si="152"/>
        <v>280.99861170359793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0.30073373113317459</v>
      </c>
      <c r="EB189" s="21">
        <f>EXP(-LN(2)/25)*EB188+(1-EXP(-LN(2)/25))/(LN(2)/25)*Calculateur!DW189*Calculateur!DY189*VLOOKUP('Données projet'!$B$14,Paramètres!$A$1:$I$89,3,0)*0.475*44/12</f>
        <v>0.34262319277157671</v>
      </c>
      <c r="EC189" s="21">
        <f>EXP(-LN(2)/2)*EC188+(1-EXP(-LN(2)/2))/(LN(2)/2)*DW189*DZ189*VLOOKUP('Données projet'!$B$14,Paramètres!$A$1:$I$89,3,0)*0.475*44/12</f>
        <v>5.0222149319071547E-23</v>
      </c>
      <c r="ED189" s="22">
        <f t="shared" si="178"/>
        <v>0.6433569239047513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1.1368683772161603E-13</v>
      </c>
      <c r="EK189" s="17">
        <f>EJ189*VLOOKUP('Données projet'!$B$15,Paramètres!$A$1:$I$89,3,0)*VLOOKUP('Données projet'!$B$15,Paramètres!$A$1:$I$89,5,0)</f>
        <v>5.4683368944097308E-14</v>
      </c>
      <c r="EL189" s="13">
        <f t="shared" si="179"/>
        <v>8.8129432816788268E-13</v>
      </c>
      <c r="EM189" s="20">
        <f t="shared" si="180"/>
        <v>1.6301611558033651E-12</v>
      </c>
      <c r="EN189" s="59">
        <f t="shared" si="128"/>
        <v>293.33333333333496</v>
      </c>
      <c r="EO189" s="59">
        <f ca="1">AVERAGE(OFFSET($EN$3,0,0,'Données projet'!$E$15+1,1))-AVERAGE(OFFSET($H$3,0,0,'Données projet'!$E$15+1,1))</f>
        <v>312.1172301514103</v>
      </c>
      <c r="EP189" s="59">
        <f t="shared" si="154"/>
        <v>369.85500533493212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0.12302493734313079</v>
      </c>
      <c r="EW189" s="21">
        <f>EXP(-LN(2)/25)*EW188+(1-EXP(-LN(2)/25))/(LN(2)/25)*Calculateur!ER189*Calculateur!ET189*VLOOKUP('Données projet'!$B$15,Paramètres!$A$1:$I$89,3,0)*0.475*44/12</f>
        <v>0.19897887947044485</v>
      </c>
      <c r="EX189" s="21">
        <f>EXP(-LN(2)/2)*EX188+(1-EXP(-LN(2)/2))/(LN(2)/2)*ER189*EU189*VLOOKUP('Données projet'!$B$15,Paramètres!$A$1:$I$89,3,0)*0.475*44/12</f>
        <v>1.0480899050509478E-22</v>
      </c>
      <c r="EY189" s="22">
        <f t="shared" si="181"/>
        <v>0.32200381681357565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-7.9808160080574461E-14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87.187251664304199</v>
      </c>
      <c r="FK189" s="59">
        <f t="shared" si="156"/>
        <v>148.84938257884147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0.10668545813752957</v>
      </c>
      <c r="FS189" s="21">
        <f>EXP(-LN(2)/2)*FS188+(1-EXP(-LN(2)/2))/(LN(2)/2)*FM189*FP189*VLOOKUP('Données projet'!$B$16,Paramètres!$A$1:$I$89,3,0)*0.475*44/12</f>
        <v>2.0130020082460906E-23</v>
      </c>
      <c r="FT189" s="22">
        <f t="shared" si="184"/>
        <v>0.10668545813752957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-1.1368683772161603E-13</v>
      </c>
      <c r="GA189" s="17">
        <f>FZ189*VLOOKUP('Données projet'!$B$17,Paramètres!$A$1:$I$89,3,0)*VLOOKUP('Données projet'!$B$17,Paramètres!$A$1:$I$89,5,0)</f>
        <v>-6.7984728957526396E-14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282.94722676586207</v>
      </c>
      <c r="GF189" s="59">
        <f t="shared" si="158"/>
        <v>310.63647941571298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0.14179696813742373</v>
      </c>
      <c r="GN189" s="21">
        <f>EXP(-LN(2)/2)*GN188+(1-EXP(-LN(2)/2))/(LN(2)/2)*GH189*GK189*VLOOKUP('Données projet'!$B$17,Paramètres!$A$1:$I$89,3,0)*0.475*44/12</f>
        <v>8.4829797102230084E-23</v>
      </c>
      <c r="GO189" s="21">
        <f t="shared" si="187"/>
        <v>0.14179696813742373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-1.1368683772161603E-13</v>
      </c>
      <c r="GV189" s="17">
        <f>GU189*VLOOKUP('Données projet'!$B$18,Paramètres!$A$1:$I$89,3,0)*VLOOKUP('Données projet'!$B$18,Paramètres!$A$1:$I$89,5,0)</f>
        <v>-6.7984728957526396E-14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255.54398581450459</v>
      </c>
      <c r="HA189" s="59">
        <f t="shared" si="160"/>
        <v>276.52622328061204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</v>
      </c>
      <c r="HH189" s="21">
        <f>EXP(-LN(2)/25)*HH188+(1-EXP(-LN(2)/25))/(LN(2)/25)*Calculateur!HC189*Calculateur!HE189*VLOOKUP('Données projet'!$B$18,Paramètres!$A$1:$I$89,3,0)*0.475*44/12</f>
        <v>7.0752239003541453E-2</v>
      </c>
      <c r="HI189" s="21">
        <f>EXP(-LN(2)/2)*HI188+(1-EXP(-LN(2)/2))/(LN(2)/2)*HC189*HF189*VLOOKUP('Données projet'!$B$18,Paramètres!$A$1:$I$89,3,0)*0.475*44/12</f>
        <v>4.9191054627541645E-23</v>
      </c>
      <c r="HJ189" s="22">
        <f t="shared" si="190"/>
        <v>7.0752239003541453E-2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4.9658410716801891E-14</v>
      </c>
      <c r="P190" s="13">
        <f t="shared" si="141"/>
        <v>8.0934058173791862E-13</v>
      </c>
      <c r="Q190" s="20">
        <f t="shared" si="162"/>
        <v>1.4960899118586383E-12</v>
      </c>
      <c r="R190" s="59">
        <f t="shared" si="109"/>
        <v>293.33333333333479</v>
      </c>
      <c r="S190" s="59">
        <f ca="1">AVERAGE(OFFSET($R$3,0,0,'Données projet'!$E$9+1,1))-AVERAGE(OFFSET($H$3,0,0,'Données projet'!$E$9+1,1))</f>
        <v>248.50221719467663</v>
      </c>
      <c r="T190" s="59">
        <f t="shared" si="142"/>
        <v>366.09064580347183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0.352377888452855</v>
      </c>
      <c r="AA190" s="21">
        <f>EXP(-LN(2)/25)*AA189+(1-EXP(-LN(2)/25))/(LN(2)/25)*Calculateur!V190*Calculateur!X190*VLOOKUP('Données projet'!$B$9,Paramètres!$A$1:$I$89,3,0)*0.475*44/12</f>
        <v>0.30974611333893887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0.66212400179179387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263.22346936777603</v>
      </c>
      <c r="AO190" s="59">
        <f t="shared" si="144"/>
        <v>217.14714468707939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9.3635283160511007E-2</v>
      </c>
      <c r="AW190" s="21">
        <f>EXP(-LN(2)/2)*AW189+(1-EXP(-LN(2)/2))/(LN(2)/2)*AQ190*AT190*VLOOKUP('Données projet'!$B$10,Paramètres!$A$1:$I$89,3,0)*0.475*44/12</f>
        <v>4.1763997610616526E-23</v>
      </c>
      <c r="AX190" s="21">
        <f t="shared" si="166"/>
        <v>9.3635283160511007E-2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4.4337866711430253E-14</v>
      </c>
      <c r="BF190" s="13">
        <f t="shared" si="167"/>
        <v>7.3222115536967035E-13</v>
      </c>
      <c r="BG190" s="20">
        <f t="shared" si="168"/>
        <v>1.3525069634579169E-12</v>
      </c>
      <c r="BH190" s="59">
        <f t="shared" si="116"/>
        <v>293.33333333333468</v>
      </c>
      <c r="BI190" s="59">
        <f ca="1">AVERAGE(OFFSET($BH$3,0,0,'Données projet'!$E$11+1,1))-AVERAGE(OFFSET($H$3,0,0,'Données projet'!$E$11+1,1))</f>
        <v>219.22204054948094</v>
      </c>
      <c r="BJ190" s="59">
        <f t="shared" si="146"/>
        <v>222.41711966122034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4.0350568303961845E-2</v>
      </c>
      <c r="BR190" s="21">
        <f>EXP(-LN(2)/2)*BR189+(1-EXP(-LN(2)/2))/(LN(2)/2)*BL190*BO190*VLOOKUP('Données projet'!$B$11,Paramètres!$A$1:$I$89,3,0)*0.475*44/12</f>
        <v>7.6508090270631323E-24</v>
      </c>
      <c r="BS190" s="22">
        <f t="shared" si="169"/>
        <v>4.0350568303961845E-2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-3.979039320256561E-13</v>
      </c>
      <c r="BZ190" s="13">
        <f>BY190*VLOOKUP('Données projet'!$B$12,Paramètres!$A$1:$I$89,3,0)*VLOOKUP('Données projet'!$B$12,Paramètres!$A$1:$I$89,5,0)</f>
        <v>-3.41401573678013E-13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237.27357081252273</v>
      </c>
      <c r="CE190" s="59">
        <f t="shared" si="148"/>
        <v>68.768479693848576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-3.4106051316484809E-13</v>
      </c>
      <c r="CU190" s="17">
        <f>CT190*VLOOKUP('Données projet'!$B$13,Paramètres!$A$1:$I$89,3,0)*VLOOKUP('Données projet'!$B$13,Paramètres!$A$1:$I$89,5,0)</f>
        <v>-1.9065282685915009E-13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474.03051418249999</v>
      </c>
      <c r="CZ190" s="59">
        <f t="shared" si="150"/>
        <v>649.52271992719091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0.24393442847954144</v>
      </c>
      <c r="DG190" s="21">
        <f>EXP(-LN(2)/25)*DG189+(1-EXP(-LN(2)/25))/(LN(2)/25)*Calculateur!DB190*Calculateur!DD190*VLOOKUP('Données projet'!$B$13,Paramètres!$A$1:$I$89,3,0)*0.475*44/12</f>
        <v>0.3113311880095902</v>
      </c>
      <c r="DH190" s="21">
        <f>EXP(-LN(2)/2)*DH189+(1-EXP(-LN(2)/2))/(LN(2)/2)*DB190*DE190*VLOOKUP('Données projet'!$B$13,Paramètres!$A$1:$I$89,3,0)*0.475*44/12</f>
        <v>2.7372778321883502E-23</v>
      </c>
      <c r="DI190" s="22">
        <f t="shared" si="175"/>
        <v>0.55526561648913164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-5.6843418860808015E-14</v>
      </c>
      <c r="DP190" s="17">
        <f>DO190*VLOOKUP('Données projet'!$B$14,Paramètres!$A$1:$I$89,3,0)*VLOOKUP('Données projet'!$B$14,Paramètres!$A$1:$I$89,5,0)</f>
        <v>-3.1036506698001178E-14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164.0740581424559</v>
      </c>
      <c r="DU190" s="59">
        <f t="shared" si="152"/>
        <v>280.99861170359793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0.29483652609511685</v>
      </c>
      <c r="EB190" s="21">
        <f>EXP(-LN(2)/25)*EB189+(1-EXP(-LN(2)/25))/(LN(2)/25)*Calculateur!DW190*Calculateur!DY190*VLOOKUP('Données projet'!$B$14,Paramètres!$A$1:$I$89,3,0)*0.475*44/12</f>
        <v>0.3332541435474673</v>
      </c>
      <c r="EC190" s="21">
        <f>EXP(-LN(2)/2)*EC189+(1-EXP(-LN(2)/2))/(LN(2)/2)*DW190*DZ190*VLOOKUP('Données projet'!$B$14,Paramètres!$A$1:$I$89,3,0)*0.475*44/12</f>
        <v>3.5512422349278841E-23</v>
      </c>
      <c r="ED190" s="22">
        <f t="shared" si="178"/>
        <v>0.62809066964258409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1.1368683772161603E-13</v>
      </c>
      <c r="EK190" s="17">
        <f>EJ190*VLOOKUP('Données projet'!$B$15,Paramètres!$A$1:$I$89,3,0)*VLOOKUP('Données projet'!$B$15,Paramètres!$A$1:$I$89,5,0)</f>
        <v>5.4683368944097308E-14</v>
      </c>
      <c r="EL190" s="13">
        <f t="shared" si="179"/>
        <v>8.8129432816788268E-13</v>
      </c>
      <c r="EM190" s="20">
        <f t="shared" si="180"/>
        <v>1.6301611558033651E-12</v>
      </c>
      <c r="EN190" s="59">
        <f t="shared" si="128"/>
        <v>293.33333333333496</v>
      </c>
      <c r="EO190" s="59">
        <f ca="1">AVERAGE(OFFSET($EN$3,0,0,'Données projet'!$E$15+1,1))-AVERAGE(OFFSET($H$3,0,0,'Données projet'!$E$15+1,1))</f>
        <v>312.1172301514103</v>
      </c>
      <c r="EP190" s="59">
        <f t="shared" si="154"/>
        <v>369.85500533493212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0.12061249335963441</v>
      </c>
      <c r="EW190" s="21">
        <f>EXP(-LN(2)/25)*EW189+(1-EXP(-LN(2)/25))/(LN(2)/25)*Calculateur!ER190*Calculateur!ET190*VLOOKUP('Données projet'!$B$15,Paramètres!$A$1:$I$89,3,0)*0.475*44/12</f>
        <v>0.19353779154748105</v>
      </c>
      <c r="EX190" s="21">
        <f>EXP(-LN(2)/2)*EX189+(1-EXP(-LN(2)/2))/(LN(2)/2)*ER190*EU190*VLOOKUP('Données projet'!$B$15,Paramètres!$A$1:$I$89,3,0)*0.475*44/12</f>
        <v>7.4111147915468994E-23</v>
      </c>
      <c r="EY190" s="22">
        <f t="shared" si="181"/>
        <v>0.31415028490711544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-7.9808160080574461E-14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87.187251664304199</v>
      </c>
      <c r="FK190" s="59">
        <f t="shared" si="156"/>
        <v>148.84938257884147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0.10376813867441441</v>
      </c>
      <c r="FS190" s="21">
        <f>EXP(-LN(2)/2)*FS189+(1-EXP(-LN(2)/2))/(LN(2)/2)*FM190*FP190*VLOOKUP('Données projet'!$B$16,Paramètres!$A$1:$I$89,3,0)*0.475*44/12</f>
        <v>1.4234073705729491E-23</v>
      </c>
      <c r="FT190" s="22">
        <f t="shared" si="184"/>
        <v>0.10376813867441441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-1.1368683772161603E-13</v>
      </c>
      <c r="GA190" s="17">
        <f>FZ190*VLOOKUP('Données projet'!$B$17,Paramètres!$A$1:$I$89,3,0)*VLOOKUP('Données projet'!$B$17,Paramètres!$A$1:$I$89,5,0)</f>
        <v>-6.7984728957526396E-14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282.94722676586207</v>
      </c>
      <c r="GF190" s="59">
        <f t="shared" si="158"/>
        <v>310.63647941571298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0.13791952258692741</v>
      </c>
      <c r="GN190" s="21">
        <f>EXP(-LN(2)/2)*GN189+(1-EXP(-LN(2)/2))/(LN(2)/2)*GH190*GK190*VLOOKUP('Données projet'!$B$17,Paramètres!$A$1:$I$89,3,0)*0.475*44/12</f>
        <v>5.998372477766583E-23</v>
      </c>
      <c r="GO190" s="21">
        <f t="shared" si="187"/>
        <v>0.13791952258692741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-1.1368683772161603E-13</v>
      </c>
      <c r="GV190" s="17">
        <f>GU190*VLOOKUP('Données projet'!$B$18,Paramètres!$A$1:$I$89,3,0)*VLOOKUP('Données projet'!$B$18,Paramètres!$A$1:$I$89,5,0)</f>
        <v>-6.7984728957526396E-14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255.54398581450459</v>
      </c>
      <c r="HA190" s="59">
        <f t="shared" si="160"/>
        <v>276.52622328061204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</v>
      </c>
      <c r="HH190" s="21">
        <f>EXP(-LN(2)/25)*HH189+(1-EXP(-LN(2)/25))/(LN(2)/25)*Calculateur!HC190*Calculateur!HE190*VLOOKUP('Données projet'!$B$18,Paramètres!$A$1:$I$89,3,0)*0.475*44/12</f>
        <v>6.8817515307291063E-2</v>
      </c>
      <c r="HI190" s="21">
        <f>EXP(-LN(2)/2)*HI189+(1-EXP(-LN(2)/2))/(LN(2)/2)*HC190*HF190*VLOOKUP('Données projet'!$B$18,Paramètres!$A$1:$I$89,3,0)*0.475*44/12</f>
        <v>3.4783328300852596E-23</v>
      </c>
      <c r="HJ190" s="22">
        <f t="shared" si="190"/>
        <v>6.8817515307291063E-2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4.9658410716801891E-14</v>
      </c>
      <c r="P191" s="13">
        <f t="shared" si="141"/>
        <v>8.0934058173791862E-13</v>
      </c>
      <c r="Q191" s="20">
        <f t="shared" si="162"/>
        <v>1.4960899118586383E-12</v>
      </c>
      <c r="R191" s="59">
        <f t="shared" si="109"/>
        <v>293.33333333333479</v>
      </c>
      <c r="S191" s="59">
        <f ca="1">AVERAGE(OFFSET($R$3,0,0,'Données projet'!$E$9+1,1))-AVERAGE(OFFSET($H$3,0,0,'Données projet'!$E$9+1,1))</f>
        <v>248.50221719467663</v>
      </c>
      <c r="T191" s="59">
        <f t="shared" si="142"/>
        <v>366.09064580347183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0.34546797298958398</v>
      </c>
      <c r="AA191" s="21">
        <f>EXP(-LN(2)/25)*AA190+(1-EXP(-LN(2)/25))/(LN(2)/25)*Calculateur!V191*Calculateur!X191*VLOOKUP('Données projet'!$B$9,Paramètres!$A$1:$I$89,3,0)*0.475*44/12</f>
        <v>0.3012760895808454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0.64674406257042938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263.22346936777603</v>
      </c>
      <c r="AO191" s="59">
        <f t="shared" si="144"/>
        <v>217.14714468707939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9.1074821418421298E-2</v>
      </c>
      <c r="AW191" s="21">
        <f>EXP(-LN(2)/2)*AW190+(1-EXP(-LN(2)/2))/(LN(2)/2)*AQ191*AT191*VLOOKUP('Données projet'!$B$10,Paramètres!$A$1:$I$89,3,0)*0.475*44/12</f>
        <v>2.9531605919925713E-23</v>
      </c>
      <c r="AX191" s="21">
        <f t="shared" si="166"/>
        <v>9.1074821418421298E-2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4.4337866711430253E-14</v>
      </c>
      <c r="BF191" s="13">
        <f t="shared" si="167"/>
        <v>7.3222115536967035E-13</v>
      </c>
      <c r="BG191" s="20">
        <f t="shared" si="168"/>
        <v>1.3525069634579169E-12</v>
      </c>
      <c r="BH191" s="59">
        <f t="shared" si="116"/>
        <v>293.33333333333468</v>
      </c>
      <c r="BI191" s="59">
        <f ca="1">AVERAGE(OFFSET($BH$3,0,0,'Données projet'!$E$11+1,1))-AVERAGE(OFFSET($H$3,0,0,'Données projet'!$E$11+1,1))</f>
        <v>219.22204054948094</v>
      </c>
      <c r="BJ191" s="59">
        <f t="shared" si="146"/>
        <v>222.41711966122034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3.9247179891745844E-2</v>
      </c>
      <c r="BR191" s="21">
        <f>EXP(-LN(2)/2)*BR190+(1-EXP(-LN(2)/2))/(LN(2)/2)*BL191*BO191*VLOOKUP('Données projet'!$B$11,Paramètres!$A$1:$I$89,3,0)*0.475*44/12</f>
        <v>5.4099389445995929E-24</v>
      </c>
      <c r="BS191" s="22">
        <f t="shared" si="169"/>
        <v>3.9247179891745844E-2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-3.979039320256561E-13</v>
      </c>
      <c r="BZ191" s="13">
        <f>BY191*VLOOKUP('Données projet'!$B$12,Paramètres!$A$1:$I$89,3,0)*VLOOKUP('Données projet'!$B$12,Paramètres!$A$1:$I$89,5,0)</f>
        <v>-3.41401573678013E-13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237.27357081252273</v>
      </c>
      <c r="CE191" s="59">
        <f t="shared" si="148"/>
        <v>68.768479693848576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-3.4106051316484809E-13</v>
      </c>
      <c r="CU191" s="17">
        <f>CT191*VLOOKUP('Données projet'!$B$13,Paramètres!$A$1:$I$89,3,0)*VLOOKUP('Données projet'!$B$13,Paramètres!$A$1:$I$89,5,0)</f>
        <v>-1.9065282685915009E-13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474.03051418249999</v>
      </c>
      <c r="CZ191" s="59">
        <f t="shared" si="150"/>
        <v>649.52271992719091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0.23915102312236769</v>
      </c>
      <c r="DG191" s="21">
        <f>EXP(-LN(2)/25)*DG190+(1-EXP(-LN(2)/25))/(LN(2)/25)*Calculateur!DB191*Calculateur!DD191*VLOOKUP('Données projet'!$B$13,Paramètres!$A$1:$I$89,3,0)*0.475*44/12</f>
        <v>0.30281782030127236</v>
      </c>
      <c r="DH191" s="21">
        <f>EXP(-LN(2)/2)*DH190+(1-EXP(-LN(2)/2))/(LN(2)/2)*DB191*DE191*VLOOKUP('Données projet'!$B$13,Paramètres!$A$1:$I$89,3,0)*0.475*44/12</f>
        <v>1.9355477171319949E-23</v>
      </c>
      <c r="DI191" s="22">
        <f t="shared" si="175"/>
        <v>0.54196884342364005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-5.6843418860808015E-14</v>
      </c>
      <c r="DP191" s="17">
        <f>DO191*VLOOKUP('Données projet'!$B$14,Paramètres!$A$1:$I$89,3,0)*VLOOKUP('Données projet'!$B$14,Paramètres!$A$1:$I$89,5,0)</f>
        <v>-3.1036506698001178E-14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164.0740581424559</v>
      </c>
      <c r="DU191" s="59">
        <f t="shared" si="152"/>
        <v>280.99861170359793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0.28905496165091554</v>
      </c>
      <c r="EB191" s="21">
        <f>EXP(-LN(2)/25)*EB190+(1-EXP(-LN(2)/25))/(LN(2)/25)*Calculateur!DW191*Calculateur!DY191*VLOOKUP('Données projet'!$B$14,Paramètres!$A$1:$I$89,3,0)*0.475*44/12</f>
        <v>0.32414129146708803</v>
      </c>
      <c r="EC191" s="21">
        <f>EXP(-LN(2)/2)*EC190+(1-EXP(-LN(2)/2))/(LN(2)/2)*DW191*DZ191*VLOOKUP('Données projet'!$B$14,Paramètres!$A$1:$I$89,3,0)*0.475*44/12</f>
        <v>2.5111074659535774E-23</v>
      </c>
      <c r="ED191" s="22">
        <f t="shared" si="178"/>
        <v>0.61319625311800352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1.1368683772161603E-13</v>
      </c>
      <c r="EK191" s="17">
        <f>EJ191*VLOOKUP('Données projet'!$B$15,Paramètres!$A$1:$I$89,3,0)*VLOOKUP('Données projet'!$B$15,Paramètres!$A$1:$I$89,5,0)</f>
        <v>5.4683368944097308E-14</v>
      </c>
      <c r="EL191" s="13">
        <f t="shared" si="179"/>
        <v>8.8129432816788268E-13</v>
      </c>
      <c r="EM191" s="20">
        <f t="shared" si="180"/>
        <v>1.6301611558033651E-12</v>
      </c>
      <c r="EN191" s="59">
        <f t="shared" si="128"/>
        <v>293.33333333333496</v>
      </c>
      <c r="EO191" s="59">
        <f ca="1">AVERAGE(OFFSET($EN$3,0,0,'Données projet'!$E$15+1,1))-AVERAGE(OFFSET($H$3,0,0,'Données projet'!$E$15+1,1))</f>
        <v>312.1172301514103</v>
      </c>
      <c r="EP191" s="59">
        <f t="shared" si="154"/>
        <v>369.85500533493212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0.11824735593120884</v>
      </c>
      <c r="EW191" s="21">
        <f>EXP(-LN(2)/25)*EW190+(1-EXP(-LN(2)/25))/(LN(2)/25)*Calculateur!ER191*Calculateur!ET191*VLOOKUP('Données projet'!$B$15,Paramètres!$A$1:$I$89,3,0)*0.475*44/12</f>
        <v>0.18824549045990505</v>
      </c>
      <c r="EX191" s="21">
        <f>EXP(-LN(2)/2)*EX190+(1-EXP(-LN(2)/2))/(LN(2)/2)*ER191*EU191*VLOOKUP('Données projet'!$B$15,Paramètres!$A$1:$I$89,3,0)*0.475*44/12</f>
        <v>5.2404495252547394E-23</v>
      </c>
      <c r="EY191" s="22">
        <f t="shared" si="181"/>
        <v>0.3064928463911139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-7.9808160080574461E-14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87.187251664304199</v>
      </c>
      <c r="FK191" s="59">
        <f t="shared" si="156"/>
        <v>148.84938257884147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0.1009305934654333</v>
      </c>
      <c r="FS191" s="21">
        <f>EXP(-LN(2)/2)*FS190+(1-EXP(-LN(2)/2))/(LN(2)/2)*FM191*FP191*VLOOKUP('Données projet'!$B$16,Paramètres!$A$1:$I$89,3,0)*0.475*44/12</f>
        <v>1.0065010041230453E-23</v>
      </c>
      <c r="FT191" s="22">
        <f t="shared" si="184"/>
        <v>0.1009305934654333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-1.1368683772161603E-13</v>
      </c>
      <c r="GA191" s="17">
        <f>FZ191*VLOOKUP('Données projet'!$B$17,Paramètres!$A$1:$I$89,3,0)*VLOOKUP('Données projet'!$B$17,Paramètres!$A$1:$I$89,5,0)</f>
        <v>-6.7984728957526396E-14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282.94722676586207</v>
      </c>
      <c r="GF191" s="59">
        <f t="shared" si="158"/>
        <v>310.63647941571298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0.13414810598891541</v>
      </c>
      <c r="GN191" s="21">
        <f>EXP(-LN(2)/2)*GN190+(1-EXP(-LN(2)/2))/(LN(2)/2)*GH191*GK191*VLOOKUP('Données projet'!$B$17,Paramètres!$A$1:$I$89,3,0)*0.475*44/12</f>
        <v>4.2414898551115042E-23</v>
      </c>
      <c r="GO191" s="21">
        <f t="shared" si="187"/>
        <v>0.13414810598891541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-1.1368683772161603E-13</v>
      </c>
      <c r="GV191" s="17">
        <f>GU191*VLOOKUP('Données projet'!$B$18,Paramètres!$A$1:$I$89,3,0)*VLOOKUP('Données projet'!$B$18,Paramètres!$A$1:$I$89,5,0)</f>
        <v>-6.7984728957526396E-14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255.54398581450459</v>
      </c>
      <c r="HA191" s="59">
        <f t="shared" si="160"/>
        <v>276.52622328061204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</v>
      </c>
      <c r="HH191" s="21">
        <f>EXP(-LN(2)/25)*HH190+(1-EXP(-LN(2)/25))/(LN(2)/25)*Calculateur!HC191*Calculateur!HE191*VLOOKUP('Données projet'!$B$18,Paramètres!$A$1:$I$89,3,0)*0.475*44/12</f>
        <v>6.6935696732257341E-2</v>
      </c>
      <c r="HI191" s="21">
        <f>EXP(-LN(2)/2)*HI190+(1-EXP(-LN(2)/2))/(LN(2)/2)*HC191*HF191*VLOOKUP('Données projet'!$B$18,Paramètres!$A$1:$I$89,3,0)*0.475*44/12</f>
        <v>2.4595527313770823E-23</v>
      </c>
      <c r="HJ191" s="22">
        <f t="shared" si="190"/>
        <v>6.6935696732257341E-2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4.9658410716801891E-14</v>
      </c>
      <c r="P192" s="13">
        <f t="shared" si="141"/>
        <v>8.0934058173791862E-13</v>
      </c>
      <c r="Q192" s="20">
        <f t="shared" si="162"/>
        <v>1.4960899118586383E-12</v>
      </c>
      <c r="R192" s="59">
        <f t="shared" si="109"/>
        <v>293.33333333333479</v>
      </c>
      <c r="S192" s="59">
        <f ca="1">AVERAGE(OFFSET($R$3,0,0,'Données projet'!$E$9+1,1))-AVERAGE(OFFSET($H$3,0,0,'Données projet'!$E$9+1,1))</f>
        <v>248.50221719467663</v>
      </c>
      <c r="T192" s="59">
        <f t="shared" si="142"/>
        <v>366.09064580347183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0.33869355675391544</v>
      </c>
      <c r="AA192" s="21">
        <f>EXP(-LN(2)/25)*AA191+(1-EXP(-LN(2)/25))/(LN(2)/25)*Calculateur!V192*Calculateur!X192*VLOOKUP('Données projet'!$B$9,Paramètres!$A$1:$I$89,3,0)*0.475*44/12</f>
        <v>0.29303767906783618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0.63173123582175161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263.22346936777603</v>
      </c>
      <c r="AO192" s="59">
        <f t="shared" si="144"/>
        <v>217.14714468707939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8.8584375637317858E-2</v>
      </c>
      <c r="AW192" s="21">
        <f>EXP(-LN(2)/2)*AW191+(1-EXP(-LN(2)/2))/(LN(2)/2)*AQ192*AT192*VLOOKUP('Données projet'!$B$10,Paramètres!$A$1:$I$89,3,0)*0.475*44/12</f>
        <v>2.0881998805308263E-23</v>
      </c>
      <c r="AX192" s="21">
        <f t="shared" si="166"/>
        <v>8.8584375637317858E-2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4.4337866711430253E-14</v>
      </c>
      <c r="BF192" s="13">
        <f t="shared" si="167"/>
        <v>7.3222115536967035E-13</v>
      </c>
      <c r="BG192" s="20">
        <f t="shared" si="168"/>
        <v>1.3525069634579169E-12</v>
      </c>
      <c r="BH192" s="59">
        <f t="shared" si="116"/>
        <v>293.33333333333468</v>
      </c>
      <c r="BI192" s="59">
        <f ca="1">AVERAGE(OFFSET($BH$3,0,0,'Données projet'!$E$11+1,1))-AVERAGE(OFFSET($H$3,0,0,'Données projet'!$E$11+1,1))</f>
        <v>219.22204054948094</v>
      </c>
      <c r="BJ192" s="59">
        <f t="shared" si="146"/>
        <v>222.41711966122034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3.8173963693686565E-2</v>
      </c>
      <c r="BR192" s="21">
        <f>EXP(-LN(2)/2)*BR191+(1-EXP(-LN(2)/2))/(LN(2)/2)*BL192*BO192*VLOOKUP('Données projet'!$B$11,Paramètres!$A$1:$I$89,3,0)*0.475*44/12</f>
        <v>3.8254045135315661E-24</v>
      </c>
      <c r="BS192" s="22">
        <f t="shared" si="169"/>
        <v>3.8173963693686565E-2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-3.979039320256561E-13</v>
      </c>
      <c r="BZ192" s="13">
        <f>BY192*VLOOKUP('Données projet'!$B$12,Paramètres!$A$1:$I$89,3,0)*VLOOKUP('Données projet'!$B$12,Paramètres!$A$1:$I$89,5,0)</f>
        <v>-3.41401573678013E-13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237.27357081252273</v>
      </c>
      <c r="CE192" s="59">
        <f t="shared" si="148"/>
        <v>68.768479693848576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-3.4106051316484809E-13</v>
      </c>
      <c r="CU192" s="17">
        <f>CT192*VLOOKUP('Données projet'!$B$13,Paramètres!$A$1:$I$89,3,0)*VLOOKUP('Données projet'!$B$13,Paramètres!$A$1:$I$89,5,0)</f>
        <v>-1.9065282685915009E-13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474.03051418249999</v>
      </c>
      <c r="CZ192" s="59">
        <f t="shared" si="150"/>
        <v>649.52271992719091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0.23446141742665894</v>
      </c>
      <c r="DG192" s="21">
        <f>EXP(-LN(2)/25)*DG191+(1-EXP(-LN(2)/25))/(LN(2)/25)*Calculateur!DB192*Calculateur!DD192*VLOOKUP('Données projet'!$B$13,Paramètres!$A$1:$I$89,3,0)*0.475*44/12</f>
        <v>0.294537251080637</v>
      </c>
      <c r="DH192" s="21">
        <f>EXP(-LN(2)/2)*DH191+(1-EXP(-LN(2)/2))/(LN(2)/2)*DB192*DE192*VLOOKUP('Données projet'!$B$13,Paramètres!$A$1:$I$89,3,0)*0.475*44/12</f>
        <v>1.3686389160941751E-23</v>
      </c>
      <c r="DI192" s="22">
        <f t="shared" si="175"/>
        <v>0.52899866850729593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-5.6843418860808015E-14</v>
      </c>
      <c r="DP192" s="17">
        <f>DO192*VLOOKUP('Données projet'!$B$14,Paramètres!$A$1:$I$89,3,0)*VLOOKUP('Données projet'!$B$14,Paramètres!$A$1:$I$89,5,0)</f>
        <v>-3.1036506698001178E-14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164.0740581424559</v>
      </c>
      <c r="DU192" s="59">
        <f t="shared" si="152"/>
        <v>280.99861170359793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0.28338677015905889</v>
      </c>
      <c r="EB192" s="21">
        <f>EXP(-LN(2)/25)*EB191+(1-EXP(-LN(2)/25))/(LN(2)/25)*Calculateur!DW192*Calculateur!DY192*VLOOKUP('Données projet'!$B$14,Paramètres!$A$1:$I$89,3,0)*0.475*44/12</f>
        <v>0.31527763080607085</v>
      </c>
      <c r="EC192" s="21">
        <f>EXP(-LN(2)/2)*EC191+(1-EXP(-LN(2)/2))/(LN(2)/2)*DW192*DZ192*VLOOKUP('Données projet'!$B$14,Paramètres!$A$1:$I$89,3,0)*0.475*44/12</f>
        <v>1.775621117463942E-23</v>
      </c>
      <c r="ED192" s="22">
        <f t="shared" si="178"/>
        <v>0.59866440096512974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1.1368683772161603E-13</v>
      </c>
      <c r="EK192" s="17">
        <f>EJ192*VLOOKUP('Données projet'!$B$15,Paramètres!$A$1:$I$89,3,0)*VLOOKUP('Données projet'!$B$15,Paramètres!$A$1:$I$89,5,0)</f>
        <v>5.4683368944097308E-14</v>
      </c>
      <c r="EL192" s="13">
        <f t="shared" si="179"/>
        <v>8.8129432816788268E-13</v>
      </c>
      <c r="EM192" s="20">
        <f t="shared" si="180"/>
        <v>1.6301611558033651E-12</v>
      </c>
      <c r="EN192" s="59">
        <f t="shared" si="128"/>
        <v>293.33333333333496</v>
      </c>
      <c r="EO192" s="59">
        <f ca="1">AVERAGE(OFFSET($EN$3,0,0,'Données projet'!$E$15+1,1))-AVERAGE(OFFSET($H$3,0,0,'Données projet'!$E$15+1,1))</f>
        <v>312.1172301514103</v>
      </c>
      <c r="EP192" s="59">
        <f t="shared" si="154"/>
        <v>369.85500533493212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0.11592859740516333</v>
      </c>
      <c r="EW192" s="21">
        <f>EXP(-LN(2)/25)*EW191+(1-EXP(-LN(2)/25))/(LN(2)/25)*Calculateur!ER192*Calculateur!ET192*VLOOKUP('Données projet'!$B$15,Paramètres!$A$1:$I$89,3,0)*0.475*44/12</f>
        <v>0.18309790762387884</v>
      </c>
      <c r="EX192" s="21">
        <f>EXP(-LN(2)/2)*EX191+(1-EXP(-LN(2)/2))/(LN(2)/2)*ER192*EU192*VLOOKUP('Données projet'!$B$15,Paramètres!$A$1:$I$89,3,0)*0.475*44/12</f>
        <v>3.7055573957734503E-23</v>
      </c>
      <c r="EY192" s="22">
        <f t="shared" si="181"/>
        <v>0.29902650502904216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-7.9808160080574461E-14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87.187251664304199</v>
      </c>
      <c r="FK192" s="59">
        <f t="shared" si="156"/>
        <v>148.84938257884147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9.81706410794118E-2</v>
      </c>
      <c r="FS192" s="21">
        <f>EXP(-LN(2)/2)*FS191+(1-EXP(-LN(2)/2))/(LN(2)/2)*FM192*FP192*VLOOKUP('Données projet'!$B$16,Paramètres!$A$1:$I$89,3,0)*0.475*44/12</f>
        <v>7.1170368528647456E-24</v>
      </c>
      <c r="FT192" s="22">
        <f t="shared" si="184"/>
        <v>9.81706410794118E-2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-1.1368683772161603E-13</v>
      </c>
      <c r="GA192" s="17">
        <f>FZ192*VLOOKUP('Données projet'!$B$17,Paramètres!$A$1:$I$89,3,0)*VLOOKUP('Données projet'!$B$17,Paramètres!$A$1:$I$89,5,0)</f>
        <v>-6.7984728957526396E-14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282.94722676586207</v>
      </c>
      <c r="GF192" s="59">
        <f t="shared" si="158"/>
        <v>310.63647941571298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0.13047981897610622</v>
      </c>
      <c r="GN192" s="21">
        <f>EXP(-LN(2)/2)*GN191+(1-EXP(-LN(2)/2))/(LN(2)/2)*GH192*GK192*VLOOKUP('Données projet'!$B$17,Paramètres!$A$1:$I$89,3,0)*0.475*44/12</f>
        <v>2.9991862388832915E-23</v>
      </c>
      <c r="GO192" s="21">
        <f t="shared" si="187"/>
        <v>0.13047981897610622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-1.1368683772161603E-13</v>
      </c>
      <c r="GV192" s="17">
        <f>GU192*VLOOKUP('Données projet'!$B$18,Paramètres!$A$1:$I$89,3,0)*VLOOKUP('Données projet'!$B$18,Paramètres!$A$1:$I$89,5,0)</f>
        <v>-6.7984728957526396E-14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255.54398581450459</v>
      </c>
      <c r="HA192" s="59">
        <f t="shared" si="160"/>
        <v>276.52622328061204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</v>
      </c>
      <c r="HH192" s="21">
        <f>EXP(-LN(2)/25)*HH191+(1-EXP(-LN(2)/25))/(LN(2)/25)*Calculateur!HC192*Calculateur!HE192*VLOOKUP('Données projet'!$B$18,Paramètres!$A$1:$I$89,3,0)*0.475*44/12</f>
        <v>6.5105336585118453E-2</v>
      </c>
      <c r="HI192" s="21">
        <f>EXP(-LN(2)/2)*HI191+(1-EXP(-LN(2)/2))/(LN(2)/2)*HC192*HF192*VLOOKUP('Données projet'!$B$18,Paramètres!$A$1:$I$89,3,0)*0.475*44/12</f>
        <v>1.7391664150426298E-23</v>
      </c>
      <c r="HJ192" s="22">
        <f t="shared" si="190"/>
        <v>6.5105336585118453E-2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4.9658410716801891E-14</v>
      </c>
      <c r="P193" s="13">
        <f t="shared" si="141"/>
        <v>8.0934058173791862E-13</v>
      </c>
      <c r="Q193" s="20">
        <f t="shared" si="162"/>
        <v>1.4960899118586383E-12</v>
      </c>
      <c r="R193" s="59">
        <f t="shared" si="109"/>
        <v>293.33333333333479</v>
      </c>
      <c r="S193" s="59">
        <f ca="1">AVERAGE(OFFSET($R$3,0,0,'Données projet'!$E$9+1,1))-AVERAGE(OFFSET($H$3,0,0,'Données projet'!$E$9+1,1))</f>
        <v>248.50221719467663</v>
      </c>
      <c r="T193" s="59">
        <f t="shared" si="142"/>
        <v>366.09064580347183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0.33205198268864244</v>
      </c>
      <c r="AA193" s="21">
        <f>EXP(-LN(2)/25)*AA192+(1-EXP(-LN(2)/25))/(LN(2)/25)*Calculateur!V193*Calculateur!X193*VLOOKUP('Données projet'!$B$9,Paramètres!$A$1:$I$89,3,0)*0.475*44/12</f>
        <v>0.2850245483235444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0.61707653101218685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263.22346936777603</v>
      </c>
      <c r="AO193" s="59">
        <f t="shared" si="144"/>
        <v>217.14714468707939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8.6162031227065547E-2</v>
      </c>
      <c r="AW193" s="21">
        <f>EXP(-LN(2)/2)*AW192+(1-EXP(-LN(2)/2))/(LN(2)/2)*AQ193*AT193*VLOOKUP('Données projet'!$B$10,Paramètres!$A$1:$I$89,3,0)*0.475*44/12</f>
        <v>1.4765802959962857E-23</v>
      </c>
      <c r="AX193" s="21">
        <f t="shared" si="166"/>
        <v>8.6162031227065547E-2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4.4337866711430253E-14</v>
      </c>
      <c r="BF193" s="13">
        <f t="shared" si="167"/>
        <v>7.3222115536967035E-13</v>
      </c>
      <c r="BG193" s="20">
        <f t="shared" si="168"/>
        <v>1.3525069634579169E-12</v>
      </c>
      <c r="BH193" s="59">
        <f t="shared" si="116"/>
        <v>293.33333333333468</v>
      </c>
      <c r="BI193" s="59">
        <f ca="1">AVERAGE(OFFSET($BH$3,0,0,'Données projet'!$E$11+1,1))-AVERAGE(OFFSET($H$3,0,0,'Données projet'!$E$11+1,1))</f>
        <v>219.22204054948094</v>
      </c>
      <c r="BJ193" s="59">
        <f t="shared" si="146"/>
        <v>222.41711966122034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3.7130094649001202E-2</v>
      </c>
      <c r="BR193" s="21">
        <f>EXP(-LN(2)/2)*BR192+(1-EXP(-LN(2)/2))/(LN(2)/2)*BL193*BO193*VLOOKUP('Données projet'!$B$11,Paramètres!$A$1:$I$89,3,0)*0.475*44/12</f>
        <v>2.7049694722997964E-24</v>
      </c>
      <c r="BS193" s="22">
        <f t="shared" si="169"/>
        <v>3.7130094649001202E-2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-3.979039320256561E-13</v>
      </c>
      <c r="BZ193" s="13">
        <f>BY193*VLOOKUP('Données projet'!$B$12,Paramètres!$A$1:$I$89,3,0)*VLOOKUP('Données projet'!$B$12,Paramètres!$A$1:$I$89,5,0)</f>
        <v>-3.41401573678013E-13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237.27357081252273</v>
      </c>
      <c r="CE193" s="59">
        <f t="shared" si="148"/>
        <v>68.768479693848576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-3.4106051316484809E-13</v>
      </c>
      <c r="CU193" s="17">
        <f>CT193*VLOOKUP('Données projet'!$B$13,Paramètres!$A$1:$I$89,3,0)*VLOOKUP('Données projet'!$B$13,Paramètres!$A$1:$I$89,5,0)</f>
        <v>-1.9065282685915009E-13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474.03051418249999</v>
      </c>
      <c r="CZ193" s="59">
        <f t="shared" si="150"/>
        <v>649.52271992719091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0.229863772038266</v>
      </c>
      <c r="DG193" s="21">
        <f>EXP(-LN(2)/25)*DG192+(1-EXP(-LN(2)/25))/(LN(2)/25)*Calculateur!DB193*Calculateur!DD193*VLOOKUP('Données projet'!$B$13,Paramètres!$A$1:$I$89,3,0)*0.475*44/12</f>
        <v>0.28648311446079611</v>
      </c>
      <c r="DH193" s="21">
        <f>EXP(-LN(2)/2)*DH192+(1-EXP(-LN(2)/2))/(LN(2)/2)*DB193*DE193*VLOOKUP('Données projet'!$B$13,Paramètres!$A$1:$I$89,3,0)*0.475*44/12</f>
        <v>9.6777385856599745E-24</v>
      </c>
      <c r="DI193" s="22">
        <f t="shared" si="175"/>
        <v>0.51634688649906213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-5.6843418860808015E-14</v>
      </c>
      <c r="DP193" s="17">
        <f>DO193*VLOOKUP('Données projet'!$B$14,Paramètres!$A$1:$I$89,3,0)*VLOOKUP('Données projet'!$B$14,Paramètres!$A$1:$I$89,5,0)</f>
        <v>-3.1036506698001178E-14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164.0740581424559</v>
      </c>
      <c r="DU193" s="59">
        <f t="shared" si="152"/>
        <v>280.99861170359793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0.27782972844510212</v>
      </c>
      <c r="EB193" s="21">
        <f>EXP(-LN(2)/25)*EB192+(1-EXP(-LN(2)/25))/(LN(2)/25)*Calculateur!DW193*Calculateur!DY193*VLOOKUP('Données projet'!$B$14,Paramètres!$A$1:$I$89,3,0)*0.475*44/12</f>
        <v>0.3066563474119488</v>
      </c>
      <c r="EC193" s="21">
        <f>EXP(-LN(2)/2)*EC192+(1-EXP(-LN(2)/2))/(LN(2)/2)*DW193*DZ193*VLOOKUP('Données projet'!$B$14,Paramètres!$A$1:$I$89,3,0)*0.475*44/12</f>
        <v>1.2555537329767887E-23</v>
      </c>
      <c r="ED193" s="22">
        <f t="shared" si="178"/>
        <v>0.58448607585705092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1.1368683772161603E-13</v>
      </c>
      <c r="EK193" s="17">
        <f>EJ193*VLOOKUP('Données projet'!$B$15,Paramètres!$A$1:$I$89,3,0)*VLOOKUP('Données projet'!$B$15,Paramètres!$A$1:$I$89,5,0)</f>
        <v>5.4683368944097308E-14</v>
      </c>
      <c r="EL193" s="13">
        <f t="shared" si="179"/>
        <v>8.8129432816788268E-13</v>
      </c>
      <c r="EM193" s="20">
        <f t="shared" si="180"/>
        <v>1.6301611558033651E-12</v>
      </c>
      <c r="EN193" s="59">
        <f t="shared" si="128"/>
        <v>293.33333333333496</v>
      </c>
      <c r="EO193" s="59">
        <f ca="1">AVERAGE(OFFSET($EN$3,0,0,'Données projet'!$E$15+1,1))-AVERAGE(OFFSET($H$3,0,0,'Données projet'!$E$15+1,1))</f>
        <v>312.1172301514103</v>
      </c>
      <c r="EP193" s="59">
        <f t="shared" si="154"/>
        <v>369.85500533493212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0.11365530831951051</v>
      </c>
      <c r="EW193" s="21">
        <f>EXP(-LN(2)/25)*EW192+(1-EXP(-LN(2)/25))/(LN(2)/25)*Calculateur!ER193*Calculateur!ET193*VLOOKUP('Données projet'!$B$15,Paramètres!$A$1:$I$89,3,0)*0.475*44/12</f>
        <v>0.17809108571120338</v>
      </c>
      <c r="EX193" s="21">
        <f>EXP(-LN(2)/2)*EX192+(1-EXP(-LN(2)/2))/(LN(2)/2)*ER193*EU193*VLOOKUP('Données projet'!$B$15,Paramètres!$A$1:$I$89,3,0)*0.475*44/12</f>
        <v>2.6202247626273703E-23</v>
      </c>
      <c r="EY193" s="22">
        <f t="shared" si="181"/>
        <v>0.2917463940307139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-7.9808160080574461E-14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87.187251664304199</v>
      </c>
      <c r="FK193" s="59">
        <f t="shared" si="156"/>
        <v>148.84938257884147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9.5486159736525647E-2</v>
      </c>
      <c r="FS193" s="21">
        <f>EXP(-LN(2)/2)*FS192+(1-EXP(-LN(2)/2))/(LN(2)/2)*FM193*FP193*VLOOKUP('Données projet'!$B$16,Paramètres!$A$1:$I$89,3,0)*0.475*44/12</f>
        <v>5.0325050206152265E-24</v>
      </c>
      <c r="FT193" s="22">
        <f t="shared" si="184"/>
        <v>9.5486159736525647E-2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-1.1368683772161603E-13</v>
      </c>
      <c r="GA193" s="17">
        <f>FZ193*VLOOKUP('Données projet'!$B$17,Paramètres!$A$1:$I$89,3,0)*VLOOKUP('Données projet'!$B$17,Paramètres!$A$1:$I$89,5,0)</f>
        <v>-6.7984728957526396E-14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282.94722676586207</v>
      </c>
      <c r="GF193" s="59">
        <f t="shared" si="158"/>
        <v>310.63647941571298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0.12691184146456913</v>
      </c>
      <c r="GN193" s="21">
        <f>EXP(-LN(2)/2)*GN192+(1-EXP(-LN(2)/2))/(LN(2)/2)*GH193*GK193*VLOOKUP('Données projet'!$B$17,Paramètres!$A$1:$I$89,3,0)*0.475*44/12</f>
        <v>2.1207449275557521E-23</v>
      </c>
      <c r="GO193" s="21">
        <f t="shared" si="187"/>
        <v>0.12691184146456913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-1.1368683772161603E-13</v>
      </c>
      <c r="GV193" s="17">
        <f>GU193*VLOOKUP('Données projet'!$B$18,Paramètres!$A$1:$I$89,3,0)*VLOOKUP('Données projet'!$B$18,Paramètres!$A$1:$I$89,5,0)</f>
        <v>-6.7984728957526396E-14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255.54398581450459</v>
      </c>
      <c r="HA193" s="59">
        <f t="shared" si="160"/>
        <v>276.52622328061204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</v>
      </c>
      <c r="HH193" s="21">
        <f>EXP(-LN(2)/25)*HH192+(1-EXP(-LN(2)/25))/(LN(2)/25)*Calculateur!HC193*Calculateur!HE193*VLOOKUP('Données projet'!$B$18,Paramètres!$A$1:$I$89,3,0)*0.475*44/12</f>
        <v>6.3325027732457545E-2</v>
      </c>
      <c r="HI193" s="21">
        <f>EXP(-LN(2)/2)*HI192+(1-EXP(-LN(2)/2))/(LN(2)/2)*HC193*HF193*VLOOKUP('Données projet'!$B$18,Paramètres!$A$1:$I$89,3,0)*0.475*44/12</f>
        <v>1.2297763656885411E-23</v>
      </c>
      <c r="HJ193" s="22">
        <f t="shared" si="190"/>
        <v>6.3325027732457545E-2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4.9658410716801891E-14</v>
      </c>
      <c r="P194" s="13">
        <f t="shared" si="141"/>
        <v>8.0934058173791862E-13</v>
      </c>
      <c r="Q194" s="20">
        <f t="shared" si="162"/>
        <v>1.4960899118586383E-12</v>
      </c>
      <c r="R194" s="59">
        <f t="shared" si="109"/>
        <v>293.33333333333479</v>
      </c>
      <c r="S194" s="59">
        <f ca="1">AVERAGE(OFFSET($R$3,0,0,'Données projet'!$E$9+1,1))-AVERAGE(OFFSET($H$3,0,0,'Données projet'!$E$9+1,1))</f>
        <v>248.50221719467663</v>
      </c>
      <c r="T194" s="59">
        <f t="shared" si="142"/>
        <v>366.09064580347183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0.32554064583982928</v>
      </c>
      <c r="AA194" s="21">
        <f>EXP(-LN(2)/25)*AA193+(1-EXP(-LN(2)/25))/(LN(2)/25)*Calculateur!V194*Calculateur!X194*VLOOKUP('Données projet'!$B$9,Paramètres!$A$1:$I$89,3,0)*0.475*44/12</f>
        <v>0.27723053706084749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0.60277118290067677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263.22346936777603</v>
      </c>
      <c r="AO194" s="59">
        <f t="shared" si="144"/>
        <v>217.14714468707939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8.3805925952097141E-2</v>
      </c>
      <c r="AW194" s="21">
        <f>EXP(-LN(2)/2)*AW193+(1-EXP(-LN(2)/2))/(LN(2)/2)*AQ194*AT194*VLOOKUP('Données projet'!$B$10,Paramètres!$A$1:$I$89,3,0)*0.475*44/12</f>
        <v>1.0440999402654132E-23</v>
      </c>
      <c r="AX194" s="21">
        <f t="shared" si="166"/>
        <v>8.3805925952097141E-2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4.4337866711430253E-14</v>
      </c>
      <c r="BF194" s="13">
        <f t="shared" si="167"/>
        <v>7.3222115536967035E-13</v>
      </c>
      <c r="BG194" s="20">
        <f t="shared" si="168"/>
        <v>1.3525069634579169E-12</v>
      </c>
      <c r="BH194" s="59">
        <f t="shared" si="116"/>
        <v>293.33333333333468</v>
      </c>
      <c r="BI194" s="59">
        <f ca="1">AVERAGE(OFFSET($BH$3,0,0,'Données projet'!$E$11+1,1))-AVERAGE(OFFSET($H$3,0,0,'Données projet'!$E$11+1,1))</f>
        <v>219.22204054948094</v>
      </c>
      <c r="BJ194" s="59">
        <f t="shared" si="146"/>
        <v>222.41711966122034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3.611477025823745E-2</v>
      </c>
      <c r="BR194" s="21">
        <f>EXP(-LN(2)/2)*BR193+(1-EXP(-LN(2)/2))/(LN(2)/2)*BL194*BO194*VLOOKUP('Données projet'!$B$11,Paramètres!$A$1:$I$89,3,0)*0.475*44/12</f>
        <v>1.9127022567657831E-24</v>
      </c>
      <c r="BS194" s="22">
        <f t="shared" si="169"/>
        <v>3.611477025823745E-2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-3.979039320256561E-13</v>
      </c>
      <c r="BZ194" s="13">
        <f>BY194*VLOOKUP('Données projet'!$B$12,Paramètres!$A$1:$I$89,3,0)*VLOOKUP('Données projet'!$B$12,Paramètres!$A$1:$I$89,5,0)</f>
        <v>-3.41401573678013E-13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237.27357081252273</v>
      </c>
      <c r="CE194" s="59">
        <f t="shared" si="148"/>
        <v>68.768479693848576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-3.4106051316484809E-13</v>
      </c>
      <c r="CU194" s="17">
        <f>CT194*VLOOKUP('Données projet'!$B$13,Paramètres!$A$1:$I$89,3,0)*VLOOKUP('Données projet'!$B$13,Paramètres!$A$1:$I$89,5,0)</f>
        <v>-1.9065282685915009E-13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474.03051418249999</v>
      </c>
      <c r="CZ194" s="59">
        <f t="shared" si="150"/>
        <v>649.52271992719091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0.22535628367165264</v>
      </c>
      <c r="DG194" s="21">
        <f>EXP(-LN(2)/25)*DG193+(1-EXP(-LN(2)/25))/(LN(2)/25)*Calculateur!DB194*Calculateur!DD194*VLOOKUP('Données projet'!$B$13,Paramètres!$A$1:$I$89,3,0)*0.475*44/12</f>
        <v>0.2786492186303734</v>
      </c>
      <c r="DH194" s="21">
        <f>EXP(-LN(2)/2)*DH193+(1-EXP(-LN(2)/2))/(LN(2)/2)*DB194*DE194*VLOOKUP('Données projet'!$B$13,Paramètres!$A$1:$I$89,3,0)*0.475*44/12</f>
        <v>6.8431945804708755E-24</v>
      </c>
      <c r="DI194" s="22">
        <f t="shared" si="175"/>
        <v>0.50400550230202601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-5.6843418860808015E-14</v>
      </c>
      <c r="DP194" s="17">
        <f>DO194*VLOOKUP('Données projet'!$B$14,Paramètres!$A$1:$I$89,3,0)*VLOOKUP('Données projet'!$B$14,Paramètres!$A$1:$I$89,5,0)</f>
        <v>-3.1036506698001178E-14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164.0740581424559</v>
      </c>
      <c r="DU194" s="59">
        <f t="shared" si="152"/>
        <v>280.99861170359793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0.27238165692969529</v>
      </c>
      <c r="EB194" s="21">
        <f>EXP(-LN(2)/25)*EB193+(1-EXP(-LN(2)/25))/(LN(2)/25)*Calculateur!DW194*Calculateur!DY194*VLOOKUP('Données projet'!$B$14,Paramètres!$A$1:$I$89,3,0)*0.475*44/12</f>
        <v>0.29827081346561263</v>
      </c>
      <c r="EC194" s="21">
        <f>EXP(-LN(2)/2)*EC193+(1-EXP(-LN(2)/2))/(LN(2)/2)*DW194*DZ194*VLOOKUP('Données projet'!$B$14,Paramètres!$A$1:$I$89,3,0)*0.475*44/12</f>
        <v>8.8781055873197102E-24</v>
      </c>
      <c r="ED194" s="22">
        <f t="shared" si="178"/>
        <v>0.57065247039530798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1.1368683772161603E-13</v>
      </c>
      <c r="EK194" s="17">
        <f>EJ194*VLOOKUP('Données projet'!$B$15,Paramètres!$A$1:$I$89,3,0)*VLOOKUP('Données projet'!$B$15,Paramètres!$A$1:$I$89,5,0)</f>
        <v>5.4683368944097308E-14</v>
      </c>
      <c r="EL194" s="13">
        <f t="shared" si="179"/>
        <v>8.8129432816788268E-13</v>
      </c>
      <c r="EM194" s="20">
        <f t="shared" si="180"/>
        <v>1.6301611558033651E-12</v>
      </c>
      <c r="EN194" s="59">
        <f t="shared" si="128"/>
        <v>293.33333333333496</v>
      </c>
      <c r="EO194" s="59">
        <f ca="1">AVERAGE(OFFSET($EN$3,0,0,'Données projet'!$E$15+1,1))-AVERAGE(OFFSET($H$3,0,0,'Données projet'!$E$15+1,1))</f>
        <v>312.1172301514103</v>
      </c>
      <c r="EP194" s="59">
        <f t="shared" si="154"/>
        <v>369.85500533493212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0.11142659704625792</v>
      </c>
      <c r="EW194" s="21">
        <f>EXP(-LN(2)/25)*EW193+(1-EXP(-LN(2)/25))/(LN(2)/25)*Calculateur!ER194*Calculateur!ET194*VLOOKUP('Données projet'!$B$15,Paramètres!$A$1:$I$89,3,0)*0.475*44/12</f>
        <v>0.17322117560702735</v>
      </c>
      <c r="EX194" s="21">
        <f>EXP(-LN(2)/2)*EX193+(1-EXP(-LN(2)/2))/(LN(2)/2)*ER194*EU194*VLOOKUP('Données projet'!$B$15,Paramètres!$A$1:$I$89,3,0)*0.475*44/12</f>
        <v>1.8527786978867254E-23</v>
      </c>
      <c r="EY194" s="22">
        <f t="shared" si="181"/>
        <v>0.28464777265328528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-7.9808160080574461E-14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87.187251664304199</v>
      </c>
      <c r="FK194" s="59">
        <f t="shared" si="156"/>
        <v>148.84938257884147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9.2875085677131444E-2</v>
      </c>
      <c r="FS194" s="21">
        <f>EXP(-LN(2)/2)*FS193+(1-EXP(-LN(2)/2))/(LN(2)/2)*FM194*FP194*VLOOKUP('Données projet'!$B$16,Paramètres!$A$1:$I$89,3,0)*0.475*44/12</f>
        <v>3.5585184264323728E-24</v>
      </c>
      <c r="FT194" s="22">
        <f t="shared" si="184"/>
        <v>9.2875085677131444E-2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-1.1368683772161603E-13</v>
      </c>
      <c r="GA194" s="17">
        <f>FZ194*VLOOKUP('Données projet'!$B$17,Paramètres!$A$1:$I$89,3,0)*VLOOKUP('Données projet'!$B$17,Paramètres!$A$1:$I$89,5,0)</f>
        <v>-6.7984728957526396E-14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282.94722676586207</v>
      </c>
      <c r="GF194" s="59">
        <f t="shared" si="158"/>
        <v>310.63647941571298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0.1234414304857168</v>
      </c>
      <c r="GN194" s="21">
        <f>EXP(-LN(2)/2)*GN193+(1-EXP(-LN(2)/2))/(LN(2)/2)*GH194*GK194*VLOOKUP('Données projet'!$B$17,Paramètres!$A$1:$I$89,3,0)*0.475*44/12</f>
        <v>1.4995931194416458E-23</v>
      </c>
      <c r="GO194" s="21">
        <f t="shared" si="187"/>
        <v>0.1234414304857168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-1.1368683772161603E-13</v>
      </c>
      <c r="GV194" s="17">
        <f>GU194*VLOOKUP('Données projet'!$B$18,Paramètres!$A$1:$I$89,3,0)*VLOOKUP('Données projet'!$B$18,Paramètres!$A$1:$I$89,5,0)</f>
        <v>-6.7984728957526396E-14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255.54398581450459</v>
      </c>
      <c r="HA194" s="59">
        <f t="shared" si="160"/>
        <v>276.52622328061204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</v>
      </c>
      <c r="HH194" s="21">
        <f>EXP(-LN(2)/25)*HH193+(1-EXP(-LN(2)/25))/(LN(2)/25)*Calculateur!HC194*Calculateur!HE194*VLOOKUP('Données projet'!$B$18,Paramètres!$A$1:$I$89,3,0)*0.475*44/12</f>
        <v>6.159340151899502E-2</v>
      </c>
      <c r="HI194" s="21">
        <f>EXP(-LN(2)/2)*HI193+(1-EXP(-LN(2)/2))/(LN(2)/2)*HC194*HF194*VLOOKUP('Données projet'!$B$18,Paramètres!$A$1:$I$89,3,0)*0.475*44/12</f>
        <v>8.6958320752131489E-24</v>
      </c>
      <c r="HJ194" s="22">
        <f t="shared" si="190"/>
        <v>6.159340151899502E-2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4.9658410716801891E-14</v>
      </c>
      <c r="P195" s="13">
        <f t="shared" si="141"/>
        <v>8.0934058173791862E-13</v>
      </c>
      <c r="Q195" s="20">
        <f t="shared" si="162"/>
        <v>1.4960899118586383E-12</v>
      </c>
      <c r="R195" s="59">
        <f t="shared" ref="R195:R203" si="191">Q195+(I195+J195)*44/12</f>
        <v>293.33333333333479</v>
      </c>
      <c r="S195" s="59">
        <f ca="1">AVERAGE(OFFSET($R$3,0,0,'Données projet'!$E$9+1,1))-AVERAGE(OFFSET($H$3,0,0,'Données projet'!$E$9+1,1))</f>
        <v>248.50221719467663</v>
      </c>
      <c r="T195" s="59">
        <f t="shared" si="142"/>
        <v>366.09064580347183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0.31915699233509798</v>
      </c>
      <c r="AA195" s="21">
        <f>EXP(-LN(2)/25)*AA194+(1-EXP(-LN(2)/25))/(LN(2)/25)*Calculateur!V195*Calculateur!X195*VLOOKUP('Données projet'!$B$9,Paramètres!$A$1:$I$89,3,0)*0.475*44/12</f>
        <v>0.26964965344599828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0.58880664578109632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263.22346936777603</v>
      </c>
      <c r="AO195" s="59">
        <f t="shared" si="144"/>
        <v>217.14714468707939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8.1514248499774941E-2</v>
      </c>
      <c r="AW195" s="21">
        <f>EXP(-LN(2)/2)*AW194+(1-EXP(-LN(2)/2))/(LN(2)/2)*AQ195*AT195*VLOOKUP('Données projet'!$B$10,Paramètres!$A$1:$I$89,3,0)*0.475*44/12</f>
        <v>7.3829014799814283E-24</v>
      </c>
      <c r="AX195" s="21">
        <f t="shared" si="166"/>
        <v>8.1514248499774941E-2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4.4337866711430253E-14</v>
      </c>
      <c r="BF195" s="13">
        <f t="shared" si="167"/>
        <v>7.3222115536967035E-13</v>
      </c>
      <c r="BG195" s="20">
        <f t="shared" si="168"/>
        <v>1.3525069634579169E-12</v>
      </c>
      <c r="BH195" s="59">
        <f t="shared" si="116"/>
        <v>293.33333333333468</v>
      </c>
      <c r="BI195" s="59">
        <f ca="1">AVERAGE(OFFSET($BH$3,0,0,'Données projet'!$E$11+1,1))-AVERAGE(OFFSET($H$3,0,0,'Données projet'!$E$11+1,1))</f>
        <v>219.22204054948094</v>
      </c>
      <c r="BJ195" s="59">
        <f t="shared" si="146"/>
        <v>222.41711966122034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3.5127209966332722E-2</v>
      </c>
      <c r="BR195" s="21">
        <f>EXP(-LN(2)/2)*BR194+(1-EXP(-LN(2)/2))/(LN(2)/2)*BL195*BO195*VLOOKUP('Données projet'!$B$11,Paramètres!$A$1:$I$89,3,0)*0.475*44/12</f>
        <v>1.3524847361498982E-24</v>
      </c>
      <c r="BS195" s="22">
        <f t="shared" si="169"/>
        <v>3.5127209966332722E-2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-3.979039320256561E-13</v>
      </c>
      <c r="BZ195" s="13">
        <f>BY195*VLOOKUP('Données projet'!$B$12,Paramètres!$A$1:$I$89,3,0)*VLOOKUP('Données projet'!$B$12,Paramètres!$A$1:$I$89,5,0)</f>
        <v>-3.41401573678013E-13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237.27357081252273</v>
      </c>
      <c r="CE195" s="59">
        <f t="shared" si="148"/>
        <v>68.768479693848576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-3.4106051316484809E-13</v>
      </c>
      <c r="CU195" s="17">
        <f>CT195*VLOOKUP('Données projet'!$B$13,Paramètres!$A$1:$I$89,3,0)*VLOOKUP('Données projet'!$B$13,Paramètres!$A$1:$I$89,5,0)</f>
        <v>-1.9065282685915009E-13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474.03051418249999</v>
      </c>
      <c r="CZ195" s="59">
        <f t="shared" si="150"/>
        <v>649.52271992719091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0.22093718440261215</v>
      </c>
      <c r="DG195" s="21">
        <f>EXP(-LN(2)/25)*DG194+(1-EXP(-LN(2)/25))/(LN(2)/25)*Calculateur!DB195*Calculateur!DD195*VLOOKUP('Données projet'!$B$13,Paramètres!$A$1:$I$89,3,0)*0.475*44/12</f>
        <v>0.27102954109340027</v>
      </c>
      <c r="DH195" s="21">
        <f>EXP(-LN(2)/2)*DH194+(1-EXP(-LN(2)/2))/(LN(2)/2)*DB195*DE195*VLOOKUP('Données projet'!$B$13,Paramètres!$A$1:$I$89,3,0)*0.475*44/12</f>
        <v>4.8388692928299873E-24</v>
      </c>
      <c r="DI195" s="22">
        <f t="shared" si="175"/>
        <v>0.49196672549601239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-5.6843418860808015E-14</v>
      </c>
      <c r="DP195" s="17">
        <f>DO195*VLOOKUP('Données projet'!$B$14,Paramètres!$A$1:$I$89,3,0)*VLOOKUP('Données projet'!$B$14,Paramètres!$A$1:$I$89,5,0)</f>
        <v>-3.1036506698001178E-14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164.0740581424559</v>
      </c>
      <c r="DU195" s="59">
        <f t="shared" si="152"/>
        <v>280.99861170359793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0.2670404187737101</v>
      </c>
      <c r="EB195" s="21">
        <f>EXP(-LN(2)/25)*EB194+(1-EXP(-LN(2)/25))/(LN(2)/25)*Calculateur!DW195*Calculateur!DY195*VLOOKUP('Données projet'!$B$14,Paramètres!$A$1:$I$89,3,0)*0.475*44/12</f>
        <v>0.29011458238601506</v>
      </c>
      <c r="EC195" s="21">
        <f>EXP(-LN(2)/2)*EC194+(1-EXP(-LN(2)/2))/(LN(2)/2)*DW195*DZ195*VLOOKUP('Données projet'!$B$14,Paramètres!$A$1:$I$89,3,0)*0.475*44/12</f>
        <v>6.2777686648839434E-24</v>
      </c>
      <c r="ED195" s="22">
        <f t="shared" si="178"/>
        <v>0.55715500115972516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1.1368683772161603E-13</v>
      </c>
      <c r="EK195" s="17">
        <f>EJ195*VLOOKUP('Données projet'!$B$15,Paramètres!$A$1:$I$89,3,0)*VLOOKUP('Données projet'!$B$15,Paramètres!$A$1:$I$89,5,0)</f>
        <v>5.4683368944097308E-14</v>
      </c>
      <c r="EL195" s="13">
        <f t="shared" si="179"/>
        <v>8.8129432816788268E-13</v>
      </c>
      <c r="EM195" s="20">
        <f t="shared" si="180"/>
        <v>1.6301611558033651E-12</v>
      </c>
      <c r="EN195" s="59">
        <f t="shared" si="128"/>
        <v>293.33333333333496</v>
      </c>
      <c r="EO195" s="59">
        <f ca="1">AVERAGE(OFFSET($EN$3,0,0,'Données projet'!$E$15+1,1))-AVERAGE(OFFSET($H$3,0,0,'Données projet'!$E$15+1,1))</f>
        <v>312.1172301514103</v>
      </c>
      <c r="EP195" s="59">
        <f t="shared" si="154"/>
        <v>369.85500533493212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0.10924158944169415</v>
      </c>
      <c r="EW195" s="21">
        <f>EXP(-LN(2)/25)*EW194+(1-EXP(-LN(2)/25))/(LN(2)/25)*Calculateur!ER195*Calculateur!ET195*VLOOKUP('Données projet'!$B$15,Paramètres!$A$1:$I$89,3,0)*0.475*44/12</f>
        <v>0.16848443345074746</v>
      </c>
      <c r="EX195" s="21">
        <f>EXP(-LN(2)/2)*EX194+(1-EXP(-LN(2)/2))/(LN(2)/2)*ER195*EU195*VLOOKUP('Données projet'!$B$15,Paramètres!$A$1:$I$89,3,0)*0.475*44/12</f>
        <v>1.3101123813136853E-23</v>
      </c>
      <c r="EY195" s="22">
        <f t="shared" si="181"/>
        <v>0.27772602289244164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-7.9808160080574461E-14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87.187251664304199</v>
      </c>
      <c r="FK195" s="59">
        <f t="shared" si="156"/>
        <v>148.84938257884147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9.0335411575201793E-2</v>
      </c>
      <c r="FS195" s="21">
        <f>EXP(-LN(2)/2)*FS194+(1-EXP(-LN(2)/2))/(LN(2)/2)*FM195*FP195*VLOOKUP('Données projet'!$B$16,Paramètres!$A$1:$I$89,3,0)*0.475*44/12</f>
        <v>2.5162525103076133E-24</v>
      </c>
      <c r="FT195" s="22">
        <f t="shared" si="184"/>
        <v>9.0335411575201793E-2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-1.1368683772161603E-13</v>
      </c>
      <c r="GA195" s="17">
        <f>FZ195*VLOOKUP('Données projet'!$B$17,Paramètres!$A$1:$I$89,3,0)*VLOOKUP('Données projet'!$B$17,Paramètres!$A$1:$I$89,5,0)</f>
        <v>-6.7984728957526396E-14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282.94722676586207</v>
      </c>
      <c r="GF195" s="59">
        <f t="shared" si="158"/>
        <v>310.63647941571298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0.12006591807758218</v>
      </c>
      <c r="GN195" s="21">
        <f>EXP(-LN(2)/2)*GN194+(1-EXP(-LN(2)/2))/(LN(2)/2)*GH195*GK195*VLOOKUP('Données projet'!$B$17,Paramètres!$A$1:$I$89,3,0)*0.475*44/12</f>
        <v>1.0603724637778761E-23</v>
      </c>
      <c r="GO195" s="21">
        <f t="shared" si="187"/>
        <v>0.12006591807758218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-1.1368683772161603E-13</v>
      </c>
      <c r="GV195" s="17">
        <f>GU195*VLOOKUP('Données projet'!$B$18,Paramètres!$A$1:$I$89,3,0)*VLOOKUP('Données projet'!$B$18,Paramètres!$A$1:$I$89,5,0)</f>
        <v>-6.7984728957526396E-14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255.54398581450459</v>
      </c>
      <c r="HA195" s="59">
        <f t="shared" si="160"/>
        <v>276.52622328061204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</v>
      </c>
      <c r="HH195" s="21">
        <f>EXP(-LN(2)/25)*HH194+(1-EXP(-LN(2)/25))/(LN(2)/25)*Calculateur!HC195*Calculateur!HE195*VLOOKUP('Données projet'!$B$18,Paramètres!$A$1:$I$89,3,0)*0.475*44/12</f>
        <v>5.9909126715401891E-2</v>
      </c>
      <c r="HI195" s="21">
        <f>EXP(-LN(2)/2)*HI194+(1-EXP(-LN(2)/2))/(LN(2)/2)*HC195*HF195*VLOOKUP('Données projet'!$B$18,Paramètres!$A$1:$I$89,3,0)*0.475*44/12</f>
        <v>6.1488818284427056E-24</v>
      </c>
      <c r="HJ195" s="22">
        <f t="shared" si="190"/>
        <v>5.9909126715401891E-2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4.9658410716801891E-14</v>
      </c>
      <c r="P196" s="13">
        <f t="shared" si="141"/>
        <v>8.0934058173791862E-13</v>
      </c>
      <c r="Q196" s="20">
        <f t="shared" si="162"/>
        <v>1.4960899118586383E-12</v>
      </c>
      <c r="R196" s="59">
        <f t="shared" si="191"/>
        <v>293.33333333333479</v>
      </c>
      <c r="S196" s="59">
        <f ca="1">AVERAGE(OFFSET($R$3,0,0,'Données projet'!$E$9+1,1))-AVERAGE(OFFSET($H$3,0,0,'Données projet'!$E$9+1,1))</f>
        <v>248.50221719467663</v>
      </c>
      <c r="T196" s="59">
        <f t="shared" si="142"/>
        <v>366.09064580347183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0.31289851838195032</v>
      </c>
      <c r="AA196" s="21">
        <f>EXP(-LN(2)/25)*AA195+(1-EXP(-LN(2)/25))/(LN(2)/25)*Calculateur!V196*Calculateur!X196*VLOOKUP('Données projet'!$B$9,Paramètres!$A$1:$I$89,3,0)*0.475*44/12</f>
        <v>0.26227606949225846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0.57517458787420872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263.22346936777603</v>
      </c>
      <c r="AO196" s="59">
        <f t="shared" si="144"/>
        <v>217.14714468707939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7.928523708790057E-2</v>
      </c>
      <c r="AW196" s="21">
        <f>EXP(-LN(2)/2)*AW195+(1-EXP(-LN(2)/2))/(LN(2)/2)*AQ196*AT196*VLOOKUP('Données projet'!$B$10,Paramètres!$A$1:$I$89,3,0)*0.475*44/12</f>
        <v>5.2204997013270658E-24</v>
      </c>
      <c r="AX196" s="21">
        <f t="shared" si="166"/>
        <v>7.928523708790057E-2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4.4337866711430253E-14</v>
      </c>
      <c r="BF196" s="13">
        <f t="shared" si="167"/>
        <v>7.3222115536967035E-13</v>
      </c>
      <c r="BG196" s="20">
        <f t="shared" si="168"/>
        <v>1.3525069634579169E-12</v>
      </c>
      <c r="BH196" s="59">
        <f t="shared" ref="BH196:BH203" si="194">BG196+(AY196+AZ196)*44/12</f>
        <v>293.33333333333468</v>
      </c>
      <c r="BI196" s="59">
        <f ca="1">AVERAGE(OFFSET($BH$3,0,0,'Données projet'!$E$11+1,1))-AVERAGE(OFFSET($H$3,0,0,'Données projet'!$E$11+1,1))</f>
        <v>219.22204054948094</v>
      </c>
      <c r="BJ196" s="59">
        <f t="shared" si="146"/>
        <v>222.41711966122034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3.4166654562543669E-2</v>
      </c>
      <c r="BR196" s="21">
        <f>EXP(-LN(2)/2)*BR195+(1-EXP(-LN(2)/2))/(LN(2)/2)*BL196*BO196*VLOOKUP('Données projet'!$B$11,Paramètres!$A$1:$I$89,3,0)*0.475*44/12</f>
        <v>9.5635112838289154E-25</v>
      </c>
      <c r="BS196" s="22">
        <f t="shared" si="169"/>
        <v>3.4166654562543669E-2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-3.979039320256561E-13</v>
      </c>
      <c r="BZ196" s="13">
        <f>BY196*VLOOKUP('Données projet'!$B$12,Paramètres!$A$1:$I$89,3,0)*VLOOKUP('Données projet'!$B$12,Paramètres!$A$1:$I$89,5,0)</f>
        <v>-3.41401573678013E-13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237.27357081252273</v>
      </c>
      <c r="CE196" s="59">
        <f t="shared" si="148"/>
        <v>68.768479693848576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-3.4106051316484809E-13</v>
      </c>
      <c r="CU196" s="17">
        <f>CT196*VLOOKUP('Données projet'!$B$13,Paramètres!$A$1:$I$89,3,0)*VLOOKUP('Données projet'!$B$13,Paramètres!$A$1:$I$89,5,0)</f>
        <v>-1.9065282685915009E-13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474.03051418249999</v>
      </c>
      <c r="CZ196" s="59">
        <f t="shared" si="150"/>
        <v>649.52271992719091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0.21660474097485313</v>
      </c>
      <c r="DG196" s="21">
        <f>EXP(-LN(2)/25)*DG195+(1-EXP(-LN(2)/25))/(LN(2)/25)*Calculateur!DB196*Calculateur!DD196*VLOOKUP('Données projet'!$B$13,Paramètres!$A$1:$I$89,3,0)*0.475*44/12</f>
        <v>0.26361822403937712</v>
      </c>
      <c r="DH196" s="21">
        <f>EXP(-LN(2)/2)*DH195+(1-EXP(-LN(2)/2))/(LN(2)/2)*DB196*DE196*VLOOKUP('Données projet'!$B$13,Paramètres!$A$1:$I$89,3,0)*0.475*44/12</f>
        <v>3.4215972902354377E-24</v>
      </c>
      <c r="DI196" s="22">
        <f t="shared" si="175"/>
        <v>0.48022296501423023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-5.6843418860808015E-14</v>
      </c>
      <c r="DP196" s="17">
        <f>DO196*VLOOKUP('Données projet'!$B$14,Paramètres!$A$1:$I$89,3,0)*VLOOKUP('Données projet'!$B$14,Paramètres!$A$1:$I$89,5,0)</f>
        <v>-3.1036506698001178E-14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164.0740581424559</v>
      </c>
      <c r="DU196" s="59">
        <f t="shared" si="152"/>
        <v>280.99861170359793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0.26180391904013017</v>
      </c>
      <c r="EB196" s="21">
        <f>EXP(-LN(2)/25)*EB195+(1-EXP(-LN(2)/25))/(LN(2)/25)*Calculateur!DW196*Calculateur!DY196*VLOOKUP('Données projet'!$B$14,Paramètres!$A$1:$I$89,3,0)*0.475*44/12</f>
        <v>0.28218138387420666</v>
      </c>
      <c r="EC196" s="21">
        <f>EXP(-LN(2)/2)*EC195+(1-EXP(-LN(2)/2))/(LN(2)/2)*DW196*DZ196*VLOOKUP('Données projet'!$B$14,Paramètres!$A$1:$I$89,3,0)*0.475*44/12</f>
        <v>4.4390527936598551E-24</v>
      </c>
      <c r="ED196" s="22">
        <f t="shared" si="178"/>
        <v>0.54398530291433689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1.1368683772161603E-13</v>
      </c>
      <c r="EK196" s="17">
        <f>EJ196*VLOOKUP('Données projet'!$B$15,Paramètres!$A$1:$I$89,3,0)*VLOOKUP('Données projet'!$B$15,Paramètres!$A$1:$I$89,5,0)</f>
        <v>5.4683368944097308E-14</v>
      </c>
      <c r="EL196" s="13">
        <f t="shared" si="179"/>
        <v>8.8129432816788268E-13</v>
      </c>
      <c r="EM196" s="20">
        <f t="shared" si="180"/>
        <v>1.6301611558033651E-12</v>
      </c>
      <c r="EN196" s="59">
        <f t="shared" ref="EN196:EN203" si="198">EM196+(EE196+EF196)*44/12</f>
        <v>293.33333333333496</v>
      </c>
      <c r="EO196" s="59">
        <f ca="1">AVERAGE(OFFSET($EN$3,0,0,'Données projet'!$E$15+1,1))-AVERAGE(OFFSET($H$3,0,0,'Données projet'!$E$15+1,1))</f>
        <v>312.1172301514103</v>
      </c>
      <c r="EP196" s="59">
        <f t="shared" si="154"/>
        <v>369.85500533493212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0.10709942850353285</v>
      </c>
      <c r="EW196" s="21">
        <f>EXP(-LN(2)/25)*EW195+(1-EXP(-LN(2)/25))/(LN(2)/25)*Calculateur!ER196*Calculateur!ET196*VLOOKUP('Données projet'!$B$15,Paramètres!$A$1:$I$89,3,0)*0.475*44/12</f>
        <v>0.16387721775782549</v>
      </c>
      <c r="EX196" s="21">
        <f>EXP(-LN(2)/2)*EX195+(1-EXP(-LN(2)/2))/(LN(2)/2)*ER196*EU196*VLOOKUP('Données projet'!$B$15,Paramètres!$A$1:$I$89,3,0)*0.475*44/12</f>
        <v>9.2638934894336287E-24</v>
      </c>
      <c r="EY196" s="22">
        <f t="shared" si="181"/>
        <v>0.27097664626135831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-7.9808160080574461E-14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87.187251664304199</v>
      </c>
      <c r="FK196" s="59">
        <f t="shared" si="156"/>
        <v>148.84938257884147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8.7865184995145076E-2</v>
      </c>
      <c r="FS196" s="21">
        <f>EXP(-LN(2)/2)*FS195+(1-EXP(-LN(2)/2))/(LN(2)/2)*FM196*FP196*VLOOKUP('Données projet'!$B$16,Paramètres!$A$1:$I$89,3,0)*0.475*44/12</f>
        <v>1.7792592132161864E-24</v>
      </c>
      <c r="FT196" s="22">
        <f t="shared" si="184"/>
        <v>8.7865184995145076E-2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-1.1368683772161603E-13</v>
      </c>
      <c r="GA196" s="17">
        <f>FZ196*VLOOKUP('Données projet'!$B$17,Paramètres!$A$1:$I$89,3,0)*VLOOKUP('Données projet'!$B$17,Paramètres!$A$1:$I$89,5,0)</f>
        <v>-6.7984728957526396E-14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282.94722676586207</v>
      </c>
      <c r="GF196" s="59">
        <f t="shared" si="158"/>
        <v>310.63647941571298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0.11678270923375848</v>
      </c>
      <c r="GN196" s="21">
        <f>EXP(-LN(2)/2)*GN195+(1-EXP(-LN(2)/2))/(LN(2)/2)*GH196*GK196*VLOOKUP('Données projet'!$B$17,Paramètres!$A$1:$I$89,3,0)*0.475*44/12</f>
        <v>7.4979655972082288E-24</v>
      </c>
      <c r="GO196" s="21">
        <f t="shared" si="187"/>
        <v>0.11678270923375848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-1.1368683772161603E-13</v>
      </c>
      <c r="GV196" s="17">
        <f>GU196*VLOOKUP('Données projet'!$B$18,Paramètres!$A$1:$I$89,3,0)*VLOOKUP('Données projet'!$B$18,Paramètres!$A$1:$I$89,5,0)</f>
        <v>-6.7984728957526396E-14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255.54398581450459</v>
      </c>
      <c r="HA196" s="59">
        <f t="shared" si="160"/>
        <v>276.52622328061204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</v>
      </c>
      <c r="HH196" s="21">
        <f>EXP(-LN(2)/25)*HH195+(1-EXP(-LN(2)/25))/(LN(2)/25)*Calculateur!HC196*Calculateur!HE196*VLOOKUP('Données projet'!$B$18,Paramètres!$A$1:$I$89,3,0)*0.475*44/12</f>
        <v>5.8270908494885178E-2</v>
      </c>
      <c r="HI196" s="21">
        <f>EXP(-LN(2)/2)*HI195+(1-EXP(-LN(2)/2))/(LN(2)/2)*HC196*HF196*VLOOKUP('Données projet'!$B$18,Paramètres!$A$1:$I$89,3,0)*0.475*44/12</f>
        <v>4.3479160376065745E-24</v>
      </c>
      <c r="HJ196" s="22">
        <f t="shared" si="190"/>
        <v>5.8270908494885178E-2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4.9658410716801891E-14</v>
      </c>
      <c r="P197" s="13">
        <f t="shared" ref="P197:P203" si="203">EXP(-1.0587+0.8836*LN(O197)+0.284)</f>
        <v>8.0934058173791862E-13</v>
      </c>
      <c r="Q197" s="20">
        <f t="shared" si="162"/>
        <v>1.4960899118586383E-12</v>
      </c>
      <c r="R197" s="59">
        <f t="shared" si="191"/>
        <v>293.33333333333479</v>
      </c>
      <c r="S197" s="59">
        <f ca="1">AVERAGE(OFFSET($R$3,0,0,'Données projet'!$E$9+1,1))-AVERAGE(OFFSET($H$3,0,0,'Données projet'!$E$9+1,1))</f>
        <v>248.50221719467663</v>
      </c>
      <c r="T197" s="59">
        <f t="shared" ref="T197:T203" si="204">$T$3</f>
        <v>366.09064580347183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0.30676276928573171</v>
      </c>
      <c r="AA197" s="21">
        <f>EXP(-LN(2)/25)*AA196+(1-EXP(-LN(2)/25))/(LN(2)/25)*Calculateur!V197*Calculateur!X197*VLOOKUP('Données projet'!$B$9,Paramètres!$A$1:$I$89,3,0)*0.475*44/12</f>
        <v>0.25510411657949361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0.56186688586522537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263.22346936777603</v>
      </c>
      <c r="AO197" s="59">
        <f t="shared" ref="AO197:AO203" si="205">$AO$3</f>
        <v>217.14714468707939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7.7117178110302526E-2</v>
      </c>
      <c r="AW197" s="21">
        <f>EXP(-LN(2)/2)*AW196+(1-EXP(-LN(2)/2))/(LN(2)/2)*AQ197*AT197*VLOOKUP('Données projet'!$B$10,Paramètres!$A$1:$I$89,3,0)*0.475*44/12</f>
        <v>3.6914507399907141E-24</v>
      </c>
      <c r="AX197" s="21">
        <f t="shared" si="166"/>
        <v>7.7117178110302526E-2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4.4337866711430253E-14</v>
      </c>
      <c r="BF197" s="13">
        <f t="shared" si="167"/>
        <v>7.3222115536967035E-13</v>
      </c>
      <c r="BG197" s="20">
        <f t="shared" si="168"/>
        <v>1.3525069634579169E-12</v>
      </c>
      <c r="BH197" s="59">
        <f t="shared" si="194"/>
        <v>293.33333333333468</v>
      </c>
      <c r="BI197" s="59">
        <f ca="1">AVERAGE(OFFSET($BH$3,0,0,'Données projet'!$E$11+1,1))-AVERAGE(OFFSET($H$3,0,0,'Données projet'!$E$11+1,1))</f>
        <v>219.22204054948094</v>
      </c>
      <c r="BJ197" s="59">
        <f t="shared" ref="BJ197:BJ203" si="206">$BJ$3</f>
        <v>222.41711966122034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3.3232365596784635E-2</v>
      </c>
      <c r="BR197" s="21">
        <f>EXP(-LN(2)/2)*BR196+(1-EXP(-LN(2)/2))/(LN(2)/2)*BL197*BO197*VLOOKUP('Données projet'!$B$11,Paramètres!$A$1:$I$89,3,0)*0.475*44/12</f>
        <v>6.7624236807494911E-25</v>
      </c>
      <c r="BS197" s="22">
        <f t="shared" si="169"/>
        <v>3.3232365596784635E-2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-3.979039320256561E-13</v>
      </c>
      <c r="BZ197" s="13">
        <f>BY197*VLOOKUP('Données projet'!$B$12,Paramètres!$A$1:$I$89,3,0)*VLOOKUP('Données projet'!$B$12,Paramètres!$A$1:$I$89,5,0)</f>
        <v>-3.41401573678013E-13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237.27357081252273</v>
      </c>
      <c r="CE197" s="59">
        <f t="shared" ref="CE197:CE203" si="207">$CE$3</f>
        <v>68.768479693848576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-3.4106051316484809E-13</v>
      </c>
      <c r="CU197" s="17">
        <f>CT197*VLOOKUP('Données projet'!$B$13,Paramètres!$A$1:$I$89,3,0)*VLOOKUP('Données projet'!$B$13,Paramètres!$A$1:$I$89,5,0)</f>
        <v>-1.9065282685915009E-13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474.03051418249999</v>
      </c>
      <c r="CZ197" s="59">
        <f t="shared" ref="CZ197:CZ203" si="208">$CZ$3</f>
        <v>649.52271992719091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0.21235725412018291</v>
      </c>
      <c r="DG197" s="21">
        <f>EXP(-LN(2)/25)*DG196+(1-EXP(-LN(2)/25))/(LN(2)/25)*Calculateur!DB197*Calculateur!DD197*VLOOKUP('Données projet'!$B$13,Paramètres!$A$1:$I$89,3,0)*0.475*44/12</f>
        <v>0.25640956983994045</v>
      </c>
      <c r="DH197" s="21">
        <f>EXP(-LN(2)/2)*DH196+(1-EXP(-LN(2)/2))/(LN(2)/2)*DB197*DE197*VLOOKUP('Données projet'!$B$13,Paramètres!$A$1:$I$89,3,0)*0.475*44/12</f>
        <v>2.4194346464149936E-24</v>
      </c>
      <c r="DI197" s="22">
        <f t="shared" si="175"/>
        <v>0.46876682396012337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-5.6843418860808015E-14</v>
      </c>
      <c r="DP197" s="17">
        <f>DO197*VLOOKUP('Données projet'!$B$14,Paramètres!$A$1:$I$89,3,0)*VLOOKUP('Données projet'!$B$14,Paramètres!$A$1:$I$89,5,0)</f>
        <v>-3.1036506698001178E-14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164.0740581424559</v>
      </c>
      <c r="DU197" s="59">
        <f t="shared" ref="DU197:DU203" si="209">$DU$3</f>
        <v>280.99861170359793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0.25667010387237627</v>
      </c>
      <c r="EB197" s="21">
        <f>EXP(-LN(2)/25)*EB196+(1-EXP(-LN(2)/25))/(LN(2)/25)*Calculateur!DW197*Calculateur!DY197*VLOOKUP('Données projet'!$B$14,Paramètres!$A$1:$I$89,3,0)*0.475*44/12</f>
        <v>0.27446511909289245</v>
      </c>
      <c r="EC197" s="21">
        <f>EXP(-LN(2)/2)*EC196+(1-EXP(-LN(2)/2))/(LN(2)/2)*DW197*DZ197*VLOOKUP('Données projet'!$B$14,Paramètres!$A$1:$I$89,3,0)*0.475*44/12</f>
        <v>3.1388843324419717E-24</v>
      </c>
      <c r="ED197" s="22">
        <f t="shared" si="178"/>
        <v>0.53113522296526872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1.1368683772161603E-13</v>
      </c>
      <c r="EK197" s="17">
        <f>EJ197*VLOOKUP('Données projet'!$B$15,Paramètres!$A$1:$I$89,3,0)*VLOOKUP('Données projet'!$B$15,Paramètres!$A$1:$I$89,5,0)</f>
        <v>5.4683368944097308E-14</v>
      </c>
      <c r="EL197" s="13">
        <f t="shared" si="179"/>
        <v>8.8129432816788268E-13</v>
      </c>
      <c r="EM197" s="20">
        <f t="shared" si="180"/>
        <v>1.6301611558033651E-12</v>
      </c>
      <c r="EN197" s="59">
        <f t="shared" si="198"/>
        <v>293.33333333333496</v>
      </c>
      <c r="EO197" s="59">
        <f ca="1">AVERAGE(OFFSET($EN$3,0,0,'Données projet'!$E$15+1,1))-AVERAGE(OFFSET($H$3,0,0,'Données projet'!$E$15+1,1))</f>
        <v>312.1172301514103</v>
      </c>
      <c r="EP197" s="59">
        <f t="shared" ref="EP197:EP203" si="210">$EP$3</f>
        <v>369.85500533493212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0.10499927403477972</v>
      </c>
      <c r="EW197" s="21">
        <f>EXP(-LN(2)/25)*EW196+(1-EXP(-LN(2)/25))/(LN(2)/25)*Calculateur!ER197*Calculateur!ET197*VLOOKUP('Données projet'!$B$15,Paramètres!$A$1:$I$89,3,0)*0.475*44/12</f>
        <v>0.1593959866203094</v>
      </c>
      <c r="EX197" s="21">
        <f>EXP(-LN(2)/2)*EX196+(1-EXP(-LN(2)/2))/(LN(2)/2)*ER197*EU197*VLOOKUP('Données projet'!$B$15,Paramètres!$A$1:$I$89,3,0)*0.475*44/12</f>
        <v>6.5505619065684279E-24</v>
      </c>
      <c r="EY197" s="22">
        <f t="shared" si="181"/>
        <v>0.26439526065508911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-7.9808160080574461E-14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87.187251664304199</v>
      </c>
      <c r="FK197" s="59">
        <f t="shared" ref="FK197:FK203" si="211">$FK$3</f>
        <v>148.84938257884147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8.5462506890823575E-2</v>
      </c>
      <c r="FS197" s="21">
        <f>EXP(-LN(2)/2)*FS196+(1-EXP(-LN(2)/2))/(LN(2)/2)*FM197*FP197*VLOOKUP('Données projet'!$B$16,Paramètres!$A$1:$I$89,3,0)*0.475*44/12</f>
        <v>1.2581262551538066E-24</v>
      </c>
      <c r="FT197" s="22">
        <f t="shared" si="184"/>
        <v>8.5462506890823575E-2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-1.1368683772161603E-13</v>
      </c>
      <c r="GA197" s="17">
        <f>FZ197*VLOOKUP('Données projet'!$B$17,Paramètres!$A$1:$I$89,3,0)*VLOOKUP('Données projet'!$B$17,Paramètres!$A$1:$I$89,5,0)</f>
        <v>-6.7984728957526396E-14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282.94722676586207</v>
      </c>
      <c r="GF197" s="59">
        <f t="shared" ref="GF197:GF203" si="212">$GF$3</f>
        <v>310.63647941571298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0.11358927990842559</v>
      </c>
      <c r="GN197" s="21">
        <f>EXP(-LN(2)/2)*GN196+(1-EXP(-LN(2)/2))/(LN(2)/2)*GH197*GK197*VLOOKUP('Données projet'!$B$17,Paramètres!$A$1:$I$89,3,0)*0.475*44/12</f>
        <v>5.3018623188893803E-24</v>
      </c>
      <c r="GO197" s="21">
        <f t="shared" si="187"/>
        <v>0.11358927990842559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-1.1368683772161603E-13</v>
      </c>
      <c r="GV197" s="17">
        <f>GU197*VLOOKUP('Données projet'!$B$18,Paramètres!$A$1:$I$89,3,0)*VLOOKUP('Données projet'!$B$18,Paramètres!$A$1:$I$89,5,0)</f>
        <v>-6.7984728957526396E-14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255.54398581450459</v>
      </c>
      <c r="HA197" s="59">
        <f t="shared" ref="HA197:HA203" si="213">$HA$3</f>
        <v>276.52622328061204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</v>
      </c>
      <c r="HH197" s="21">
        <f>EXP(-LN(2)/25)*HH196+(1-EXP(-LN(2)/25))/(LN(2)/25)*Calculateur!HC197*Calculateur!HE197*VLOOKUP('Données projet'!$B$18,Paramètres!$A$1:$I$89,3,0)*0.475*44/12</f>
        <v>5.6677487437758647E-2</v>
      </c>
      <c r="HI197" s="21">
        <f>EXP(-LN(2)/2)*HI196+(1-EXP(-LN(2)/2))/(LN(2)/2)*HC197*HF197*VLOOKUP('Données projet'!$B$18,Paramètres!$A$1:$I$89,3,0)*0.475*44/12</f>
        <v>3.0744409142213528E-24</v>
      </c>
      <c r="HJ197" s="22">
        <f t="shared" si="190"/>
        <v>5.6677487437758647E-2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4.9658410716801891E-14</v>
      </c>
      <c r="P198" s="13">
        <f t="shared" si="203"/>
        <v>8.0934058173791862E-13</v>
      </c>
      <c r="Q198" s="20">
        <f t="shared" si="162"/>
        <v>1.4960899118586383E-12</v>
      </c>
      <c r="R198" s="59">
        <f t="shared" si="191"/>
        <v>293.33333333333479</v>
      </c>
      <c r="S198" s="59">
        <f ca="1">AVERAGE(OFFSET($R$3,0,0,'Données projet'!$E$9+1,1))-AVERAGE(OFFSET($H$3,0,0,'Données projet'!$E$9+1,1))</f>
        <v>248.50221719467663</v>
      </c>
      <c r="T198" s="59">
        <f t="shared" si="204"/>
        <v>366.09064580347183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0.30074733848685253</v>
      </c>
      <c r="AA198" s="21">
        <f>EXP(-LN(2)/25)*AA197+(1-EXP(-LN(2)/25))/(LN(2)/25)*Calculateur!V198*Calculateur!X198*VLOOKUP('Données projet'!$B$9,Paramètres!$A$1:$I$89,3,0)*0.475*44/12</f>
        <v>0.2481282810962849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0.54887561958313746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263.22346936777603</v>
      </c>
      <c r="AO198" s="59">
        <f t="shared" si="205"/>
        <v>217.14714468707939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7.5008404819460153E-2</v>
      </c>
      <c r="AW198" s="21">
        <f>EXP(-LN(2)/2)*AW197+(1-EXP(-LN(2)/2))/(LN(2)/2)*AQ198*AT198*VLOOKUP('Données projet'!$B$10,Paramètres!$A$1:$I$89,3,0)*0.475*44/12</f>
        <v>2.6102498506635329E-24</v>
      </c>
      <c r="AX198" s="21">
        <f t="shared" si="166"/>
        <v>7.5008404819460153E-2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4.4337866711430253E-14</v>
      </c>
      <c r="BF198" s="13">
        <f t="shared" si="167"/>
        <v>7.3222115536967035E-13</v>
      </c>
      <c r="BG198" s="20">
        <f t="shared" si="168"/>
        <v>1.3525069634579169E-12</v>
      </c>
      <c r="BH198" s="59">
        <f t="shared" si="194"/>
        <v>293.33333333333468</v>
      </c>
      <c r="BI198" s="59">
        <f ca="1">AVERAGE(OFFSET($BH$3,0,0,'Données projet'!$E$11+1,1))-AVERAGE(OFFSET($H$3,0,0,'Données projet'!$E$11+1,1))</f>
        <v>219.22204054948094</v>
      </c>
      <c r="BJ198" s="59">
        <f t="shared" si="206"/>
        <v>222.41711966122034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3.2323624811926403E-2</v>
      </c>
      <c r="BR198" s="21">
        <f>EXP(-LN(2)/2)*BR197+(1-EXP(-LN(2)/2))/(LN(2)/2)*BL198*BO198*VLOOKUP('Données projet'!$B$11,Paramètres!$A$1:$I$89,3,0)*0.475*44/12</f>
        <v>4.7817556419144577E-25</v>
      </c>
      <c r="BS198" s="22">
        <f t="shared" si="169"/>
        <v>3.2323624811926403E-2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-3.979039320256561E-13</v>
      </c>
      <c r="BZ198" s="13">
        <f>BY198*VLOOKUP('Données projet'!$B$12,Paramètres!$A$1:$I$89,3,0)*VLOOKUP('Données projet'!$B$12,Paramètres!$A$1:$I$89,5,0)</f>
        <v>-3.41401573678013E-13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237.27357081252273</v>
      </c>
      <c r="CE198" s="59">
        <f t="shared" si="207"/>
        <v>68.768479693848576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-3.4106051316484809E-13</v>
      </c>
      <c r="CU198" s="17">
        <f>CT198*VLOOKUP('Données projet'!$B$13,Paramètres!$A$1:$I$89,3,0)*VLOOKUP('Données projet'!$B$13,Paramètres!$A$1:$I$89,5,0)</f>
        <v>-1.9065282685915009E-13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474.03051418249999</v>
      </c>
      <c r="CZ198" s="59">
        <f t="shared" si="208"/>
        <v>649.52271992719091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0.20819305789202158</v>
      </c>
      <c r="DG198" s="21">
        <f>EXP(-LN(2)/25)*DG197+(1-EXP(-LN(2)/25))/(LN(2)/25)*Calculateur!DB198*Calculateur!DD198*VLOOKUP('Données projet'!$B$13,Paramètres!$A$1:$I$89,3,0)*0.475*44/12</f>
        <v>0.24939803666867405</v>
      </c>
      <c r="DH198" s="21">
        <f>EXP(-LN(2)/2)*DH197+(1-EXP(-LN(2)/2))/(LN(2)/2)*DB198*DE198*VLOOKUP('Données projet'!$B$13,Paramètres!$A$1:$I$89,3,0)*0.475*44/12</f>
        <v>1.7107986451177189E-24</v>
      </c>
      <c r="DI198" s="22">
        <f t="shared" si="175"/>
        <v>0.45759109456069563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-5.6843418860808015E-14</v>
      </c>
      <c r="DP198" s="17">
        <f>DO198*VLOOKUP('Données projet'!$B$14,Paramètres!$A$1:$I$89,3,0)*VLOOKUP('Données projet'!$B$14,Paramètres!$A$1:$I$89,5,0)</f>
        <v>-3.1036506698001178E-14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164.0740581424559</v>
      </c>
      <c r="DU198" s="59">
        <f t="shared" si="209"/>
        <v>280.99861170359793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0.251636959688744</v>
      </c>
      <c r="EB198" s="21">
        <f>EXP(-LN(2)/25)*EB197+(1-EXP(-LN(2)/25))/(LN(2)/25)*Calculateur!DW198*Calculateur!DY198*VLOOKUP('Données projet'!$B$14,Paramètres!$A$1:$I$89,3,0)*0.475*44/12</f>
        <v>0.26695985597780397</v>
      </c>
      <c r="EC198" s="21">
        <f>EXP(-LN(2)/2)*EC197+(1-EXP(-LN(2)/2))/(LN(2)/2)*DW198*DZ198*VLOOKUP('Données projet'!$B$14,Paramètres!$A$1:$I$89,3,0)*0.475*44/12</f>
        <v>2.2195263968299275E-24</v>
      </c>
      <c r="ED198" s="22">
        <f t="shared" si="178"/>
        <v>0.51859681566654792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1.1368683772161603E-13</v>
      </c>
      <c r="EK198" s="17">
        <f>EJ198*VLOOKUP('Données projet'!$B$15,Paramètres!$A$1:$I$89,3,0)*VLOOKUP('Données projet'!$B$15,Paramètres!$A$1:$I$89,5,0)</f>
        <v>5.4683368944097308E-14</v>
      </c>
      <c r="EL198" s="13">
        <f t="shared" si="179"/>
        <v>8.8129432816788268E-13</v>
      </c>
      <c r="EM198" s="20">
        <f t="shared" si="180"/>
        <v>1.6301611558033651E-12</v>
      </c>
      <c r="EN198" s="59">
        <f t="shared" si="198"/>
        <v>293.33333333333496</v>
      </c>
      <c r="EO198" s="59">
        <f ca="1">AVERAGE(OFFSET($EN$3,0,0,'Données projet'!$E$15+1,1))-AVERAGE(OFFSET($H$3,0,0,'Données projet'!$E$15+1,1))</f>
        <v>312.1172301514103</v>
      </c>
      <c r="EP198" s="59">
        <f t="shared" si="210"/>
        <v>369.85500533493212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0.10294030231419111</v>
      </c>
      <c r="EW198" s="21">
        <f>EXP(-LN(2)/25)*EW197+(1-EXP(-LN(2)/25))/(LN(2)/25)*Calculateur!ER198*Calculateur!ET198*VLOOKUP('Données projet'!$B$15,Paramètres!$A$1:$I$89,3,0)*0.475*44/12</f>
        <v>0.15503729498390642</v>
      </c>
      <c r="EX198" s="21">
        <f>EXP(-LN(2)/2)*EX197+(1-EXP(-LN(2)/2))/(LN(2)/2)*ER198*EU198*VLOOKUP('Données projet'!$B$15,Paramètres!$A$1:$I$89,3,0)*0.475*44/12</f>
        <v>4.6319467447168151E-24</v>
      </c>
      <c r="EY198" s="22">
        <f t="shared" si="181"/>
        <v>0.25797759729809755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-7.9808160080574461E-14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87.187251664304199</v>
      </c>
      <c r="FK198" s="59">
        <f t="shared" si="211"/>
        <v>148.84938257884147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8.3125530145616092E-2</v>
      </c>
      <c r="FS198" s="21">
        <f>EXP(-LN(2)/2)*FS197+(1-EXP(-LN(2)/2))/(LN(2)/2)*FM198*FP198*VLOOKUP('Données projet'!$B$16,Paramètres!$A$1:$I$89,3,0)*0.475*44/12</f>
        <v>8.896296066080932E-25</v>
      </c>
      <c r="FT198" s="22">
        <f t="shared" si="184"/>
        <v>8.3125530145616092E-2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-1.1368683772161603E-13</v>
      </c>
      <c r="GA198" s="17">
        <f>FZ198*VLOOKUP('Données projet'!$B$17,Paramètres!$A$1:$I$89,3,0)*VLOOKUP('Données projet'!$B$17,Paramètres!$A$1:$I$89,5,0)</f>
        <v>-6.7984728957526396E-14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282.94722676586207</v>
      </c>
      <c r="GF198" s="59">
        <f t="shared" si="212"/>
        <v>310.63647941571298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0.11048317507592907</v>
      </c>
      <c r="GN198" s="21">
        <f>EXP(-LN(2)/2)*GN197+(1-EXP(-LN(2)/2))/(LN(2)/2)*GH198*GK198*VLOOKUP('Données projet'!$B$17,Paramètres!$A$1:$I$89,3,0)*0.475*44/12</f>
        <v>3.7489827986041144E-24</v>
      </c>
      <c r="GO198" s="21">
        <f t="shared" si="187"/>
        <v>0.11048317507592907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-1.1368683772161603E-13</v>
      </c>
      <c r="GV198" s="17">
        <f>GU198*VLOOKUP('Données projet'!$B$18,Paramètres!$A$1:$I$89,3,0)*VLOOKUP('Données projet'!$B$18,Paramètres!$A$1:$I$89,5,0)</f>
        <v>-6.7984728957526396E-14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255.54398581450459</v>
      </c>
      <c r="HA198" s="59">
        <f t="shared" si="213"/>
        <v>276.52622328061204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</v>
      </c>
      <c r="HH198" s="21">
        <f>EXP(-LN(2)/25)*HH197+(1-EXP(-LN(2)/25))/(LN(2)/25)*Calculateur!HC198*Calculateur!HE198*VLOOKUP('Données projet'!$B$18,Paramètres!$A$1:$I$89,3,0)*0.475*44/12</f>
        <v>5.5127638563233612E-2</v>
      </c>
      <c r="HI198" s="21">
        <f>EXP(-LN(2)/2)*HI197+(1-EXP(-LN(2)/2))/(LN(2)/2)*HC198*HF198*VLOOKUP('Données projet'!$B$18,Paramètres!$A$1:$I$89,3,0)*0.475*44/12</f>
        <v>2.1739580188032872E-24</v>
      </c>
      <c r="HJ198" s="22">
        <f t="shared" si="190"/>
        <v>5.5127638563233612E-2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4.9658410716801891E-14</v>
      </c>
      <c r="P199" s="13">
        <f t="shared" si="203"/>
        <v>8.0934058173791862E-13</v>
      </c>
      <c r="Q199" s="20">
        <f t="shared" si="162"/>
        <v>1.4960899118586383E-12</v>
      </c>
      <c r="R199" s="59">
        <f t="shared" si="191"/>
        <v>293.33333333333479</v>
      </c>
      <c r="S199" s="59">
        <f ca="1">AVERAGE(OFFSET($R$3,0,0,'Données projet'!$E$9+1,1))-AVERAGE(OFFSET($H$3,0,0,'Données projet'!$E$9+1,1))</f>
        <v>248.50221719467663</v>
      </c>
      <c r="T199" s="59">
        <f t="shared" si="204"/>
        <v>366.09064580347183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0.29484986661688883</v>
      </c>
      <c r="AA199" s="21">
        <f>EXP(-LN(2)/25)*AA198+(1-EXP(-LN(2)/25))/(LN(2)/25)*Calculateur!V199*Calculateur!X199*VLOOKUP('Données projet'!$B$9,Paramètres!$A$1:$I$89,3,0)*0.475*44/12</f>
        <v>0.24134320020120778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0.53619306681809664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263.22346936777603</v>
      </c>
      <c r="AO199" s="59">
        <f t="shared" si="205"/>
        <v>217.14714468707939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7.2957296045151443E-2</v>
      </c>
      <c r="AW199" s="21">
        <f>EXP(-LN(2)/2)*AW198+(1-EXP(-LN(2)/2))/(LN(2)/2)*AQ199*AT199*VLOOKUP('Données projet'!$B$10,Paramètres!$A$1:$I$89,3,0)*0.475*44/12</f>
        <v>1.8457253699953571E-24</v>
      </c>
      <c r="AX199" s="21">
        <f t="shared" si="166"/>
        <v>7.2957296045151443E-2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4.4337866711430253E-14</v>
      </c>
      <c r="BF199" s="13">
        <f t="shared" si="167"/>
        <v>7.3222115536967035E-13</v>
      </c>
      <c r="BG199" s="20">
        <f t="shared" si="168"/>
        <v>1.3525069634579169E-12</v>
      </c>
      <c r="BH199" s="59">
        <f t="shared" si="194"/>
        <v>293.33333333333468</v>
      </c>
      <c r="BI199" s="59">
        <f ca="1">AVERAGE(OFFSET($BH$3,0,0,'Données projet'!$E$11+1,1))-AVERAGE(OFFSET($H$3,0,0,'Données projet'!$E$11+1,1))</f>
        <v>219.22204054948094</v>
      </c>
      <c r="BJ199" s="59">
        <f t="shared" si="206"/>
        <v>222.41711966122034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3.1439733591618724E-2</v>
      </c>
      <c r="BR199" s="21">
        <f>EXP(-LN(2)/2)*BR198+(1-EXP(-LN(2)/2))/(LN(2)/2)*BL199*BO199*VLOOKUP('Données projet'!$B$11,Paramètres!$A$1:$I$89,3,0)*0.475*44/12</f>
        <v>3.3812118403747456E-25</v>
      </c>
      <c r="BS199" s="22">
        <f t="shared" si="169"/>
        <v>3.1439733591618724E-2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-3.979039320256561E-13</v>
      </c>
      <c r="BZ199" s="13">
        <f>BY199*VLOOKUP('Données projet'!$B$12,Paramètres!$A$1:$I$89,3,0)*VLOOKUP('Données projet'!$B$12,Paramètres!$A$1:$I$89,5,0)</f>
        <v>-3.41401573678013E-13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237.27357081252273</v>
      </c>
      <c r="CE199" s="59">
        <f t="shared" si="207"/>
        <v>68.768479693848576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-3.4106051316484809E-13</v>
      </c>
      <c r="CU199" s="17">
        <f>CT199*VLOOKUP('Données projet'!$B$13,Paramètres!$A$1:$I$89,3,0)*VLOOKUP('Données projet'!$B$13,Paramètres!$A$1:$I$89,5,0)</f>
        <v>-1.9065282685915009E-13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474.03051418249999</v>
      </c>
      <c r="CZ199" s="59">
        <f t="shared" si="208"/>
        <v>649.52271992719091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0.2041105190119856</v>
      </c>
      <c r="DG199" s="21">
        <f>EXP(-LN(2)/25)*DG198+(1-EXP(-LN(2)/25))/(LN(2)/25)*Calculateur!DB199*Calculateur!DD199*VLOOKUP('Données projet'!$B$13,Paramètres!$A$1:$I$89,3,0)*0.475*44/12</f>
        <v>0.24257823424069641</v>
      </c>
      <c r="DH199" s="21">
        <f>EXP(-LN(2)/2)*DH198+(1-EXP(-LN(2)/2))/(LN(2)/2)*DB199*DE199*VLOOKUP('Données projet'!$B$13,Paramètres!$A$1:$I$89,3,0)*0.475*44/12</f>
        <v>1.2097173232074968E-24</v>
      </c>
      <c r="DI199" s="22">
        <f t="shared" si="175"/>
        <v>0.44668875325268198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-5.6843418860808015E-14</v>
      </c>
      <c r="DP199" s="17">
        <f>DO199*VLOOKUP('Données projet'!$B$14,Paramètres!$A$1:$I$89,3,0)*VLOOKUP('Données projet'!$B$14,Paramètres!$A$1:$I$89,5,0)</f>
        <v>-3.1036506698001178E-14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164.0740581424559</v>
      </c>
      <c r="DU199" s="59">
        <f t="shared" si="209"/>
        <v>280.99861170359793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0.24670251239263791</v>
      </c>
      <c r="EB199" s="21">
        <f>EXP(-LN(2)/25)*EB198+(1-EXP(-LN(2)/25))/(LN(2)/25)*Calculateur!DW199*Calculateur!DY199*VLOOKUP('Données projet'!$B$14,Paramètres!$A$1:$I$89,3,0)*0.475*44/12</f>
        <v>0.25965982467728227</v>
      </c>
      <c r="EC199" s="21">
        <f>EXP(-LN(2)/2)*EC198+(1-EXP(-LN(2)/2))/(LN(2)/2)*DW199*DZ199*VLOOKUP('Données projet'!$B$14,Paramètres!$A$1:$I$89,3,0)*0.475*44/12</f>
        <v>1.5694421662209858E-24</v>
      </c>
      <c r="ED199" s="22">
        <f t="shared" si="178"/>
        <v>0.50636233706992018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1.1368683772161603E-13</v>
      </c>
      <c r="EK199" s="17">
        <f>EJ199*VLOOKUP('Données projet'!$B$15,Paramètres!$A$1:$I$89,3,0)*VLOOKUP('Données projet'!$B$15,Paramètres!$A$1:$I$89,5,0)</f>
        <v>5.4683368944097308E-14</v>
      </c>
      <c r="EL199" s="13">
        <f t="shared" si="179"/>
        <v>8.8129432816788268E-13</v>
      </c>
      <c r="EM199" s="20">
        <f t="shared" si="180"/>
        <v>1.6301611558033651E-12</v>
      </c>
      <c r="EN199" s="59">
        <f t="shared" si="198"/>
        <v>293.33333333333496</v>
      </c>
      <c r="EO199" s="59">
        <f ca="1">AVERAGE(OFFSET($EN$3,0,0,'Données projet'!$E$15+1,1))-AVERAGE(OFFSET($H$3,0,0,'Données projet'!$E$15+1,1))</f>
        <v>312.1172301514103</v>
      </c>
      <c r="EP199" s="59">
        <f t="shared" si="210"/>
        <v>369.85500533493212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0.10092170577319449</v>
      </c>
      <c r="EW199" s="21">
        <f>EXP(-LN(2)/25)*EW198+(1-EXP(-LN(2)/25))/(LN(2)/25)*Calculateur!ER199*Calculateur!ET199*VLOOKUP('Données projet'!$B$15,Paramètres!$A$1:$I$89,3,0)*0.475*44/12</f>
        <v>0.15079779199951449</v>
      </c>
      <c r="EX199" s="21">
        <f>EXP(-LN(2)/2)*EX198+(1-EXP(-LN(2)/2))/(LN(2)/2)*ER199*EU199*VLOOKUP('Données projet'!$B$15,Paramètres!$A$1:$I$89,3,0)*0.475*44/12</f>
        <v>3.2752809532842143E-24</v>
      </c>
      <c r="EY199" s="22">
        <f t="shared" si="181"/>
        <v>0.25171949777270897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-7.9808160080574461E-14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87.187251664304199</v>
      </c>
      <c r="FK199" s="59">
        <f t="shared" si="211"/>
        <v>148.84938257884147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8.0852458152402579E-2</v>
      </c>
      <c r="FS199" s="21">
        <f>EXP(-LN(2)/2)*FS198+(1-EXP(-LN(2)/2))/(LN(2)/2)*FM199*FP199*VLOOKUP('Données projet'!$B$16,Paramètres!$A$1:$I$89,3,0)*0.475*44/12</f>
        <v>6.2906312757690332E-25</v>
      </c>
      <c r="FT199" s="22">
        <f t="shared" si="184"/>
        <v>8.0852458152402579E-2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-1.1368683772161603E-13</v>
      </c>
      <c r="GA199" s="17">
        <f>FZ199*VLOOKUP('Données projet'!$B$17,Paramètres!$A$1:$I$89,3,0)*VLOOKUP('Données projet'!$B$17,Paramètres!$A$1:$I$89,5,0)</f>
        <v>-6.7984728957526396E-14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282.94722676586207</v>
      </c>
      <c r="GF199" s="59">
        <f t="shared" si="212"/>
        <v>310.63647941571298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0.10746200684342012</v>
      </c>
      <c r="GN199" s="21">
        <f>EXP(-LN(2)/2)*GN198+(1-EXP(-LN(2)/2))/(LN(2)/2)*GH199*GK199*VLOOKUP('Données projet'!$B$17,Paramètres!$A$1:$I$89,3,0)*0.475*44/12</f>
        <v>2.6509311594446901E-24</v>
      </c>
      <c r="GO199" s="21">
        <f t="shared" si="187"/>
        <v>0.10746200684342012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-1.1368683772161603E-13</v>
      </c>
      <c r="GV199" s="17">
        <f>GU199*VLOOKUP('Données projet'!$B$18,Paramètres!$A$1:$I$89,3,0)*VLOOKUP('Données projet'!$B$18,Paramètres!$A$1:$I$89,5,0)</f>
        <v>-6.7984728957526396E-14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255.54398581450459</v>
      </c>
      <c r="HA199" s="59">
        <f t="shared" si="213"/>
        <v>276.52622328061204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</v>
      </c>
      <c r="HH199" s="21">
        <f>EXP(-LN(2)/25)*HH198+(1-EXP(-LN(2)/25))/(LN(2)/25)*Calculateur!HC199*Calculateur!HE199*VLOOKUP('Données projet'!$B$18,Paramètres!$A$1:$I$89,3,0)*0.475*44/12</f>
        <v>5.3620170387685476E-2</v>
      </c>
      <c r="HI199" s="21">
        <f>EXP(-LN(2)/2)*HI198+(1-EXP(-LN(2)/2))/(LN(2)/2)*HC199*HF199*VLOOKUP('Données projet'!$B$18,Paramètres!$A$1:$I$89,3,0)*0.475*44/12</f>
        <v>1.5372204571106764E-24</v>
      </c>
      <c r="HJ199" s="22">
        <f t="shared" si="190"/>
        <v>5.3620170387685476E-2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4.9658410716801891E-14</v>
      </c>
      <c r="P200" s="13">
        <f t="shared" si="203"/>
        <v>8.0934058173791862E-13</v>
      </c>
      <c r="Q200" s="20">
        <f t="shared" si="162"/>
        <v>1.4960899118586383E-12</v>
      </c>
      <c r="R200" s="59">
        <f t="shared" si="191"/>
        <v>293.33333333333479</v>
      </c>
      <c r="S200" s="59">
        <f ca="1">AVERAGE(OFFSET($R$3,0,0,'Données projet'!$E$9+1,1))-AVERAGE(OFFSET($H$3,0,0,'Données projet'!$E$9+1,1))</f>
        <v>248.50221719467663</v>
      </c>
      <c r="T200" s="59">
        <f t="shared" si="204"/>
        <v>366.09064580347183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0.28906804057319246</v>
      </c>
      <c r="AA200" s="21">
        <f>EXP(-LN(2)/25)*AA199+(1-EXP(-LN(2)/25))/(LN(2)/25)*Calculateur!V200*Calculateur!X200*VLOOKUP('Données projet'!$B$9,Paramètres!$A$1:$I$89,3,0)*0.475*44/12</f>
        <v>0.23474365770001845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0.52381169827321095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263.22346936777603</v>
      </c>
      <c r="AO200" s="59">
        <f t="shared" si="205"/>
        <v>217.14714468707939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7.0962274948139323E-2</v>
      </c>
      <c r="AW200" s="21">
        <f>EXP(-LN(2)/2)*AW199+(1-EXP(-LN(2)/2))/(LN(2)/2)*AQ200*AT200*VLOOKUP('Données projet'!$B$10,Paramètres!$A$1:$I$89,3,0)*0.475*44/12</f>
        <v>1.3051249253317664E-24</v>
      </c>
      <c r="AX200" s="21">
        <f t="shared" si="166"/>
        <v>7.0962274948139323E-2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4.4337866711430253E-14</v>
      </c>
      <c r="BF200" s="13">
        <f t="shared" si="167"/>
        <v>7.3222115536967035E-13</v>
      </c>
      <c r="BG200" s="20">
        <f t="shared" si="168"/>
        <v>1.3525069634579169E-12</v>
      </c>
      <c r="BH200" s="59">
        <f t="shared" si="194"/>
        <v>293.33333333333468</v>
      </c>
      <c r="BI200" s="59">
        <f ca="1">AVERAGE(OFFSET($BH$3,0,0,'Données projet'!$E$11+1,1))-AVERAGE(OFFSET($H$3,0,0,'Données projet'!$E$11+1,1))</f>
        <v>219.22204054948094</v>
      </c>
      <c r="BJ200" s="59">
        <f t="shared" si="206"/>
        <v>222.41711966122034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3.0580012423212177E-2</v>
      </c>
      <c r="BR200" s="21">
        <f>EXP(-LN(2)/2)*BR199+(1-EXP(-LN(2)/2))/(LN(2)/2)*BL200*BO200*VLOOKUP('Données projet'!$B$11,Paramètres!$A$1:$I$89,3,0)*0.475*44/12</f>
        <v>2.3908778209572288E-25</v>
      </c>
      <c r="BS200" s="22">
        <f t="shared" si="169"/>
        <v>3.0580012423212177E-2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-3.979039320256561E-13</v>
      </c>
      <c r="BZ200" s="13">
        <f>BY200*VLOOKUP('Données projet'!$B$12,Paramètres!$A$1:$I$89,3,0)*VLOOKUP('Données projet'!$B$12,Paramètres!$A$1:$I$89,5,0)</f>
        <v>-3.41401573678013E-13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237.27357081252273</v>
      </c>
      <c r="CE200" s="59">
        <f t="shared" si="207"/>
        <v>68.768479693848576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-3.4106051316484809E-13</v>
      </c>
      <c r="CU200" s="17">
        <f>CT200*VLOOKUP('Données projet'!$B$13,Paramètres!$A$1:$I$89,3,0)*VLOOKUP('Données projet'!$B$13,Paramètres!$A$1:$I$89,5,0)</f>
        <v>-1.9065282685915009E-13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474.03051418249999</v>
      </c>
      <c r="CZ200" s="59">
        <f t="shared" si="208"/>
        <v>649.52271992719091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0.20010803622928428</v>
      </c>
      <c r="DG200" s="21">
        <f>EXP(-LN(2)/25)*DG199+(1-EXP(-LN(2)/25))/(LN(2)/25)*Calculateur!DB200*Calculateur!DD200*VLOOKUP('Données projet'!$B$13,Paramètres!$A$1:$I$89,3,0)*0.475*44/12</f>
        <v>0.23594491966874964</v>
      </c>
      <c r="DH200" s="21">
        <f>EXP(-LN(2)/2)*DH199+(1-EXP(-LN(2)/2))/(LN(2)/2)*DB200*DE200*VLOOKUP('Données projet'!$B$13,Paramètres!$A$1:$I$89,3,0)*0.475*44/12</f>
        <v>8.5539932255885943E-25</v>
      </c>
      <c r="DI200" s="22">
        <f t="shared" si="175"/>
        <v>0.43605295589803394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-5.6843418860808015E-14</v>
      </c>
      <c r="DP200" s="17">
        <f>DO200*VLOOKUP('Données projet'!$B$14,Paramètres!$A$1:$I$89,3,0)*VLOOKUP('Données projet'!$B$14,Paramètres!$A$1:$I$89,5,0)</f>
        <v>-3.1036506698001178E-14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164.0740581424559</v>
      </c>
      <c r="DU200" s="59">
        <f t="shared" si="209"/>
        <v>280.99861170359793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0.24186482659829281</v>
      </c>
      <c r="EB200" s="21">
        <f>EXP(-LN(2)/25)*EB199+(1-EXP(-LN(2)/25))/(LN(2)/25)*Calculateur!DW200*Calculateur!DY200*VLOOKUP('Données projet'!$B$14,Paramètres!$A$1:$I$89,3,0)*0.475*44/12</f>
        <v>0.25255941311656527</v>
      </c>
      <c r="EC200" s="21">
        <f>EXP(-LN(2)/2)*EC199+(1-EXP(-LN(2)/2))/(LN(2)/2)*DW200*DZ200*VLOOKUP('Données projet'!$B$14,Paramètres!$A$1:$I$89,3,0)*0.475*44/12</f>
        <v>1.1097631984149638E-24</v>
      </c>
      <c r="ED200" s="22">
        <f t="shared" si="178"/>
        <v>0.49442423971485805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1.1368683772161603E-13</v>
      </c>
      <c r="EK200" s="17">
        <f>EJ200*VLOOKUP('Données projet'!$B$15,Paramètres!$A$1:$I$89,3,0)*VLOOKUP('Données projet'!$B$15,Paramètres!$A$1:$I$89,5,0)</f>
        <v>5.4683368944097308E-14</v>
      </c>
      <c r="EL200" s="13">
        <f t="shared" si="179"/>
        <v>8.8129432816788268E-13</v>
      </c>
      <c r="EM200" s="20">
        <f t="shared" si="180"/>
        <v>1.6301611558033651E-12</v>
      </c>
      <c r="EN200" s="59">
        <f t="shared" si="198"/>
        <v>293.33333333333496</v>
      </c>
      <c r="EO200" s="59">
        <f ca="1">AVERAGE(OFFSET($EN$3,0,0,'Données projet'!$E$15+1,1))-AVERAGE(OFFSET($H$3,0,0,'Données projet'!$E$15+1,1))</f>
        <v>312.1172301514103</v>
      </c>
      <c r="EP200" s="59">
        <f t="shared" si="210"/>
        <v>369.85500533493212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9.8942692679144503E-2</v>
      </c>
      <c r="EW200" s="21">
        <f>EXP(-LN(2)/25)*EW199+(1-EXP(-LN(2)/25))/(LN(2)/25)*Calculateur!ER200*Calculateur!ET200*VLOOKUP('Données projet'!$B$15,Paramètres!$A$1:$I$89,3,0)*0.475*44/12</f>
        <v>0.14667421844717654</v>
      </c>
      <c r="EX200" s="21">
        <f>EXP(-LN(2)/2)*EX199+(1-EXP(-LN(2)/2))/(LN(2)/2)*ER200*EU200*VLOOKUP('Données projet'!$B$15,Paramètres!$A$1:$I$89,3,0)*0.475*44/12</f>
        <v>2.3159733723584079E-24</v>
      </c>
      <c r="EY200" s="22">
        <f t="shared" si="181"/>
        <v>0.24561691112632106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-7.9808160080574461E-14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87.187251664304199</v>
      </c>
      <c r="FK200" s="59">
        <f t="shared" si="211"/>
        <v>148.84938257884147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7.8641543432379141E-2</v>
      </c>
      <c r="FS200" s="21">
        <f>EXP(-LN(2)/2)*FS199+(1-EXP(-LN(2)/2))/(LN(2)/2)*FM200*FP200*VLOOKUP('Données projet'!$B$16,Paramètres!$A$1:$I$89,3,0)*0.475*44/12</f>
        <v>4.448148033040466E-25</v>
      </c>
      <c r="FT200" s="22">
        <f t="shared" si="184"/>
        <v>7.8641543432379141E-2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-1.1368683772161603E-13</v>
      </c>
      <c r="GA200" s="17">
        <f>FZ200*VLOOKUP('Données projet'!$B$17,Paramètres!$A$1:$I$89,3,0)*VLOOKUP('Données projet'!$B$17,Paramètres!$A$1:$I$89,5,0)</f>
        <v>-6.7984728957526396E-14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282.94722676586207</v>
      </c>
      <c r="GF200" s="59">
        <f t="shared" si="212"/>
        <v>310.63647941571298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0.10452345261510547</v>
      </c>
      <c r="GN200" s="21">
        <f>EXP(-LN(2)/2)*GN199+(1-EXP(-LN(2)/2))/(LN(2)/2)*GH200*GK200*VLOOKUP('Données projet'!$B$17,Paramètres!$A$1:$I$89,3,0)*0.475*44/12</f>
        <v>1.8744913993020572E-24</v>
      </c>
      <c r="GO200" s="21">
        <f t="shared" si="187"/>
        <v>0.10452345261510547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-1.1368683772161603E-13</v>
      </c>
      <c r="GV200" s="17">
        <f>GU200*VLOOKUP('Données projet'!$B$18,Paramètres!$A$1:$I$89,3,0)*VLOOKUP('Données projet'!$B$18,Paramètres!$A$1:$I$89,5,0)</f>
        <v>-6.7984728957526396E-14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255.54398581450459</v>
      </c>
      <c r="HA200" s="59">
        <f t="shared" si="213"/>
        <v>276.52622328061204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</v>
      </c>
      <c r="HH200" s="21">
        <f>EXP(-LN(2)/25)*HH199+(1-EXP(-LN(2)/25))/(LN(2)/25)*Calculateur!HC200*Calculateur!HE200*VLOOKUP('Données projet'!$B$18,Paramètres!$A$1:$I$89,3,0)*0.475*44/12</f>
        <v>5.2153924008672005E-2</v>
      </c>
      <c r="HI200" s="21">
        <f>EXP(-LN(2)/2)*HI199+(1-EXP(-LN(2)/2))/(LN(2)/2)*HC200*HF200*VLOOKUP('Données projet'!$B$18,Paramètres!$A$1:$I$89,3,0)*0.475*44/12</f>
        <v>1.0869790094016436E-24</v>
      </c>
      <c r="HJ200" s="22">
        <f t="shared" si="190"/>
        <v>5.2153924008672005E-2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4.9658410716801891E-14</v>
      </c>
      <c r="P201" s="13">
        <f t="shared" si="203"/>
        <v>8.0934058173791862E-13</v>
      </c>
      <c r="Q201" s="20">
        <f t="shared" si="162"/>
        <v>1.4960899118586383E-12</v>
      </c>
      <c r="R201" s="59">
        <f t="shared" si="191"/>
        <v>293.33333333333479</v>
      </c>
      <c r="S201" s="59">
        <f ca="1">AVERAGE(OFFSET($R$3,0,0,'Données projet'!$E$9+1,1))-AVERAGE(OFFSET($H$3,0,0,'Données projet'!$E$9+1,1))</f>
        <v>248.50221719467663</v>
      </c>
      <c r="T201" s="59">
        <f t="shared" si="204"/>
        <v>366.09064580347183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0.28339959261164732</v>
      </c>
      <c r="AA201" s="21">
        <f>EXP(-LN(2)/25)*AA200+(1-EXP(-LN(2)/25))/(LN(2)/25)*Calculateur!V201*Calculateur!X201*VLOOKUP('Données projet'!$B$9,Paramètres!$A$1:$I$89,3,0)*0.475*44/12</f>
        <v>0.22832458003557901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0.51172417264722636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263.22346936777603</v>
      </c>
      <c r="AO201" s="59">
        <f t="shared" si="205"/>
        <v>217.14714468707939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6.9021807807938595E-2</v>
      </c>
      <c r="AW201" s="21">
        <f>EXP(-LN(2)/2)*AW200+(1-EXP(-LN(2)/2))/(LN(2)/2)*AQ201*AT201*VLOOKUP('Données projet'!$B$10,Paramètres!$A$1:$I$89,3,0)*0.475*44/12</f>
        <v>9.2286268499767854E-25</v>
      </c>
      <c r="AX201" s="21">
        <f t="shared" si="166"/>
        <v>6.9021807807938595E-2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4.4337866711430253E-14</v>
      </c>
      <c r="BF201" s="13">
        <f t="shared" si="167"/>
        <v>7.3222115536967035E-13</v>
      </c>
      <c r="BG201" s="20">
        <f t="shared" si="168"/>
        <v>1.3525069634579169E-12</v>
      </c>
      <c r="BH201" s="59">
        <f t="shared" si="194"/>
        <v>293.33333333333468</v>
      </c>
      <c r="BI201" s="59">
        <f ca="1">AVERAGE(OFFSET($BH$3,0,0,'Données projet'!$E$11+1,1))-AVERAGE(OFFSET($H$3,0,0,'Données projet'!$E$11+1,1))</f>
        <v>219.22204054948094</v>
      </c>
      <c r="BJ201" s="59">
        <f t="shared" si="206"/>
        <v>222.41711966122034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2.9743800375366478E-2</v>
      </c>
      <c r="BR201" s="21">
        <f>EXP(-LN(2)/2)*BR200+(1-EXP(-LN(2)/2))/(LN(2)/2)*BL201*BO201*VLOOKUP('Données projet'!$B$11,Paramètres!$A$1:$I$89,3,0)*0.475*44/12</f>
        <v>1.6906059201873728E-25</v>
      </c>
      <c r="BS201" s="22">
        <f t="shared" si="169"/>
        <v>2.9743800375366478E-2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-3.979039320256561E-13</v>
      </c>
      <c r="BZ201" s="13">
        <f>BY201*VLOOKUP('Données projet'!$B$12,Paramètres!$A$1:$I$89,3,0)*VLOOKUP('Données projet'!$B$12,Paramètres!$A$1:$I$89,5,0)</f>
        <v>-3.41401573678013E-13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237.27357081252273</v>
      </c>
      <c r="CE201" s="59">
        <f t="shared" si="207"/>
        <v>68.768479693848576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-3.4106051316484809E-13</v>
      </c>
      <c r="CU201" s="17">
        <f>CT201*VLOOKUP('Données projet'!$B$13,Paramètres!$A$1:$I$89,3,0)*VLOOKUP('Données projet'!$B$13,Paramètres!$A$1:$I$89,5,0)</f>
        <v>-1.9065282685915009E-13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474.03051418249999</v>
      </c>
      <c r="CZ201" s="59">
        <f t="shared" si="208"/>
        <v>649.52271992719091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0.19618403969267828</v>
      </c>
      <c r="DG201" s="21">
        <f>EXP(-LN(2)/25)*DG200+(1-EXP(-LN(2)/25))/(LN(2)/25)*Calculateur!DB201*Calculateur!DD201*VLOOKUP('Données projet'!$B$13,Paramètres!$A$1:$I$89,3,0)*0.475*44/12</f>
        <v>0.22949299343260363</v>
      </c>
      <c r="DH201" s="21">
        <f>EXP(-LN(2)/2)*DH200+(1-EXP(-LN(2)/2))/(LN(2)/2)*DB201*DE201*VLOOKUP('Données projet'!$B$13,Paramètres!$A$1:$I$89,3,0)*0.475*44/12</f>
        <v>6.0485866160374841E-25</v>
      </c>
      <c r="DI201" s="22">
        <f t="shared" si="175"/>
        <v>0.42567703312528193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-5.6843418860808015E-14</v>
      </c>
      <c r="DP201" s="17">
        <f>DO201*VLOOKUP('Données projet'!$B$14,Paramètres!$A$1:$I$89,3,0)*VLOOKUP('Données projet'!$B$14,Paramètres!$A$1:$I$89,5,0)</f>
        <v>-3.1036506698001178E-14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164.0740581424559</v>
      </c>
      <c r="DU201" s="59">
        <f t="shared" si="209"/>
        <v>280.99861170359793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0.23712200487167784</v>
      </c>
      <c r="EB201" s="21">
        <f>EXP(-LN(2)/25)*EB200+(1-EXP(-LN(2)/25))/(LN(2)/25)*Calculateur!DW201*Calculateur!DY201*VLOOKUP('Données projet'!$B$14,Paramètres!$A$1:$I$89,3,0)*0.475*44/12</f>
        <v>0.24565316268337048</v>
      </c>
      <c r="EC201" s="21">
        <f>EXP(-LN(2)/2)*EC200+(1-EXP(-LN(2)/2))/(LN(2)/2)*DW201*DZ201*VLOOKUP('Données projet'!$B$14,Paramètres!$A$1:$I$89,3,0)*0.475*44/12</f>
        <v>7.8472108311049292E-25</v>
      </c>
      <c r="ED201" s="22">
        <f t="shared" si="178"/>
        <v>0.48277516755504835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1.1368683772161603E-13</v>
      </c>
      <c r="EK201" s="17">
        <f>EJ201*VLOOKUP('Données projet'!$B$15,Paramètres!$A$1:$I$89,3,0)*VLOOKUP('Données projet'!$B$15,Paramètres!$A$1:$I$89,5,0)</f>
        <v>5.4683368944097308E-14</v>
      </c>
      <c r="EL201" s="13">
        <f t="shared" si="179"/>
        <v>8.8129432816788268E-13</v>
      </c>
      <c r="EM201" s="20">
        <f t="shared" si="180"/>
        <v>1.6301611558033651E-12</v>
      </c>
      <c r="EN201" s="59">
        <f t="shared" si="198"/>
        <v>293.33333333333496</v>
      </c>
      <c r="EO201" s="59">
        <f ca="1">AVERAGE(OFFSET($EN$3,0,0,'Données projet'!$E$15+1,1))-AVERAGE(OFFSET($H$3,0,0,'Données projet'!$E$15+1,1))</f>
        <v>312.1172301514103</v>
      </c>
      <c r="EP201" s="59">
        <f t="shared" si="210"/>
        <v>369.85500533493212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9.7002486824790041E-2</v>
      </c>
      <c r="EW201" s="21">
        <f>EXP(-LN(2)/25)*EW200+(1-EXP(-LN(2)/25))/(LN(2)/25)*Calculateur!ER201*Calculateur!ET201*VLOOKUP('Données projet'!$B$15,Paramètres!$A$1:$I$89,3,0)*0.475*44/12</f>
        <v>0.14266340423047658</v>
      </c>
      <c r="EX201" s="21">
        <f>EXP(-LN(2)/2)*EX200+(1-EXP(-LN(2)/2))/(LN(2)/2)*ER201*EU201*VLOOKUP('Données projet'!$B$15,Paramètres!$A$1:$I$89,3,0)*0.475*44/12</f>
        <v>1.6376404766421073E-24</v>
      </c>
      <c r="EY201" s="22">
        <f t="shared" si="181"/>
        <v>0.23966589105526662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-7.9808160080574461E-14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87.187251664304199</v>
      </c>
      <c r="FK201" s="59">
        <f t="shared" si="211"/>
        <v>148.84938257884147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7.6491086291641697E-2</v>
      </c>
      <c r="FS201" s="21">
        <f>EXP(-LN(2)/2)*FS200+(1-EXP(-LN(2)/2))/(LN(2)/2)*FM201*FP201*VLOOKUP('Données projet'!$B$16,Paramètres!$A$1:$I$89,3,0)*0.475*44/12</f>
        <v>3.1453156378845166E-25</v>
      </c>
      <c r="FT201" s="22">
        <f t="shared" si="184"/>
        <v>7.6491086291641697E-2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-1.1368683772161603E-13</v>
      </c>
      <c r="GA201" s="17">
        <f>FZ201*VLOOKUP('Données projet'!$B$17,Paramètres!$A$1:$I$89,3,0)*VLOOKUP('Données projet'!$B$17,Paramètres!$A$1:$I$89,5,0)</f>
        <v>-6.7984728957526396E-14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282.94722676586207</v>
      </c>
      <c r="GF201" s="59">
        <f t="shared" si="212"/>
        <v>310.63647941571298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0.10166525330669593</v>
      </c>
      <c r="GN201" s="21">
        <f>EXP(-LN(2)/2)*GN200+(1-EXP(-LN(2)/2))/(LN(2)/2)*GH201*GK201*VLOOKUP('Données projet'!$B$17,Paramètres!$A$1:$I$89,3,0)*0.475*44/12</f>
        <v>1.3254655797223451E-24</v>
      </c>
      <c r="GO201" s="21">
        <f t="shared" si="187"/>
        <v>0.10166525330669593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-1.1368683772161603E-13</v>
      </c>
      <c r="GV201" s="17">
        <f>GU201*VLOOKUP('Données projet'!$B$18,Paramètres!$A$1:$I$89,3,0)*VLOOKUP('Données projet'!$B$18,Paramètres!$A$1:$I$89,5,0)</f>
        <v>-6.7984728957526396E-14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255.54398581450459</v>
      </c>
      <c r="HA201" s="59">
        <f t="shared" si="213"/>
        <v>276.52622328061204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</v>
      </c>
      <c r="HH201" s="21">
        <f>EXP(-LN(2)/25)*HH200+(1-EXP(-LN(2)/25))/(LN(2)/25)*Calculateur!HC201*Calculateur!HE201*VLOOKUP('Données projet'!$B$18,Paramètres!$A$1:$I$89,3,0)*0.475*44/12</f>
        <v>5.0727772213999205E-2</v>
      </c>
      <c r="HI201" s="21">
        <f>EXP(-LN(2)/2)*HI200+(1-EXP(-LN(2)/2))/(LN(2)/2)*HC201*HF201*VLOOKUP('Données projet'!$B$18,Paramètres!$A$1:$I$89,3,0)*0.475*44/12</f>
        <v>7.686102285553382E-25</v>
      </c>
      <c r="HJ201" s="22">
        <f t="shared" si="190"/>
        <v>5.0727772213999205E-2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4.9658410716801891E-14</v>
      </c>
      <c r="P202" s="13">
        <f t="shared" si="203"/>
        <v>8.0934058173791862E-13</v>
      </c>
      <c r="Q202" s="20">
        <f t="shared" si="162"/>
        <v>1.4960899118586383E-12</v>
      </c>
      <c r="R202" s="59">
        <f t="shared" si="191"/>
        <v>293.33333333333479</v>
      </c>
      <c r="S202" s="59">
        <f ca="1">AVERAGE(OFFSET($R$3,0,0,'Données projet'!$E$9+1,1))-AVERAGE(OFFSET($H$3,0,0,'Données projet'!$E$9+1,1))</f>
        <v>248.50221719467663</v>
      </c>
      <c r="T202" s="59">
        <f t="shared" si="204"/>
        <v>366.09064580347183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0.27784229945721622</v>
      </c>
      <c r="AA202" s="21">
        <f>EXP(-LN(2)/25)*AA201+(1-EXP(-LN(2)/25))/(LN(2)/25)*Calculateur!V202*Calculateur!X202*VLOOKUP('Données projet'!$B$9,Paramètres!$A$1:$I$89,3,0)*0.475*44/12</f>
        <v>0.22208103238743829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0.49992333184465454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263.22346936777603</v>
      </c>
      <c r="AO202" s="59">
        <f t="shared" si="205"/>
        <v>217.14714468707939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6.71344028437314E-2</v>
      </c>
      <c r="AW202" s="21">
        <f>EXP(-LN(2)/2)*AW201+(1-EXP(-LN(2)/2))/(LN(2)/2)*AQ202*AT202*VLOOKUP('Données projet'!$B$10,Paramètres!$A$1:$I$89,3,0)*0.475*44/12</f>
        <v>6.5256246266588322E-25</v>
      </c>
      <c r="AX202" s="21">
        <f t="shared" si="166"/>
        <v>6.71344028437314E-2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4.4337866711430253E-14</v>
      </c>
      <c r="BF202" s="13">
        <f t="shared" si="167"/>
        <v>7.3222115536967035E-13</v>
      </c>
      <c r="BG202" s="20">
        <f t="shared" si="168"/>
        <v>1.3525069634579169E-12</v>
      </c>
      <c r="BH202" s="59">
        <f t="shared" si="194"/>
        <v>293.33333333333468</v>
      </c>
      <c r="BI202" s="59">
        <f ca="1">AVERAGE(OFFSET($BH$3,0,0,'Données projet'!$E$11+1,1))-AVERAGE(OFFSET($H$3,0,0,'Données projet'!$E$11+1,1))</f>
        <v>219.22204054948094</v>
      </c>
      <c r="BJ202" s="59">
        <f t="shared" si="206"/>
        <v>222.41711966122034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2.8930454589943602E-2</v>
      </c>
      <c r="BR202" s="21">
        <f>EXP(-LN(2)/2)*BR201+(1-EXP(-LN(2)/2))/(LN(2)/2)*BL202*BO202*VLOOKUP('Données projet'!$B$11,Paramètres!$A$1:$I$89,3,0)*0.475*44/12</f>
        <v>1.1954389104786144E-25</v>
      </c>
      <c r="BS202" s="22">
        <f t="shared" si="169"/>
        <v>2.8930454589943602E-2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-3.979039320256561E-13</v>
      </c>
      <c r="BZ202" s="13">
        <f>BY202*VLOOKUP('Données projet'!$B$12,Paramètres!$A$1:$I$89,3,0)*VLOOKUP('Données projet'!$B$12,Paramètres!$A$1:$I$89,5,0)</f>
        <v>-3.41401573678013E-13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237.27357081252273</v>
      </c>
      <c r="CE202" s="59">
        <f t="shared" si="207"/>
        <v>68.768479693848576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-3.4106051316484809E-13</v>
      </c>
      <c r="CU202" s="17">
        <f>CT202*VLOOKUP('Données projet'!$B$13,Paramètres!$A$1:$I$89,3,0)*VLOOKUP('Données projet'!$B$13,Paramètres!$A$1:$I$89,5,0)</f>
        <v>-1.9065282685915009E-13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474.03051418249999</v>
      </c>
      <c r="CZ202" s="59">
        <f t="shared" si="208"/>
        <v>649.52271992719091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0.19233699033475357</v>
      </c>
      <c r="DG202" s="21">
        <f>EXP(-LN(2)/25)*DG201+(1-EXP(-LN(2)/25))/(LN(2)/25)*Calculateur!DB202*Calculateur!DD202*VLOOKUP('Données projet'!$B$13,Paramètres!$A$1:$I$89,3,0)*0.475*44/12</f>
        <v>0.22321749545867706</v>
      </c>
      <c r="DH202" s="21">
        <f>EXP(-LN(2)/2)*DH201+(1-EXP(-LN(2)/2))/(LN(2)/2)*DB202*DE202*VLOOKUP('Données projet'!$B$13,Paramètres!$A$1:$I$89,3,0)*0.475*44/12</f>
        <v>4.2769966127942972E-25</v>
      </c>
      <c r="DI202" s="22">
        <f t="shared" si="175"/>
        <v>0.41555448579343063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-5.6843418860808015E-14</v>
      </c>
      <c r="DP202" s="17">
        <f>DO202*VLOOKUP('Données projet'!$B$14,Paramètres!$A$1:$I$89,3,0)*VLOOKUP('Données projet'!$B$14,Paramètres!$A$1:$I$89,5,0)</f>
        <v>-3.1036506698001178E-14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164.0740581424559</v>
      </c>
      <c r="DU202" s="59">
        <f t="shared" si="209"/>
        <v>280.99861170359793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0.23247218698628616</v>
      </c>
      <c r="EB202" s="21">
        <f>EXP(-LN(2)/25)*EB201+(1-EXP(-LN(2)/25))/(LN(2)/25)*Calculateur!DW202*Calculateur!DY202*VLOOKUP('Données projet'!$B$14,Paramètres!$A$1:$I$89,3,0)*0.475*44/12</f>
        <v>0.23893576403145533</v>
      </c>
      <c r="EC202" s="21">
        <f>EXP(-LN(2)/2)*EC201+(1-EXP(-LN(2)/2))/(LN(2)/2)*DW202*DZ202*VLOOKUP('Données projet'!$B$14,Paramètres!$A$1:$I$89,3,0)*0.475*44/12</f>
        <v>5.5488159920748189E-25</v>
      </c>
      <c r="ED202" s="22">
        <f t="shared" si="178"/>
        <v>0.47140795101774147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1.1368683772161603E-13</v>
      </c>
      <c r="EK202" s="17">
        <f>EJ202*VLOOKUP('Données projet'!$B$15,Paramètres!$A$1:$I$89,3,0)*VLOOKUP('Données projet'!$B$15,Paramètres!$A$1:$I$89,5,0)</f>
        <v>5.4683368944097308E-14</v>
      </c>
      <c r="EL202" s="13">
        <f t="shared" si="179"/>
        <v>8.8129432816788268E-13</v>
      </c>
      <c r="EM202" s="20">
        <f t="shared" si="180"/>
        <v>1.6301611558033651E-12</v>
      </c>
      <c r="EN202" s="59">
        <f t="shared" si="198"/>
        <v>293.33333333333496</v>
      </c>
      <c r="EO202" s="59">
        <f ca="1">AVERAGE(OFFSET($EN$3,0,0,'Données projet'!$E$15+1,1))-AVERAGE(OFFSET($H$3,0,0,'Données projet'!$E$15+1,1))</f>
        <v>312.1172301514103</v>
      </c>
      <c r="EP202" s="59">
        <f t="shared" si="210"/>
        <v>369.85500533493212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9.5100327223830744E-2</v>
      </c>
      <c r="EW202" s="21">
        <f>EXP(-LN(2)/25)*EW201+(1-EXP(-LN(2)/25))/(LN(2)/25)*Calculateur!ER202*Calculateur!ET202*VLOOKUP('Données projet'!$B$15,Paramètres!$A$1:$I$89,3,0)*0.475*44/12</f>
        <v>0.13876226593945182</v>
      </c>
      <c r="EX202" s="21">
        <f>EXP(-LN(2)/2)*EX201+(1-EXP(-LN(2)/2))/(LN(2)/2)*ER202*EU202*VLOOKUP('Données projet'!$B$15,Paramètres!$A$1:$I$89,3,0)*0.475*44/12</f>
        <v>1.1579866861792041E-24</v>
      </c>
      <c r="EY202" s="22">
        <f t="shared" si="181"/>
        <v>0.23386259316328256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-7.9808160080574461E-14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87.187251664304199</v>
      </c>
      <c r="FK202" s="59">
        <f t="shared" si="211"/>
        <v>148.84938257884147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7.4399433514505356E-2</v>
      </c>
      <c r="FS202" s="21">
        <f>EXP(-LN(2)/2)*FS201+(1-EXP(-LN(2)/2))/(LN(2)/2)*FM202*FP202*VLOOKUP('Données projet'!$B$16,Paramètres!$A$1:$I$89,3,0)*0.475*44/12</f>
        <v>2.224074016520233E-25</v>
      </c>
      <c r="FT202" s="22">
        <f t="shared" si="184"/>
        <v>7.4399433514505356E-2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-1.1368683772161603E-13</v>
      </c>
      <c r="GA202" s="17">
        <f>FZ202*VLOOKUP('Données projet'!$B$17,Paramètres!$A$1:$I$89,3,0)*VLOOKUP('Données projet'!$B$17,Paramètres!$A$1:$I$89,5,0)</f>
        <v>-6.7984728957526396E-14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282.94722676586207</v>
      </c>
      <c r="GF202" s="59">
        <f t="shared" si="212"/>
        <v>310.63647941571298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9.8885211608681023E-2</v>
      </c>
      <c r="GN202" s="21">
        <f>EXP(-LN(2)/2)*GN201+(1-EXP(-LN(2)/2))/(LN(2)/2)*GH202*GK202*VLOOKUP('Données projet'!$B$17,Paramètres!$A$1:$I$89,3,0)*0.475*44/12</f>
        <v>9.372456996510286E-25</v>
      </c>
      <c r="GO202" s="21">
        <f t="shared" si="187"/>
        <v>9.8885211608681023E-2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-1.1368683772161603E-13</v>
      </c>
      <c r="GV202" s="17">
        <f>GU202*VLOOKUP('Données projet'!$B$18,Paramètres!$A$1:$I$89,3,0)*VLOOKUP('Données projet'!$B$18,Paramètres!$A$1:$I$89,5,0)</f>
        <v>-6.7984728957526396E-14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255.54398581450459</v>
      </c>
      <c r="HA202" s="59">
        <f t="shared" si="213"/>
        <v>276.52622328061204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</v>
      </c>
      <c r="HH202" s="21">
        <f>EXP(-LN(2)/25)*HH201+(1-EXP(-LN(2)/25))/(LN(2)/25)*Calculateur!HC202*Calculateur!HE202*VLOOKUP('Données projet'!$B$18,Paramètres!$A$1:$I$89,3,0)*0.475*44/12</f>
        <v>4.9340618615149795E-2</v>
      </c>
      <c r="HI202" s="21">
        <f>EXP(-LN(2)/2)*HI201+(1-EXP(-LN(2)/2))/(LN(2)/2)*HC202*HF202*VLOOKUP('Données projet'!$B$18,Paramètres!$A$1:$I$89,3,0)*0.475*44/12</f>
        <v>5.4348950470082181E-25</v>
      </c>
      <c r="HJ202" s="22">
        <f t="shared" si="190"/>
        <v>4.9340618615149795E-2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4.9658410716801891E-14</v>
      </c>
      <c r="P203" s="13">
        <f t="shared" si="203"/>
        <v>8.0934058173791862E-13</v>
      </c>
      <c r="Q203" s="20">
        <f t="shared" si="162"/>
        <v>1.4960899118586383E-12</v>
      </c>
      <c r="R203" s="59">
        <f t="shared" si="191"/>
        <v>293.33333333333479</v>
      </c>
      <c r="S203" s="59">
        <f ca="1">AVERAGE(OFFSET($R$3,0,0,'Données projet'!$E$9+1,1))-AVERAGE(OFFSET($H$3,0,0,'Données projet'!$E$9+1,1))</f>
        <v>248.50221719467663</v>
      </c>
      <c r="T203" s="59">
        <f t="shared" si="204"/>
        <v>366.09064580347183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0.27239398143192939</v>
      </c>
      <c r="AA203" s="21">
        <f>EXP(-LN(2)/25)*AA202+(1-EXP(-LN(2)/25))/(LN(2)/25)*Calculateur!V203*Calculateur!X203*VLOOKUP('Données projet'!$B$9,Paramètres!$A$1:$I$89,3,0)*0.475*44/12</f>
        <v>0.21600821487806987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0.48840219630999926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263.22346936777603</v>
      </c>
      <c r="AO203" s="59">
        <f t="shared" si="205"/>
        <v>217.14714468707939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6.5298609067524757E-2</v>
      </c>
      <c r="AW203" s="21">
        <f>EXP(-LN(2)/2)*AW202+(1-EXP(-LN(2)/2))/(LN(2)/2)*AQ203*AT203*VLOOKUP('Données projet'!$B$10,Paramètres!$A$1:$I$89,3,0)*0.475*44/12</f>
        <v>4.6143134249883927E-25</v>
      </c>
      <c r="AX203" s="21">
        <f t="shared" si="166"/>
        <v>6.5298609067524757E-2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4.4337866711430253E-14</v>
      </c>
      <c r="BF203" s="13">
        <f t="shared" si="167"/>
        <v>7.3222115536967035E-13</v>
      </c>
      <c r="BG203" s="20">
        <f t="shared" si="168"/>
        <v>1.3525069634579169E-12</v>
      </c>
      <c r="BH203" s="59">
        <f t="shared" si="194"/>
        <v>293.33333333333468</v>
      </c>
      <c r="BI203" s="59">
        <f ca="1">AVERAGE(OFFSET($BH$3,0,0,'Données projet'!$E$11+1,1))-AVERAGE(OFFSET($H$3,0,0,'Données projet'!$E$11+1,1))</f>
        <v>219.22204054948094</v>
      </c>
      <c r="BJ203" s="59">
        <f t="shared" si="206"/>
        <v>222.41711966122034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2.8139349787795108E-2</v>
      </c>
      <c r="BR203" s="21">
        <f>EXP(-LN(2)/2)*BR202+(1-EXP(-LN(2)/2))/(LN(2)/2)*BL203*BO203*VLOOKUP('Données projet'!$B$11,Paramètres!$A$1:$I$89,3,0)*0.475*44/12</f>
        <v>8.4530296009368639E-26</v>
      </c>
      <c r="BS203" s="22">
        <f t="shared" si="169"/>
        <v>2.8139349787795108E-2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-3.979039320256561E-13</v>
      </c>
      <c r="BZ203" s="13">
        <f>BY203*VLOOKUP('Données projet'!$B$12,Paramètres!$A$1:$I$89,3,0)*VLOOKUP('Données projet'!$B$12,Paramètres!$A$1:$I$89,5,0)</f>
        <v>-3.41401573678013E-13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237.27357081252273</v>
      </c>
      <c r="CE203" s="59">
        <f t="shared" si="207"/>
        <v>68.768479693848576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-3.4106051316484809E-13</v>
      </c>
      <c r="CU203" s="17">
        <f>CT203*VLOOKUP('Données projet'!$B$13,Paramètres!$A$1:$I$89,3,0)*VLOOKUP('Données projet'!$B$13,Paramètres!$A$1:$I$89,5,0)</f>
        <v>-1.9065282685915009E-13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474.03051418249999</v>
      </c>
      <c r="CZ203" s="59">
        <f t="shared" si="208"/>
        <v>649.52271992719091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0.18856537926826936</v>
      </c>
      <c r="DG203" s="21">
        <f>EXP(-LN(2)/25)*DG202+(1-EXP(-LN(2)/25))/(LN(2)/25)*Calculateur!DB203*Calculateur!DD203*VLOOKUP('Données projet'!$B$13,Paramètres!$A$1:$I$89,3,0)*0.475*44/12</f>
        <v>0.21711360130686161</v>
      </c>
      <c r="DH203" s="21">
        <f>EXP(-LN(2)/2)*DH202+(1-EXP(-LN(2)/2))/(LN(2)/2)*DB203*DE203*VLOOKUP('Données projet'!$B$13,Paramètres!$A$1:$I$89,3,0)*0.475*44/12</f>
        <v>3.024293308018742E-25</v>
      </c>
      <c r="DI203" s="22">
        <f t="shared" si="175"/>
        <v>0.40567898057513097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-5.6843418860808015E-14</v>
      </c>
      <c r="DP203" s="17">
        <f>DO203*VLOOKUP('Données projet'!$B$14,Paramètres!$A$1:$I$89,3,0)*VLOOKUP('Données projet'!$B$14,Paramètres!$A$1:$I$89,5,0)</f>
        <v>-3.1036506698001178E-14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164.0740581424559</v>
      </c>
      <c r="DU203" s="59">
        <f t="shared" si="209"/>
        <v>280.99861170359793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0.22791354919351817</v>
      </c>
      <c r="EB203" s="21">
        <f>EXP(-LN(2)/25)*EB202+(1-EXP(-LN(2)/25))/(LN(2)/25)*Calculateur!DW203*Calculateur!DY203*VLOOKUP('Données projet'!$B$14,Paramètres!$A$1:$I$89,3,0)*0.475*44/12</f>
        <v>0.23240205299892946</v>
      </c>
      <c r="EC203" s="21">
        <f>EXP(-LN(2)/2)*EC202+(1-EXP(-LN(2)/2))/(LN(2)/2)*DW203*DZ203*VLOOKUP('Données projet'!$B$14,Paramètres!$A$1:$I$89,3,0)*0.475*44/12</f>
        <v>3.9236054155524646E-25</v>
      </c>
      <c r="ED203" s="22">
        <f t="shared" si="178"/>
        <v>0.4603156021924476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1.1368683772161603E-13</v>
      </c>
      <c r="EK203" s="17">
        <f>EJ203*VLOOKUP('Données projet'!$B$15,Paramètres!$A$1:$I$89,3,0)*VLOOKUP('Données projet'!$B$15,Paramètres!$A$1:$I$89,5,0)</f>
        <v>5.4683368944097308E-14</v>
      </c>
      <c r="EL203" s="13">
        <f t="shared" si="179"/>
        <v>8.8129432816788268E-13</v>
      </c>
      <c r="EM203" s="20">
        <f t="shared" si="180"/>
        <v>1.6301611558033651E-12</v>
      </c>
      <c r="EN203" s="59">
        <f t="shared" si="198"/>
        <v>293.33333333333496</v>
      </c>
      <c r="EO203" s="59">
        <f ca="1">AVERAGE(OFFSET($EN$3,0,0,'Données projet'!$E$15+1,1))-AVERAGE(OFFSET($H$3,0,0,'Données projet'!$E$15+1,1))</f>
        <v>312.1172301514103</v>
      </c>
      <c r="EP203" s="59">
        <f t="shared" si="210"/>
        <v>369.85500533493212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9.3235467812443462E-2</v>
      </c>
      <c r="EW203" s="21">
        <f>EXP(-LN(2)/25)*EW202+(1-EXP(-LN(2)/25))/(LN(2)/25)*Calculateur!ER203*Calculateur!ET203*VLOOKUP('Données projet'!$B$15,Paramètres!$A$1:$I$89,3,0)*0.475*44/12</f>
        <v>0.13496780448014709</v>
      </c>
      <c r="EX203" s="21">
        <f>EXP(-LN(2)/2)*EX202+(1-EXP(-LN(2)/2))/(LN(2)/2)*ER203*EU203*VLOOKUP('Données projet'!$B$15,Paramètres!$A$1:$I$89,3,0)*0.475*44/12</f>
        <v>8.1882023832105385E-25</v>
      </c>
      <c r="EY203" s="22">
        <f t="shared" si="181"/>
        <v>0.22820327229259055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-7.9808160080574461E-14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87.187251664304199</v>
      </c>
      <c r="FK203" s="59">
        <f t="shared" si="211"/>
        <v>148.84938257884147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7.2364977092555044E-2</v>
      </c>
      <c r="FS203" s="21">
        <f>EXP(-LN(2)/2)*FS202+(1-EXP(-LN(2)/2))/(LN(2)/2)*FM203*FP203*VLOOKUP('Données projet'!$B$16,Paramètres!$A$1:$I$89,3,0)*0.475*44/12</f>
        <v>1.5726578189422583E-25</v>
      </c>
      <c r="FT203" s="22">
        <f t="shared" si="184"/>
        <v>7.2364977092555044E-2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-1.1368683772161603E-13</v>
      </c>
      <c r="GA203" s="17">
        <f>FZ203*VLOOKUP('Données projet'!$B$17,Paramètres!$A$1:$I$89,3,0)*VLOOKUP('Données projet'!$B$17,Paramètres!$A$1:$I$89,5,0)</f>
        <v>-6.7984728957526396E-14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282.94722676586207</v>
      </c>
      <c r="GF203" s="59">
        <f t="shared" si="212"/>
        <v>310.63647941571298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9.6181190297094363E-2</v>
      </c>
      <c r="GN203" s="21">
        <f>EXP(-LN(2)/2)*GN202+(1-EXP(-LN(2)/2))/(LN(2)/2)*GH203*GK203*VLOOKUP('Données projet'!$B$17,Paramètres!$A$1:$I$89,3,0)*0.475*44/12</f>
        <v>6.6273278986117253E-25</v>
      </c>
      <c r="GO203" s="21">
        <f t="shared" si="187"/>
        <v>9.6181190297094363E-2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-1.1368683772161603E-13</v>
      </c>
      <c r="GV203" s="17">
        <f>GU203*VLOOKUP('Données projet'!$B$18,Paramètres!$A$1:$I$89,3,0)*VLOOKUP('Données projet'!$B$18,Paramètres!$A$1:$I$89,5,0)</f>
        <v>-6.7984728957526396E-14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255.54398581450459</v>
      </c>
      <c r="HA203" s="59">
        <f t="shared" si="213"/>
        <v>276.52622328061204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</v>
      </c>
      <c r="HH203" s="21">
        <f>EXP(-LN(2)/25)*HH202+(1-EXP(-LN(2)/25))/(LN(2)/25)*Calculateur!HC203*Calculateur!HE203*VLOOKUP('Données projet'!$B$18,Paramètres!$A$1:$I$89,3,0)*0.475*44/12</f>
        <v>4.7991396804408164E-2</v>
      </c>
      <c r="HI203" s="21">
        <f>EXP(-LN(2)/2)*HI202+(1-EXP(-LN(2)/2))/(LN(2)/2)*HC203*HF203*VLOOKUP('Données projet'!$B$18,Paramètres!$A$1:$I$89,3,0)*0.475*44/12</f>
        <v>3.843051142776691E-25</v>
      </c>
      <c r="HJ203" s="22">
        <f t="shared" si="190"/>
        <v>4.7991396804408164E-2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1.3655017210306359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1.2788040393997409</v>
      </c>
      <c r="BV205" s="82">
        <f>EXP(LN('Données projet'!B114)/'Données projet'!A114)</f>
        <v>1.1377356710190607</v>
      </c>
      <c r="CQ205" s="82">
        <f>EXP(LN('Données projet'!B140)/'Données projet'!A140)</f>
        <v>1.418286993802653</v>
      </c>
      <c r="DL205" s="82">
        <f>EXP(LN('Données projet'!B166)/'Données projet'!A166)</f>
        <v>1.4860662319460807</v>
      </c>
      <c r="EG205" s="82">
        <f>EXP(LN('Données projet'!B192)/'Données projet'!A192)</f>
        <v>1.3078136577370625</v>
      </c>
      <c r="FB205" s="82">
        <f>EXP(LN('Données projet'!B218)/'Données projet'!A218)</f>
        <v>1.2880503926580862</v>
      </c>
      <c r="FW205" s="82">
        <f>EXP(LN('Données projet'!B244)/'Données projet'!A244)</f>
        <v>1.3239616704988877</v>
      </c>
      <c r="GR205" s="82">
        <f>EXP(LN('Données projet'!B270)/'Données projet'!A270)</f>
        <v>1.3758248603770518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7773437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77734375" style="4" bestFit="1" customWidth="1"/>
    <col min="7" max="7" width="11.44140625" style="4" bestFit="1" customWidth="1"/>
    <col min="8" max="8" width="39" style="4" bestFit="1" customWidth="1"/>
    <col min="9" max="9" width="16.7773437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I8" sqref="I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rouge d'Amérique</v>
      </c>
      <c r="B6" s="146">
        <f>'Données projet'!D9</f>
        <v>0.88529999999999998</v>
      </c>
      <c r="C6" s="147">
        <f ca="1">IF(OR('Données projet'!B9="",'Données projet'!C9="",'Données projet'!C9=0%),0,Calculateur!S3)</f>
        <v>248.50221719467663</v>
      </c>
      <c r="D6" s="147">
        <f>IF(OR('Données projet'!B9="",'Données projet'!C9="",'Données projet'!C9=0%),0,Calculateur!T3)</f>
        <v>366.09064580347183</v>
      </c>
      <c r="E6" s="147">
        <f ca="1">MIN(C6,D6)</f>
        <v>248.50221719467663</v>
      </c>
      <c r="F6" s="147">
        <f ca="1">E6*B6</f>
        <v>219.9990128824472</v>
      </c>
      <c r="G6" s="147">
        <f ca="1">F6*(100%-'Données projet'!$C$24)*(100%-'Données projet'!$C$25)*(100%-'Données projet'!$C$26)*(100%-'Données projet'!$C$27)</f>
        <v>197.99911159420247</v>
      </c>
      <c r="H6" s="148">
        <f>IF(OR('Données projet'!B9="",'Données projet'!C9="",'Données projet'!C9=0%),0,AVERAGE(Calculateur!$AC$3:$AC$33)*B6)</f>
        <v>5.2985417307175933</v>
      </c>
      <c r="I6" s="149">
        <f>H6*(100%-'Données projet'!$C$24)*(100%-'Données projet'!$C$25)*(100%-'Données projet'!$C$26)*(100%-'Données projet'!$C$27)</f>
        <v>4.7686875576458343</v>
      </c>
      <c r="J6" s="150">
        <f>IF(OR('Données projet'!B9="",'Données projet'!C9="",'Données projet'!C9=0%),0,SUM(Calculateur!$V$3:$V$33)*VLOOKUP('Données projet'!$B$9,Paramètres!$A$1:$I$89,9,0)*B6)</f>
        <v>41.387774999999998</v>
      </c>
      <c r="K6" s="151">
        <f>J6*(100%-'Données projet'!$C$24)*(100%-'Données projet'!$C$25)*(100%-'Données projet'!$C$26)*(100%-'Données projet'!$C$27)</f>
        <v>37.248997500000002</v>
      </c>
      <c r="L6" s="152">
        <f ca="1">G6+I6+K6</f>
        <v>240.01679665184832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1.2939000000000001</v>
      </c>
      <c r="C7" s="147">
        <f ca="1">IF(OR('Données projet'!B10="",'Données projet'!C10="",'Données projet'!C10=0%),0,Calculateur!AN3)</f>
        <v>263.22346936777603</v>
      </c>
      <c r="D7" s="147">
        <f>IF(OR('Données projet'!B10="",'Données projet'!C10="",'Données projet'!C10=0%),0,Calculateur!AO3)</f>
        <v>217.14714468707939</v>
      </c>
      <c r="E7" s="147">
        <f t="shared" ref="E7:E15" ca="1" si="0">MIN(C7,D7)</f>
        <v>217.14714468707939</v>
      </c>
      <c r="F7" s="147">
        <f t="shared" ref="F7:F15" ca="1" si="1">E7*B7</f>
        <v>280.96669051061201</v>
      </c>
      <c r="G7" s="147">
        <f ca="1">F7*(100%-'Données projet'!$C$24)*(100%-'Données projet'!$C$25)*(100%-'Données projet'!$C$26)*(100%-'Données projet'!$C$27)</f>
        <v>252.87002145955083</v>
      </c>
      <c r="H7" s="155">
        <f>IF(OR('Données projet'!B10="",'Données projet'!C10="",'Données projet'!C10=0%),0,AVERAGE(Calculateur!$AX$3:$AX$33)*B7)</f>
        <v>4.5218831424909851</v>
      </c>
      <c r="I7" s="149">
        <f>H7*(100%-'Données projet'!$C$24)*(100%-'Données projet'!$C$25)*(100%-'Données projet'!$C$26)*(100%-'Données projet'!$C$27)</f>
        <v>4.0696948282418868</v>
      </c>
      <c r="J7" s="150">
        <f>IF(OR('Données projet'!B10="",'Données projet'!C10="",'Données projet'!C10=0%),0,SUM(Calculateur!$AQ$3:$AQ$33)*VLOOKUP('Données projet'!$B$10,Paramètres!$A$1:$I$89,9,0)*B7)</f>
        <v>20.05545</v>
      </c>
      <c r="K7" s="151">
        <f>J7*(100%-'Données projet'!$C$24)*(100%-'Données projet'!$C$25)*(100%-'Données projet'!$C$26)*(100%-'Données projet'!$C$27)</f>
        <v>18.049905000000003</v>
      </c>
      <c r="L7" s="152">
        <f t="shared" ref="L7:L15" ca="1" si="2">G7+I7+K7</f>
        <v>274.98962128779272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Merisier</v>
      </c>
      <c r="B8" s="154">
        <f>'Données projet'!D11</f>
        <v>0.27239999999999998</v>
      </c>
      <c r="C8" s="147">
        <f ca="1">IF(OR('Données projet'!B11="",'Données projet'!C11="",'Données projet'!C11=0%),0,Calculateur!BI3)</f>
        <v>219.22204054948094</v>
      </c>
      <c r="D8" s="147">
        <f>IF(OR('Données projet'!B11="",'Données projet'!C11="",'Données projet'!C11=0%),0,Calculateur!BJ3)</f>
        <v>222.41711966122034</v>
      </c>
      <c r="E8" s="147">
        <f t="shared" ca="1" si="0"/>
        <v>219.22204054948094</v>
      </c>
      <c r="F8" s="147">
        <f t="shared" ca="1" si="1"/>
        <v>59.716083845678604</v>
      </c>
      <c r="G8" s="147">
        <f ca="1">F8*(100%-'Données projet'!$C$24)*(100%-'Données projet'!$C$25)*(100%-'Données projet'!$C$26)*(100%-'Données projet'!$C$27)</f>
        <v>53.744475461110746</v>
      </c>
      <c r="H8" s="155">
        <f>IF(OR('Données projet'!B11="",'Données projet'!C11="",'Données projet'!C11=0%),0,AVERAGE(Calculateur!$BS$3:$BS$33)*B8)</f>
        <v>1.1033191155934989</v>
      </c>
      <c r="I8" s="149">
        <f>H8*(100%-'Données projet'!$C$24)*(100%-'Données projet'!$C$25)*(100%-'Données projet'!$C$26)*(100%-'Données projet'!$C$27)</f>
        <v>0.99298720403414908</v>
      </c>
      <c r="J8" s="150">
        <f>IF(OR('Données projet'!B11="",'Données projet'!C11="",'Données projet'!C11=0%),0,SUM(Calculateur!$BL$3:$BL$33)*VLOOKUP('Données projet'!$B$11,Paramètres!$A$1:$I$89,9,0)*B8)</f>
        <v>3.7454999999999998</v>
      </c>
      <c r="K8" s="151">
        <f>J8*(100%-'Données projet'!$C$24)*(100%-'Données projet'!$C$25)*(100%-'Données projet'!$C$26)*(100%-'Données projet'!$C$27)</f>
        <v>3.3709500000000001</v>
      </c>
      <c r="L8" s="152">
        <f t="shared" ca="1" si="2"/>
        <v>58.108412665144897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Hêtre</v>
      </c>
      <c r="B9" s="154">
        <f>'Données projet'!D12</f>
        <v>0.24515999999999996</v>
      </c>
      <c r="C9" s="147">
        <f ca="1">IF(OR('Données projet'!B12="",'Données projet'!C12="",'Données projet'!C12=0%),0,Calculateur!CD3)</f>
        <v>237.27357081252273</v>
      </c>
      <c r="D9" s="147">
        <f>IF(OR('Données projet'!B12="",'Données projet'!C12="",'Données projet'!C12=0%),0,Calculateur!CE3)</f>
        <v>68.768479693848576</v>
      </c>
      <c r="E9" s="147">
        <f t="shared" ca="1" si="0"/>
        <v>68.768479693848576</v>
      </c>
      <c r="F9" s="147">
        <f t="shared" ca="1" si="1"/>
        <v>16.859280481743916</v>
      </c>
      <c r="G9" s="147">
        <f ca="1">F9*(100%-'Données projet'!$C$24)*(100%-'Données projet'!$C$25)*(100%-'Données projet'!$C$26)*(100%-'Données projet'!$C$27)</f>
        <v>15.173352433569525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15.173352433569525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Douglas</v>
      </c>
      <c r="B10" s="154">
        <f>'Données projet'!D13</f>
        <v>1.7024999999999999</v>
      </c>
      <c r="C10" s="147">
        <f ca="1">IF(OR('Données projet'!B13="",'Données projet'!C13="",'Données projet'!C13=0%),0,Calculateur!CY3)</f>
        <v>474.03051418249999</v>
      </c>
      <c r="D10" s="147">
        <f>IF(OR('Données projet'!B13="",'Données projet'!C13="",'Données projet'!C13=0%),0,Calculateur!CZ3)</f>
        <v>649.52271992719091</v>
      </c>
      <c r="E10" s="147">
        <f t="shared" ca="1" si="0"/>
        <v>474.03051418249999</v>
      </c>
      <c r="F10" s="147">
        <f t="shared" ca="1" si="1"/>
        <v>807.03695039570619</v>
      </c>
      <c r="G10" s="147">
        <f ca="1">F10*(100%-'Données projet'!$C$24)*(100%-'Données projet'!$C$25)*(100%-'Données projet'!$C$26)*(100%-'Données projet'!$C$27)</f>
        <v>726.33325535613562</v>
      </c>
      <c r="H10" s="155">
        <f>IF(OR('Données projet'!B13="",'Données projet'!C13="",'Données projet'!C13=0%),0,AVERAGE(Calculateur!$DI$3:$DI$33)*B10)</f>
        <v>8.5392160758565581</v>
      </c>
      <c r="I10" s="149">
        <f>H10*(100%-'Données projet'!$C$24)*(100%-'Données projet'!$C$25)*(100%-'Données projet'!$C$26)*(100%-'Données projet'!$C$27)</f>
        <v>7.6852944682709028</v>
      </c>
      <c r="J10" s="150">
        <f>IF(OR('Données projet'!B13="",'Données projet'!C13="",'Données projet'!C13=0%),0,SUM(Calculateur!$DB$3:$DB$33)*VLOOKUP('Données projet'!$B$13,Paramètres!$A$1:$I$89,9,0)*B10)</f>
        <v>90.777299999999997</v>
      </c>
      <c r="K10" s="151">
        <f>J10*(100%-'Données projet'!$C$24)*(100%-'Données projet'!$C$25)*(100%-'Données projet'!$C$26)*(100%-'Données projet'!$C$27)</f>
        <v>81.699569999999994</v>
      </c>
      <c r="L10" s="152">
        <f t="shared" ca="1" si="2"/>
        <v>815.71811982440647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Mélèze hybride</v>
      </c>
      <c r="B11" s="154">
        <f>'Données projet'!D14</f>
        <v>0.54479999999999995</v>
      </c>
      <c r="C11" s="147">
        <f ca="1">IF(OR('Données projet'!B14="",'Données projet'!C14="",'Données projet'!C14=0%),0,Calculateur!DT3)</f>
        <v>164.0740581424559</v>
      </c>
      <c r="D11" s="147">
        <f>IF(OR('Données projet'!B14="",'Données projet'!C14="",'Données projet'!C14=0%),0,Calculateur!DU3)</f>
        <v>280.99861170359793</v>
      </c>
      <c r="E11" s="147">
        <f t="shared" ca="1" si="0"/>
        <v>164.0740581424559</v>
      </c>
      <c r="F11" s="147">
        <f t="shared" ca="1" si="1"/>
        <v>89.387546876009964</v>
      </c>
      <c r="G11" s="147">
        <f ca="1">F11*(100%-'Données projet'!$C$24)*(100%-'Données projet'!$C$25)*(100%-'Données projet'!$C$26)*(100%-'Données projet'!$C$27)</f>
        <v>80.448792188408973</v>
      </c>
      <c r="H11" s="155">
        <f>IF(OR('Données projet'!B14="",'Données projet'!C14="",'Données projet'!C14=0%),0,AVERAGE(Calculateur!$ED$3:$ED$33)*B11)</f>
        <v>5.9626393818867109</v>
      </c>
      <c r="I11" s="149">
        <f>H11*(100%-'Données projet'!$C$24)*(100%-'Données projet'!$C$25)*(100%-'Données projet'!$C$26)*(100%-'Données projet'!$C$27)</f>
        <v>5.3663754436980398</v>
      </c>
      <c r="J11" s="150">
        <f>IF(OR('Données projet'!B14="",'Données projet'!C14="",'Données projet'!C14=0%),0,SUM(Calculateur!$DW$3:$DW$33)*VLOOKUP('Données projet'!$B$14,Paramètres!$A$1:$I$89,9,0)*B11)</f>
        <v>67.70229599999999</v>
      </c>
      <c r="K11" s="151">
        <f>J11*(100%-'Données projet'!$C$24)*(100%-'Données projet'!$C$25)*(100%-'Données projet'!$C$26)*(100%-'Données projet'!$C$27)</f>
        <v>60.932066399999989</v>
      </c>
      <c r="L11" s="152">
        <f t="shared" ca="1" si="2"/>
        <v>146.747234032107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Sapin de Nordmann</v>
      </c>
      <c r="B12" s="154">
        <f>'Données projet'!D15</f>
        <v>0.54479999999999995</v>
      </c>
      <c r="C12" s="147">
        <f ca="1">IF(OR('Données projet'!B15="",'Données projet'!C15="",'Données projet'!C15=0%),0,Calculateur!EO3)</f>
        <v>312.1172301514103</v>
      </c>
      <c r="D12" s="147">
        <f>IF(OR('Données projet'!B15="",'Données projet'!C15="",'Données projet'!C15=0%),0,Calculateur!EP3)</f>
        <v>369.85500533493212</v>
      </c>
      <c r="E12" s="147">
        <f t="shared" ca="1" si="0"/>
        <v>312.1172301514103</v>
      </c>
      <c r="F12" s="147">
        <f t="shared" ca="1" si="1"/>
        <v>170.0414669864883</v>
      </c>
      <c r="G12" s="147">
        <f ca="1">F12*(100%-'Données projet'!$C$24)*(100%-'Données projet'!$C$25)*(100%-'Données projet'!$C$26)*(100%-'Données projet'!$C$27)</f>
        <v>153.03732028783946</v>
      </c>
      <c r="H12" s="155">
        <f>IF(OR('Données projet'!B15="",'Données projet'!C15="",'Données projet'!C15=0%),0,AVERAGE(Calculateur!$EY$3:$EY$33)*B12)</f>
        <v>4.5302335706496315</v>
      </c>
      <c r="I12" s="149">
        <f>H12*(100%-'Données projet'!$C$24)*(100%-'Données projet'!$C$25)*(100%-'Données projet'!$C$26)*(100%-'Données projet'!$C$27)</f>
        <v>4.0772102135846682</v>
      </c>
      <c r="J12" s="150">
        <f>IF(OR('Données projet'!B15="",'Données projet'!C15="",'Données projet'!C15=0%),0,SUM(Calculateur!$ER$3:$ER$33)*VLOOKUP('Données projet'!$B$15,Paramètres!$A$1:$I$89,9,0)*B12)</f>
        <v>46.150007999999993</v>
      </c>
      <c r="K12" s="151">
        <f>J12*(100%-'Données projet'!$C$24)*(100%-'Données projet'!$C$25)*(100%-'Données projet'!$C$26)*(100%-'Données projet'!$C$27)</f>
        <v>41.535007199999995</v>
      </c>
      <c r="L12" s="152">
        <f t="shared" ca="1" si="2"/>
        <v>198.64953770142412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Cèdre de l'Atlas</v>
      </c>
      <c r="B13" s="154">
        <f>'Données projet'!D16</f>
        <v>0.74909999999999999</v>
      </c>
      <c r="C13" s="147">
        <f ca="1">IF(OR('Données projet'!B16="",'Données projet'!C16="",'Données projet'!C16=0%),0,Calculateur!FJ3)</f>
        <v>87.187251664304199</v>
      </c>
      <c r="D13" s="147">
        <f>IF(OR('Données projet'!B16="",'Données projet'!C16="",'Données projet'!C16=0%),0,Calculateur!FK3)</f>
        <v>148.84938257884147</v>
      </c>
      <c r="E13" s="147">
        <f t="shared" ca="1" si="0"/>
        <v>87.187251664304199</v>
      </c>
      <c r="F13" s="147">
        <f t="shared" ca="1" si="1"/>
        <v>65.311970221730277</v>
      </c>
      <c r="G13" s="147">
        <f ca="1">F13*(100%-'Données projet'!$C$24)*(100%-'Données projet'!$C$25)*(100%-'Données projet'!$C$26)*(100%-'Données projet'!$C$27)</f>
        <v>58.780773199557252</v>
      </c>
      <c r="H13" s="155">
        <f>IF(OR('Données projet'!B16="",'Données projet'!C16="",'Données projet'!C16=0%),0,AVERAGE(Calculateur!$FT$3:$FT$33)*B13)</f>
        <v>3.3647095341861148</v>
      </c>
      <c r="I13" s="149">
        <f>H13*(100%-'Données projet'!$C$24)*(100%-'Données projet'!$C$25)*(100%-'Données projet'!$C$26)*(100%-'Données projet'!$C$27)</f>
        <v>3.0282385807675034</v>
      </c>
      <c r="J13" s="150">
        <f>IF(OR('Données projet'!C16="",'Données projet'!C16=0%),0,SUM(Calculateur!$FM$3:$FM$33)*VLOOKUP('Données projet'!$B$16,Paramètres!$A$1:$I$89,9,0)*B13)</f>
        <v>27.379604999999998</v>
      </c>
      <c r="K13" s="151">
        <f>J13*(100%-'Données projet'!$C$24)*(100%-'Données projet'!$C$25)*(100%-'Données projet'!$C$26)*(100%-'Données projet'!$C$27)</f>
        <v>24.641644499999998</v>
      </c>
      <c r="L13" s="152">
        <f t="shared" ca="1" si="2"/>
        <v>86.45065628032475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Pin laricio</v>
      </c>
      <c r="B14" s="154">
        <f>'Données projet'!D17</f>
        <v>0.27239999999999998</v>
      </c>
      <c r="C14" s="147">
        <f ca="1">IF(OR('Données projet'!B17="",'Données projet'!C17="",'Données projet'!C17=0%),0,Calculateur!GE3)</f>
        <v>282.94722676586207</v>
      </c>
      <c r="D14" s="147">
        <f>IF(OR('Données projet'!B17="",'Données projet'!C17="",'Données projet'!C17=0%),0,Calculateur!GF3)</f>
        <v>310.63647941571298</v>
      </c>
      <c r="E14" s="147">
        <f t="shared" ca="1" si="0"/>
        <v>282.94722676586207</v>
      </c>
      <c r="F14" s="147">
        <f t="shared" ca="1" si="1"/>
        <v>77.074824571020827</v>
      </c>
      <c r="G14" s="147">
        <f ca="1">F14*(100%-'Données projet'!$C$24)*(100%-'Données projet'!$C$25)*(100%-'Données projet'!$C$26)*(100%-'Données projet'!$C$27)</f>
        <v>69.367342113918752</v>
      </c>
      <c r="H14" s="155">
        <f>IF(OR('Données projet'!B17="",'Données projet'!C17="",'Données projet'!C17=0%),0,AVERAGE(Calculateur!$GO$3:$GO$33)*B14)</f>
        <v>1.2266917767389507</v>
      </c>
      <c r="I14" s="149">
        <f>H14*(100%-'Données projet'!$C$24)*(100%-'Données projet'!$C$25)*(100%-'Données projet'!$C$26)*(100%-'Données projet'!$C$27)</f>
        <v>1.1040225990650556</v>
      </c>
      <c r="J14" s="150">
        <f>IF(OR('Données projet'!B17="",'Données projet'!C17="",'Données projet'!C17=0%),0,SUM(Calculateur!$GH$3:$GH$33)*VLOOKUP('Données projet'!$B$17,Paramètres!$A$1:$I$89,9,0)*B14)</f>
        <v>14.05584</v>
      </c>
      <c r="K14" s="151">
        <f>J14*(100%-'Données projet'!$C$24)*(100%-'Données projet'!$C$25)*(100%-'Données projet'!$C$26)*(100%-'Données projet'!$C$27)</f>
        <v>12.650256000000001</v>
      </c>
      <c r="L14" s="152">
        <f t="shared" ca="1" si="2"/>
        <v>83.121620712983812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Pin maritime</v>
      </c>
      <c r="B15" s="157">
        <f>'Données projet'!D18</f>
        <v>0.27239999999999998</v>
      </c>
      <c r="C15" s="158">
        <f ca="1">IF(OR('Données projet'!B18="",'Données projet'!C18="",'Données projet'!C18=0%),0,Calculateur!GZ3)</f>
        <v>255.54398581450459</v>
      </c>
      <c r="D15" s="158">
        <f>IF(OR('Données projet'!B18="",'Données projet'!C18="",'Données projet'!C18=0%),0,Calculateur!HA3)</f>
        <v>276.52622328061204</v>
      </c>
      <c r="E15" s="158">
        <f t="shared" ca="1" si="0"/>
        <v>255.54398581450459</v>
      </c>
      <c r="F15" s="159">
        <f t="shared" ca="1" si="1"/>
        <v>69.610181735871052</v>
      </c>
      <c r="G15" s="159">
        <f ca="1">F15*(100%-'Données projet'!$C$24)*(100%-'Données projet'!$C$25)*(100%-'Données projet'!$C$26)*(100%-'Données projet'!$C$27)</f>
        <v>62.649163562283945</v>
      </c>
      <c r="H15" s="160">
        <f>IF(OR('Données projet'!B18="",'Données projet'!C18="",'Données projet'!C18=0%),0,AVERAGE(Calculateur!$HJ$3:$HJ$33)*B15)</f>
        <v>2.4962291554476925</v>
      </c>
      <c r="I15" s="161">
        <f>H15*(100%-'Données projet'!$C$24)*(100%-'Données projet'!$C$25)*(100%-'Données projet'!$C$26)*(100%-'Données projet'!$C$27)</f>
        <v>2.2466062399029232</v>
      </c>
      <c r="J15" s="162">
        <f>IF(OR('Données projet'!B18="",'Données projet'!C18="",'Données projet'!C18=0%),0,SUM(Calculateur!$HC$3:$HC$33)*VLOOKUP('Données projet'!$B$18,Paramètres!$A$1:$I$89,9,0)*B15)</f>
        <v>22.982387999999997</v>
      </c>
      <c r="K15" s="163">
        <f>J15*(100%-'Données projet'!$C$24)*(100%-'Données projet'!$C$25)*(100%-'Données projet'!$C$26)*(100%-'Données projet'!$C$27)</f>
        <v>20.684149199999997</v>
      </c>
      <c r="L15" s="164">
        <f t="shared" ca="1" si="2"/>
        <v>85.579919002186855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1856.0040085073083</v>
      </c>
      <c r="G16" s="166">
        <f t="shared" ca="1" si="3"/>
        <v>1670.4036076565776</v>
      </c>
      <c r="H16" s="167">
        <f t="shared" si="3"/>
        <v>37.043463483567734</v>
      </c>
      <c r="I16" s="167">
        <f t="shared" si="3"/>
        <v>33.339117135210962</v>
      </c>
      <c r="J16" s="168">
        <f t="shared" si="3"/>
        <v>334.23616200000004</v>
      </c>
      <c r="K16" s="168">
        <f t="shared" si="3"/>
        <v>300.81254579999995</v>
      </c>
      <c r="L16" s="169">
        <f t="shared" ca="1" si="3"/>
        <v>2004.5552705917883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Hêtre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Douglas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Mélèze hybride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Sapin de Nordmann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Cèdre de l'Atlas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Pin laricio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Pin maritime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6" zoomScale="90" zoomScaleNormal="9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1" customWidth="1"/>
    <col min="7" max="7" width="17.5546875" style="1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838.5026788402763</v>
      </c>
      <c r="U10" s="178">
        <f>'Données projet'!D9</f>
        <v>0.88529999999999998</v>
      </c>
      <c r="V10" s="177">
        <f>U10*T10</f>
        <v>742.32642157729663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-687.2289841123486</v>
      </c>
      <c r="U11" s="178">
        <f>'Données projet'!D10</f>
        <v>1.2939000000000001</v>
      </c>
      <c r="V11" s="177">
        <f t="shared" ref="V11" si="0">U11*T11</f>
        <v>-889.20558254296793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Merisier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-618.89751917046306</v>
      </c>
      <c r="U12" s="178">
        <f>'Données projet'!D11</f>
        <v>0.27239999999999998</v>
      </c>
      <c r="V12" s="177">
        <f t="shared" ref="V12:V19" si="1">U12*T12</f>
        <v>-168.58768422203411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Hêtre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-263.57969638964386</v>
      </c>
      <c r="U13" s="178">
        <f>'Données projet'!D12</f>
        <v>0.24515999999999996</v>
      </c>
      <c r="V13" s="177">
        <f t="shared" si="1"/>
        <v>-64.619198366885072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Douglas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3624.3427618866399</v>
      </c>
      <c r="U14" s="178">
        <f>'Données projet'!D13</f>
        <v>1.7024999999999999</v>
      </c>
      <c r="V14" s="177">
        <f t="shared" si="1"/>
        <v>6170.443552112004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Mélèze hybride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1579.496976821571</v>
      </c>
      <c r="U15" s="178">
        <f>'Données projet'!D14</f>
        <v>0.54479999999999995</v>
      </c>
      <c r="V15" s="177">
        <f t="shared" si="1"/>
        <v>860.50995297239183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150</v>
      </c>
      <c r="O16" s="23"/>
      <c r="P16" s="23"/>
      <c r="Q16" s="234"/>
      <c r="R16" s="23"/>
      <c r="S16" s="36" t="str">
        <f>B200</f>
        <v>Sapin de Nordmann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3263.9625833089322</v>
      </c>
      <c r="U16" s="178">
        <f>'Données projet'!D15</f>
        <v>0.54479999999999995</v>
      </c>
      <c r="V16" s="177">
        <f t="shared" si="1"/>
        <v>1778.206815386706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(855/1.3608)+(7695*0.16)</f>
        <v>1859.5068783068782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150.0000000000002</v>
      </c>
      <c r="O17" s="23"/>
      <c r="P17" s="23"/>
      <c r="Q17" s="234"/>
      <c r="R17" s="23"/>
      <c r="S17" s="36" t="str">
        <f>B231</f>
        <v>Cèdre de l'Atlas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-233.90671829054236</v>
      </c>
      <c r="U17" s="178">
        <f>'Données projet'!D16</f>
        <v>0.74909999999999999</v>
      </c>
      <c r="V17" s="177">
        <f t="shared" si="1"/>
        <v>-175.21952267144528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10</v>
      </c>
      <c r="O18" s="23"/>
      <c r="P18" s="23"/>
      <c r="Q18" s="234"/>
      <c r="R18" s="23"/>
      <c r="S18" s="36" t="str">
        <f>B262</f>
        <v>Pin laricio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2364.7213712196403</v>
      </c>
      <c r="U18" s="178">
        <f>'Données projet'!D17</f>
        <v>0.27239999999999998</v>
      </c>
      <c r="V18" s="177">
        <f t="shared" si="1"/>
        <v>644.15010152023001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1500.000000000002</v>
      </c>
      <c r="O19" s="23"/>
      <c r="P19" s="4"/>
      <c r="Q19" s="235"/>
      <c r="R19" s="4"/>
      <c r="S19" s="36" t="str">
        <f>B293</f>
        <v>Pin maritime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1307.8795974084442</v>
      </c>
      <c r="U19" s="178">
        <f>'Données projet'!D18</f>
        <v>0.27239999999999998</v>
      </c>
      <c r="V19" s="177">
        <f t="shared" si="1"/>
        <v>356.26640233406016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((500+7189)/6.8155)+((500+1456+767+715+2210)/1.3)</f>
        <v>5472.7791290215173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2193.88/8.1155</f>
        <v>270.33208058653196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 t="shared" ref="I22:I23" si="2">2193.88/8.1155</f>
        <v>270.33208058653196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34</v>
      </c>
      <c r="C23" s="193">
        <v>0</v>
      </c>
      <c r="D23" s="182">
        <f>B23*C23</f>
        <v>0</v>
      </c>
      <c r="E23" s="193"/>
      <c r="F23" s="230"/>
      <c r="H23" s="190">
        <v>4</v>
      </c>
      <c r="I23" s="191">
        <f t="shared" si="2"/>
        <v>270.33208058653196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-31253.253453916779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50</v>
      </c>
      <c r="C24" s="193">
        <v>1.3</v>
      </c>
      <c r="D24" s="182">
        <f t="shared" ref="D24:D42" si="3">B24*C24</f>
        <v>65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13.861007672126293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52</v>
      </c>
      <c r="C25" s="193">
        <v>1.3</v>
      </c>
      <c r="D25" s="182">
        <f t="shared" si="3"/>
        <v>67.600000000000009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-31267.114461588906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51</v>
      </c>
      <c r="C26" s="193">
        <v>2.2799999999999998</v>
      </c>
      <c r="D26" s="182">
        <f t="shared" si="3"/>
        <v>116.27999999999999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35</v>
      </c>
      <c r="B27" s="181">
        <f>'Données projet'!D40</f>
        <v>49</v>
      </c>
      <c r="C27" s="193">
        <v>2.83</v>
      </c>
      <c r="D27" s="182">
        <f t="shared" si="3"/>
        <v>138.67000000000002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45</v>
      </c>
      <c r="C28" s="193">
        <v>40.5</v>
      </c>
      <c r="D28" s="182">
        <f t="shared" si="3"/>
        <v>1822.5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41</v>
      </c>
      <c r="C29" s="193">
        <v>40.5</v>
      </c>
      <c r="D29" s="182">
        <f t="shared" si="3"/>
        <v>1660.5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50</v>
      </c>
      <c r="B30" s="181">
        <f>'Données projet'!D43</f>
        <v>37</v>
      </c>
      <c r="C30" s="193">
        <v>40.5</v>
      </c>
      <c r="D30" s="182">
        <f t="shared" si="3"/>
        <v>1498.5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55</v>
      </c>
      <c r="B31" s="181">
        <f>'Données projet'!D44</f>
        <v>258</v>
      </c>
      <c r="C31" s="193">
        <v>82</v>
      </c>
      <c r="D31" s="182">
        <f t="shared" si="3"/>
        <v>21156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3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((1097+645)/1.194)+(7695*0.14)</f>
        <v>2536.2614740368513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>
        <v>1.3</v>
      </c>
      <c r="D54" s="179">
        <f>B54*C54</f>
        <v>7.8000000000000007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28</v>
      </c>
      <c r="C55" s="191">
        <v>1.3</v>
      </c>
      <c r="D55" s="179">
        <f t="shared" ref="D55:D73" si="5">B55*C55</f>
        <v>36.4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28</v>
      </c>
      <c r="C56" s="191">
        <v>2.2799999999999998</v>
      </c>
      <c r="D56" s="179">
        <f t="shared" si="5"/>
        <v>63.839999999999996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28</v>
      </c>
      <c r="C57" s="191">
        <v>2.2799999999999998</v>
      </c>
      <c r="D57" s="179">
        <f t="shared" si="5"/>
        <v>63.839999999999996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28</v>
      </c>
      <c r="C58" s="191">
        <v>2.2799999999999998</v>
      </c>
      <c r="D58" s="179">
        <f t="shared" si="5"/>
        <v>63.839999999999996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28</v>
      </c>
      <c r="C59" s="191">
        <v>2.2799999999999998</v>
      </c>
      <c r="D59" s="179">
        <f t="shared" si="5"/>
        <v>63.839999999999996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28</v>
      </c>
      <c r="C60" s="191">
        <v>2.83</v>
      </c>
      <c r="D60" s="179">
        <f t="shared" si="5"/>
        <v>79.240000000000009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28</v>
      </c>
      <c r="C61" s="191">
        <v>2.83</v>
      </c>
      <c r="D61" s="179">
        <f t="shared" si="5"/>
        <v>79.240000000000009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28</v>
      </c>
      <c r="C62" s="191">
        <v>2.83</v>
      </c>
      <c r="D62" s="179">
        <f t="shared" si="5"/>
        <v>79.240000000000009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65</v>
      </c>
      <c r="B63" s="181">
        <f>'Données projet'!D71</f>
        <v>28</v>
      </c>
      <c r="C63" s="191">
        <v>40.5</v>
      </c>
      <c r="D63" s="179">
        <f t="shared" si="5"/>
        <v>1134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70</v>
      </c>
      <c r="B64" s="181">
        <f>'Données projet'!D72</f>
        <v>28</v>
      </c>
      <c r="C64" s="191">
        <v>40.5</v>
      </c>
      <c r="D64" s="179">
        <f t="shared" si="5"/>
        <v>1134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75</v>
      </c>
      <c r="B65" s="181">
        <f>'Données projet'!D73</f>
        <v>28</v>
      </c>
      <c r="C65" s="191">
        <v>40.5</v>
      </c>
      <c r="D65" s="179">
        <f t="shared" si="5"/>
        <v>1134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80</v>
      </c>
      <c r="B66" s="181">
        <f>'Données projet'!D74</f>
        <v>320</v>
      </c>
      <c r="C66" s="191">
        <v>170.75</v>
      </c>
      <c r="D66" s="179">
        <f t="shared" si="5"/>
        <v>54640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str">
        <f>IF(O73+1&lt;=MIN('Données projet'!$E$9:$E$18),O73+1,"STOP")</f>
        <v>STOP</v>
      </c>
      <c r="P74" s="185" t="e">
        <f t="shared" si="6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6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Merisier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6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6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6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((341+165)/0.4258)+(7695*0.05)</f>
        <v>1573.1013386566462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3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25</v>
      </c>
      <c r="C86" s="191">
        <v>1.3</v>
      </c>
      <c r="D86" s="179">
        <f t="shared" ref="D86:D104" si="7">B86*C86</f>
        <v>32.5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27</v>
      </c>
      <c r="C87" s="191">
        <v>1.3</v>
      </c>
      <c r="D87" s="179">
        <f t="shared" si="7"/>
        <v>35.1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31</v>
      </c>
      <c r="B88" s="181">
        <f>'Données projet'!D91</f>
        <v>36</v>
      </c>
      <c r="C88" s="191">
        <v>2.2799999999999998</v>
      </c>
      <c r="D88" s="179">
        <f t="shared" si="7"/>
        <v>82.08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37</v>
      </c>
      <c r="B89" s="181">
        <f>'Données projet'!D92</f>
        <v>36</v>
      </c>
      <c r="C89" s="191">
        <v>2.2799999999999998</v>
      </c>
      <c r="D89" s="179">
        <f t="shared" si="7"/>
        <v>82.08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44</v>
      </c>
      <c r="B90" s="181">
        <f>'Données projet'!D93</f>
        <v>43</v>
      </c>
      <c r="C90" s="191">
        <v>24</v>
      </c>
      <c r="D90" s="179">
        <f t="shared" si="7"/>
        <v>1032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52</v>
      </c>
      <c r="B91" s="181">
        <f>'Données projet'!D94</f>
        <v>48</v>
      </c>
      <c r="C91" s="191">
        <v>24</v>
      </c>
      <c r="D91" s="179">
        <f t="shared" si="7"/>
        <v>1152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60</v>
      </c>
      <c r="B92" s="181">
        <f>'Données projet'!D95</f>
        <v>47</v>
      </c>
      <c r="C92" s="191">
        <v>24</v>
      </c>
      <c r="D92" s="179">
        <f t="shared" si="7"/>
        <v>1128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69</v>
      </c>
      <c r="B93" s="181">
        <f>'Données projet'!D96</f>
        <v>328</v>
      </c>
      <c r="C93" s="191">
        <v>34.700000000000003</v>
      </c>
      <c r="D93" s="179">
        <f t="shared" si="7"/>
        <v>11381.6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Hêtre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(180/0.2958)+(7695*0.03)</f>
        <v>839.36926977687631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35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10</v>
      </c>
      <c r="C118" s="191">
        <v>1.3</v>
      </c>
      <c r="D118" s="179">
        <f t="shared" si="9"/>
        <v>13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45</v>
      </c>
      <c r="B119" s="181">
        <f>'Données projet'!D117</f>
        <v>17</v>
      </c>
      <c r="C119" s="191">
        <v>1.3</v>
      </c>
      <c r="D119" s="179">
        <f t="shared" si="9"/>
        <v>22.1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50</v>
      </c>
      <c r="B120" s="181">
        <f>'Données projet'!D118</f>
        <v>24</v>
      </c>
      <c r="C120" s="191">
        <v>2.2799999999999998</v>
      </c>
      <c r="D120" s="179">
        <f t="shared" si="9"/>
        <v>54.72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55</v>
      </c>
      <c r="B121" s="181">
        <f>'Données projet'!D119</f>
        <v>29</v>
      </c>
      <c r="C121" s="191">
        <v>2.2799999999999998</v>
      </c>
      <c r="D121" s="179">
        <f t="shared" si="9"/>
        <v>66.11999999999999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60</v>
      </c>
      <c r="B122" s="181">
        <f>'Données projet'!D120</f>
        <v>33</v>
      </c>
      <c r="C122" s="191">
        <v>2.2799999999999998</v>
      </c>
      <c r="D122" s="179">
        <f t="shared" si="9"/>
        <v>75.239999999999995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65</v>
      </c>
      <c r="B123" s="181">
        <f>'Données projet'!D121</f>
        <v>36</v>
      </c>
      <c r="C123" s="191">
        <v>24</v>
      </c>
      <c r="D123" s="179">
        <f t="shared" si="9"/>
        <v>864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70</v>
      </c>
      <c r="B124" s="181">
        <f>'Données projet'!D122</f>
        <v>38</v>
      </c>
      <c r="C124" s="191">
        <v>24</v>
      </c>
      <c r="D124" s="179">
        <f t="shared" si="9"/>
        <v>912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75</v>
      </c>
      <c r="B125" s="181">
        <f>'Données projet'!D123</f>
        <v>41</v>
      </c>
      <c r="C125" s="191">
        <v>24</v>
      </c>
      <c r="D125" s="179">
        <f t="shared" si="9"/>
        <v>984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80</v>
      </c>
      <c r="B126" s="181">
        <f>'Données projet'!D124</f>
        <v>415</v>
      </c>
      <c r="C126" s="191">
        <v>34.700000000000003</v>
      </c>
      <c r="D126" s="179">
        <f t="shared" si="9"/>
        <v>14400.500000000002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Douglas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(1240/1.6074)+(7695*0.21)</f>
        <v>2387.3821264153294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11</v>
      </c>
      <c r="C148" s="191">
        <v>1.95</v>
      </c>
      <c r="D148" s="182">
        <f t="shared" ref="D148:D166" si="11">B148*C148</f>
        <v>21.45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5">
        <f>'Données projet'!D142</f>
        <v>46</v>
      </c>
      <c r="C149" s="191">
        <v>1.95</v>
      </c>
      <c r="D149" s="182">
        <f t="shared" si="11"/>
        <v>89.7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5">
        <f>'Données projet'!D143</f>
        <v>67</v>
      </c>
      <c r="C150" s="191">
        <v>4.4800000000000004</v>
      </c>
      <c r="D150" s="182">
        <f t="shared" si="11"/>
        <v>300.16000000000003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5">
        <f>'Données projet'!D144</f>
        <v>72</v>
      </c>
      <c r="C151" s="191">
        <v>4.4800000000000004</v>
      </c>
      <c r="D151" s="182">
        <f t="shared" si="11"/>
        <v>322.56000000000006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5">
        <f>'Données projet'!D145</f>
        <v>79</v>
      </c>
      <c r="C152" s="191">
        <v>32.799999999999997</v>
      </c>
      <c r="D152" s="182">
        <f t="shared" si="11"/>
        <v>2591.1999999999998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5">
        <f>'Données projet'!D146</f>
        <v>82</v>
      </c>
      <c r="C153" s="191">
        <v>32.799999999999997</v>
      </c>
      <c r="D153" s="182">
        <f t="shared" si="11"/>
        <v>2689.6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5">
        <f>'Données projet'!D147</f>
        <v>75</v>
      </c>
      <c r="C154" s="191">
        <v>55.11</v>
      </c>
      <c r="D154" s="182">
        <f t="shared" si="11"/>
        <v>4133.25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5">
        <f>'Données projet'!D148</f>
        <v>66</v>
      </c>
      <c r="C155" s="191">
        <v>55.11</v>
      </c>
      <c r="D155" s="182">
        <f t="shared" si="11"/>
        <v>3637.2599999999998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5">
        <f>'Données projet'!D149</f>
        <v>723</v>
      </c>
      <c r="C156" s="191">
        <v>82</v>
      </c>
      <c r="D156" s="182">
        <f t="shared" si="11"/>
        <v>59286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Mélèze hybride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((570+255)/0.7958)+(7695*0.1)</f>
        <v>1806.1926363407892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12</v>
      </c>
      <c r="B178" s="181">
        <f>'Données projet'!D166</f>
        <v>21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15</v>
      </c>
      <c r="B179" s="181">
        <f>'Données projet'!D167</f>
        <v>47</v>
      </c>
      <c r="C179" s="193">
        <v>0</v>
      </c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18</v>
      </c>
      <c r="B180" s="181">
        <f>'Données projet'!D168</f>
        <v>61</v>
      </c>
      <c r="C180" s="193">
        <v>1.95</v>
      </c>
      <c r="D180" s="179">
        <f t="shared" si="12"/>
        <v>118.95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24</v>
      </c>
      <c r="B181" s="181">
        <f>'Données projet'!D169</f>
        <v>84</v>
      </c>
      <c r="C181" s="193">
        <v>4.4800000000000004</v>
      </c>
      <c r="D181" s="179">
        <f t="shared" si="12"/>
        <v>376.32000000000005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30</v>
      </c>
      <c r="B182" s="181">
        <f>'Données projet'!D170</f>
        <v>76</v>
      </c>
      <c r="C182" s="193">
        <v>26.7</v>
      </c>
      <c r="D182" s="179">
        <f t="shared" si="12"/>
        <v>2029.2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36</v>
      </c>
      <c r="B183" s="181">
        <f>'Données projet'!D171</f>
        <v>75</v>
      </c>
      <c r="C183" s="193">
        <v>42</v>
      </c>
      <c r="D183" s="179">
        <f t="shared" si="12"/>
        <v>3150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42</v>
      </c>
      <c r="B184" s="181">
        <f>'Données projet'!D172</f>
        <v>278</v>
      </c>
      <c r="C184" s="193">
        <v>46</v>
      </c>
      <c r="D184" s="179">
        <f t="shared" si="12"/>
        <v>12788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Sapin de Nordmann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(509/0.5358)+(7695*0.07)</f>
        <v>1488.6313363195222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15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20</v>
      </c>
      <c r="B210" s="181">
        <f>'Données projet'!D193</f>
        <v>43</v>
      </c>
      <c r="C210" s="193">
        <v>1.95</v>
      </c>
      <c r="D210" s="179">
        <f t="shared" ref="D210:D228" si="13">B210*C210</f>
        <v>83.85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25</v>
      </c>
      <c r="B211" s="181">
        <f>'Données projet'!D194</f>
        <v>77</v>
      </c>
      <c r="C211" s="193">
        <v>1.95</v>
      </c>
      <c r="D211" s="179">
        <f t="shared" si="13"/>
        <v>150.15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30</v>
      </c>
      <c r="B212" s="181">
        <f>'Données projet'!D195</f>
        <v>77</v>
      </c>
      <c r="C212" s="193">
        <v>4.4800000000000004</v>
      </c>
      <c r="D212" s="179">
        <f t="shared" si="13"/>
        <v>344.96000000000004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35</v>
      </c>
      <c r="B213" s="181">
        <f>'Données projet'!D196</f>
        <v>77</v>
      </c>
      <c r="C213" s="193">
        <v>4.4800000000000004</v>
      </c>
      <c r="D213" s="179">
        <f t="shared" si="13"/>
        <v>344.96000000000004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40</v>
      </c>
      <c r="B214" s="181">
        <f>'Données projet'!D197</f>
        <v>77</v>
      </c>
      <c r="C214" s="193">
        <v>26.7</v>
      </c>
      <c r="D214" s="179">
        <f t="shared" si="13"/>
        <v>2055.9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45</v>
      </c>
      <c r="B215" s="181">
        <f>'Données projet'!D198</f>
        <v>77</v>
      </c>
      <c r="C215" s="193">
        <v>26.7</v>
      </c>
      <c r="D215" s="179">
        <f t="shared" si="13"/>
        <v>2055.9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50</v>
      </c>
      <c r="B216" s="181">
        <f>'Données projet'!D199</f>
        <v>77</v>
      </c>
      <c r="C216" s="193">
        <v>45.11</v>
      </c>
      <c r="D216" s="179">
        <f t="shared" si="13"/>
        <v>3473.47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55</v>
      </c>
      <c r="B217" s="181">
        <f>'Données projet'!D200</f>
        <v>73</v>
      </c>
      <c r="C217" s="193">
        <v>50.6</v>
      </c>
      <c r="D217" s="179">
        <f t="shared" si="13"/>
        <v>3693.8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60</v>
      </c>
      <c r="B218" s="181">
        <f>'Données projet'!D201</f>
        <v>740</v>
      </c>
      <c r="C218" s="193">
        <v>59.75</v>
      </c>
      <c r="D218" s="179">
        <f t="shared" si="13"/>
        <v>44215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Cèdre de l'Atlas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(1144/0.7071)+(7695*0.09)</f>
        <v>2310.4258308584358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20</v>
      </c>
      <c r="B240" s="181">
        <f>'Données projet'!D218</f>
        <v>35</v>
      </c>
      <c r="C240" s="193">
        <v>1.95</v>
      </c>
      <c r="D240" s="179">
        <f>B240*C240</f>
        <v>68.25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27</v>
      </c>
      <c r="B241" s="181">
        <f>'Données projet'!D219</f>
        <v>50</v>
      </c>
      <c r="C241" s="193">
        <v>4.4800000000000004</v>
      </c>
      <c r="D241" s="179">
        <f t="shared" ref="D241:D259" si="14">B241*C241</f>
        <v>224.00000000000003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34</v>
      </c>
      <c r="B242" s="181">
        <f>'Données projet'!D220</f>
        <v>60</v>
      </c>
      <c r="C242" s="193">
        <v>26.7</v>
      </c>
      <c r="D242" s="179">
        <f t="shared" si="14"/>
        <v>1602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40</v>
      </c>
      <c r="B243" s="181">
        <f>'Données projet'!D221</f>
        <v>205</v>
      </c>
      <c r="C243" s="193">
        <v>46</v>
      </c>
      <c r="D243" s="179">
        <f t="shared" si="14"/>
        <v>9430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Pin laricio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f>(100/0.2357)+(7695*0.03)</f>
        <v>655.11813746287658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17</v>
      </c>
      <c r="B271" s="181">
        <f>'Données projet'!D244</f>
        <v>15</v>
      </c>
      <c r="C271" s="193">
        <v>0</v>
      </c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20</v>
      </c>
      <c r="B272" s="181">
        <f>'Données projet'!D245</f>
        <v>15</v>
      </c>
      <c r="C272" s="193">
        <v>1.95</v>
      </c>
      <c r="D272" s="179">
        <f t="shared" ref="D272:D290" si="15">B272*C272</f>
        <v>29.25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25</v>
      </c>
      <c r="B273" s="181">
        <f>'Données projet'!D246</f>
        <v>36</v>
      </c>
      <c r="C273" s="193">
        <v>1.95</v>
      </c>
      <c r="D273" s="179">
        <f t="shared" si="15"/>
        <v>70.2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30</v>
      </c>
      <c r="B274" s="181">
        <f>'Données projet'!D247</f>
        <v>54</v>
      </c>
      <c r="C274" s="193">
        <v>4.4800000000000004</v>
      </c>
      <c r="D274" s="179">
        <f t="shared" si="15"/>
        <v>241.92000000000002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35</v>
      </c>
      <c r="B275" s="181">
        <f>'Données projet'!D248</f>
        <v>52</v>
      </c>
      <c r="C275" s="193">
        <v>4.4800000000000004</v>
      </c>
      <c r="D275" s="179">
        <f t="shared" si="15"/>
        <v>232.96000000000004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40</v>
      </c>
      <c r="B276" s="181">
        <f>'Données projet'!D249</f>
        <v>48</v>
      </c>
      <c r="C276" s="193">
        <v>26.7</v>
      </c>
      <c r="D276" s="179">
        <f t="shared" si="15"/>
        <v>1281.5999999999999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45</v>
      </c>
      <c r="B277" s="181">
        <f>'Données projet'!D250</f>
        <v>57</v>
      </c>
      <c r="C277" s="193">
        <v>26.7</v>
      </c>
      <c r="D277" s="179">
        <f t="shared" si="15"/>
        <v>1521.8999999999999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50</v>
      </c>
      <c r="B278" s="181">
        <f>'Données projet'!D251</f>
        <v>47</v>
      </c>
      <c r="C278" s="193">
        <v>45.11</v>
      </c>
      <c r="D278" s="179">
        <f t="shared" si="15"/>
        <v>2120.17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55</v>
      </c>
      <c r="B279" s="181">
        <f>'Données projet'!D252</f>
        <v>48</v>
      </c>
      <c r="C279" s="193">
        <v>45.11</v>
      </c>
      <c r="D279" s="179">
        <f t="shared" si="15"/>
        <v>2165.2799999999997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60</v>
      </c>
      <c r="B280" s="181">
        <f>'Données projet'!D253</f>
        <v>32</v>
      </c>
      <c r="C280" s="193">
        <v>50.6</v>
      </c>
      <c r="D280" s="179">
        <f t="shared" si="15"/>
        <v>1619.2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65</v>
      </c>
      <c r="B281" s="181">
        <f>'Données projet'!D254</f>
        <v>555</v>
      </c>
      <c r="C281" s="193">
        <v>59.75</v>
      </c>
      <c r="D281" s="179">
        <f t="shared" si="15"/>
        <v>33161.25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Pin maritime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f>(106/0.2357)+(7695*0.03)</f>
        <v>680.5742257106491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12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16</v>
      </c>
      <c r="B303" s="181">
        <f>'Données projet'!D271</f>
        <v>25</v>
      </c>
      <c r="C303" s="191">
        <v>1.95</v>
      </c>
      <c r="D303" s="182">
        <f t="shared" ref="D303:D321" si="16">B303*C303</f>
        <v>48.75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20</v>
      </c>
      <c r="B304" s="181">
        <f>'Données projet'!D272</f>
        <v>34</v>
      </c>
      <c r="C304" s="191">
        <v>1.95</v>
      </c>
      <c r="D304" s="182">
        <f t="shared" si="16"/>
        <v>66.3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24</v>
      </c>
      <c r="B305" s="181">
        <f>'Données projet'!D273</f>
        <v>43</v>
      </c>
      <c r="C305" s="191">
        <v>4.4800000000000004</v>
      </c>
      <c r="D305" s="182">
        <f t="shared" si="16"/>
        <v>192.64000000000001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28</v>
      </c>
      <c r="B306" s="181">
        <f>'Données projet'!D274</f>
        <v>41</v>
      </c>
      <c r="C306" s="191">
        <v>4.4800000000000004</v>
      </c>
      <c r="D306" s="182">
        <f t="shared" si="16"/>
        <v>183.68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34</v>
      </c>
      <c r="B307" s="181">
        <f>'Données projet'!D275</f>
        <v>60</v>
      </c>
      <c r="C307" s="191">
        <v>4.8</v>
      </c>
      <c r="D307" s="182">
        <f t="shared" si="16"/>
        <v>288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40</v>
      </c>
      <c r="B308" s="181">
        <f>'Données projet'!D276</f>
        <v>34</v>
      </c>
      <c r="C308" s="191">
        <v>4.8</v>
      </c>
      <c r="D308" s="182">
        <f t="shared" si="16"/>
        <v>163.19999999999999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46</v>
      </c>
      <c r="B309" s="181">
        <f>'Données projet'!D277</f>
        <v>21</v>
      </c>
      <c r="C309" s="191">
        <v>27</v>
      </c>
      <c r="D309" s="182">
        <f t="shared" si="16"/>
        <v>567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54</v>
      </c>
      <c r="B310" s="181">
        <f>'Données projet'!D278</f>
        <v>17</v>
      </c>
      <c r="C310" s="191">
        <v>45</v>
      </c>
      <c r="D310" s="182">
        <f t="shared" si="16"/>
        <v>765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62</v>
      </c>
      <c r="B311" s="181">
        <f>'Données projet'!D279</f>
        <v>409</v>
      </c>
      <c r="C311" s="191">
        <v>60</v>
      </c>
      <c r="D311" s="182">
        <f t="shared" si="16"/>
        <v>24540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adele baldenweck</cp:lastModifiedBy>
  <dcterms:created xsi:type="dcterms:W3CDTF">2021-02-01T08:22:39Z</dcterms:created>
  <dcterms:modified xsi:type="dcterms:W3CDTF">2022-11-03T17:04:22Z</dcterms:modified>
</cp:coreProperties>
</file>